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ustomProperty5.bin" ContentType="application/vnd.openxmlformats-officedocument.spreadsheetml.customProperty"/>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ustomProperty7.bin" ContentType="application/vnd.openxmlformats-officedocument.spreadsheetml.customProperty"/>
  <Override PartName="/xl/drawings/drawing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3.xml" ContentType="application/vnd.openxmlformats-officedocument.spreadsheetml.comments+xml"/>
  <Override PartName="/xl/customProperty8.bin" ContentType="application/vnd.openxmlformats-officedocument.spreadsheetml.customProperty"/>
  <Override PartName="/xl/drawings/drawing8.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4.xml" ContentType="application/vnd.openxmlformats-officedocument.spreadsheetml.comments+xml"/>
  <Override PartName="/xl/customProperty9.bin" ContentType="application/vnd.openxmlformats-officedocument.spreadsheetml.customProperty"/>
  <Override PartName="/xl/drawings/drawing9.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0.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5.xml" ContentType="application/vnd.openxmlformats-officedocument.spreadsheetml.comments+xml"/>
  <Override PartName="/xl/customProperty10.bin" ContentType="application/vnd.openxmlformats-officedocument.spreadsheetml.customProperty"/>
  <Override PartName="/xl/drawings/drawing11.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omments6.xml" ContentType="application/vnd.openxmlformats-officedocument.spreadsheetml.comments+xml"/>
  <Override PartName="/xl/customProperty11.bin" ContentType="application/vnd.openxmlformats-officedocument.spreadsheetml.customProperty"/>
  <Override PartName="/xl/drawings/drawing1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7.xml" ContentType="application/vnd.openxmlformats-officedocument.spreadsheetml.comments+xml"/>
  <Override PartName="/xl/customProperty12.bin" ContentType="application/vnd.openxmlformats-officedocument.spreadsheetml.customProperty"/>
  <Override PartName="/xl/drawings/drawing13.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ustomProperty13.bin" ContentType="application/vnd.openxmlformats-officedocument.spreadsheetml.customProperty"/>
  <Override PartName="/xl/drawings/drawing14.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8.xml" ContentType="application/vnd.openxmlformats-officedocument.spreadsheetml.comments+xml"/>
  <Override PartName="/xl/customProperty14.bin" ContentType="application/vnd.openxmlformats-officedocument.spreadsheetml.customProperty"/>
  <Override PartName="/xl/drawings/drawing15.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ustomProperty15.bin" ContentType="application/vnd.openxmlformats-officedocument.spreadsheetml.customProperty"/>
  <Override PartName="/xl/drawings/drawing16.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9.xml" ContentType="application/vnd.openxmlformats-officedocument.spreadsheetml.comments+xml"/>
  <Override PartName="/xl/customProperty16.bin" ContentType="application/vnd.openxmlformats-officedocument.spreadsheetml.customProperty"/>
  <Override PartName="/xl/drawings/drawing1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omments10.xml" ContentType="application/vnd.openxmlformats-officedocument.spreadsheetml.comments+xml"/>
  <Override PartName="/xl/customProperty17.bin" ContentType="application/vnd.openxmlformats-officedocument.spreadsheetml.customProperty"/>
  <Override PartName="/xl/drawings/drawing18.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11.xml" ContentType="application/vnd.openxmlformats-officedocument.spreadsheetml.comments+xml"/>
  <Override PartName="/xl/customProperty18.bin" ContentType="application/vnd.openxmlformats-officedocument.spreadsheetml.customProperty"/>
  <Override PartName="/xl/drawings/drawing1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2.xml" ContentType="application/vnd.openxmlformats-officedocument.spreadsheetml.comments+xml"/>
  <Override PartName="/xl/customProperty19.bin" ContentType="application/vnd.openxmlformats-officedocument.spreadsheetml.customProperty"/>
  <Override PartName="/xl/drawings/drawing20.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3.xml" ContentType="application/vnd.openxmlformats-officedocument.spreadsheetml.comments+xml"/>
  <Override PartName="/xl/customProperty20.bin" ContentType="application/vnd.openxmlformats-officedocument.spreadsheetml.customProperty"/>
  <Override PartName="/xl/drawings/drawing21.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ustomProperty21.bin" ContentType="application/vnd.openxmlformats-officedocument.spreadsheetml.customProperty"/>
  <Override PartName="/xl/drawings/drawing22.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ustomProperty22.bin" ContentType="application/vnd.openxmlformats-officedocument.spreadsheetml.customProperty"/>
  <Override PartName="/xl/drawings/drawing23.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ustomProperty23.bin" ContentType="application/vnd.openxmlformats-officedocument.spreadsheetml.customProperty"/>
  <Override PartName="/xl/drawings/drawing24.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ustomProperty24.bin" ContentType="application/vnd.openxmlformats-officedocument.spreadsheetml.customProperty"/>
  <Override PartName="/xl/drawings/drawing25.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omments14.xml" ContentType="application/vnd.openxmlformats-officedocument.spreadsheetml.comments+xml"/>
  <Override PartName="/xl/customProperty25.bin" ContentType="application/vnd.openxmlformats-officedocument.spreadsheetml.customProperty"/>
  <Override PartName="/xl/drawings/drawing26.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15.xml" ContentType="application/vnd.openxmlformats-officedocument.spreadsheetml.comments+xml"/>
  <Override PartName="/xl/drawings/drawing27.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8.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omments16.xml" ContentType="application/vnd.openxmlformats-officedocument.spreadsheetml.comments+xml"/>
  <Override PartName="/xl/customProperty26.bin" ContentType="application/vnd.openxmlformats-officedocument.spreadsheetml.customProperty"/>
  <Override PartName="/xl/drawings/drawing29.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omments17.xml" ContentType="application/vnd.openxmlformats-officedocument.spreadsheetml.comments+xml"/>
  <Override PartName="/xl/customProperty27.bin" ContentType="application/vnd.openxmlformats-officedocument.spreadsheetml.customProperty"/>
  <Override PartName="/xl/drawings/drawing30.xml" ContentType="application/vnd.openxmlformats-officedocument.drawing+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ustomProperty28.bin" ContentType="application/vnd.openxmlformats-officedocument.spreadsheetml.customProperty"/>
  <Override PartName="/xl/drawings/drawing3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omments18.xml" ContentType="application/vnd.openxmlformats-officedocument.spreadsheetml.comments+xml"/>
  <Override PartName="/xl/drawings/drawing32.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omments19.xml" ContentType="application/vnd.openxmlformats-officedocument.spreadsheetml.comments+xml"/>
  <Override PartName="/xl/drawings/drawing33.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34.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35.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36.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omments20.xml" ContentType="application/vnd.openxmlformats-officedocument.spreadsheetml.comments+xml"/>
  <Override PartName="/xl/drawings/drawing37.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3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ustomProperty29.bin" ContentType="application/vnd.openxmlformats-officedocument.spreadsheetml.customProperty"/>
  <Override PartName="/xl/drawings/drawing39.xml" ContentType="application/vnd.openxmlformats-officedocument.drawing+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omments21.xml" ContentType="application/vnd.openxmlformats-officedocument.spreadsheetml.comments+xml"/>
  <Override PartName="/xl/drawings/drawing40.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22.xml" ContentType="application/vnd.openxmlformats-officedocument.spreadsheetml.comments+xml"/>
  <Override PartName="/xl/drawings/drawing41.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42.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43.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ustomProperty30.bin" ContentType="application/vnd.openxmlformats-officedocument.spreadsheetml.customProperty"/>
  <Override PartName="/xl/drawings/drawing44.xml" ContentType="application/vnd.openxmlformats-officedocument.drawing+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omments23.xml" ContentType="application/vnd.openxmlformats-officedocument.spreadsheetml.comments+xml"/>
  <Override PartName="/xl/drawings/drawing45.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ustomProperty31.bin" ContentType="application/vnd.openxmlformats-officedocument.spreadsheetml.customProperty"/>
  <Override PartName="/xl/drawings/drawing46.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omments24.xml" ContentType="application/vnd.openxmlformats-officedocument.spreadsheetml.comments+xml"/>
  <Override PartName="/xl/customProperty32.bin" ContentType="application/vnd.openxmlformats-officedocument.spreadsheetml.customProperty"/>
  <Override PartName="/xl/drawings/drawing47.xml" ContentType="application/vnd.openxmlformats-officedocument.drawing+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25.xml" ContentType="application/vnd.openxmlformats-officedocument.spreadsheetml.comments+xml"/>
  <Override PartName="/xl/drawings/drawing48.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omments26.xml" ContentType="application/vnd.openxmlformats-officedocument.spreadsheetml.comments+xml"/>
  <Override PartName="/xl/drawings/drawing49.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drawings/drawing50.xml" ContentType="application/vnd.openxmlformats-officedocument.drawing+xml"/>
  <Override PartName="/xl/ctrlProps/ctrlProp467.xml" ContentType="application/vnd.ms-excel.controlproperties+xml"/>
  <Override PartName="/xl/drawings/drawing51.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updateLinks="never" codeName="ThisWorkbook"/>
  <mc:AlternateContent xmlns:mc="http://schemas.openxmlformats.org/markup-compatibility/2006">
    <mc:Choice Requires="x15">
      <x15ac:absPath xmlns:x15ac="http://schemas.microsoft.com/office/spreadsheetml/2010/11/ac" url="D:\TRD-MUKU\Desktop\"/>
    </mc:Choice>
  </mc:AlternateContent>
  <workbookProtection workbookAlgorithmName="SHA-512" workbookHashValue="bdnKvmNN/dQK8q9OSfKT+LJtrNDMXZdFaSE0PaDWIQT/10OeKgiUKTjhGdxBw0hZhdID3ZxZkfqABXcGWSFSAQ==" workbookSaltValue="7xUlzUUT2BrExlB7DRvxnw==" workbookSpinCount="100000" lockStructure="1"/>
  <bookViews>
    <workbookView xWindow="0" yWindow="0" windowWidth="20490" windowHeight="7350" tabRatio="940" firstSheet="1" activeTab="1"/>
  </bookViews>
  <sheets>
    <sheet name="ISIN List" sheetId="67" state="veryHidden" r:id="rId1"/>
    <sheet name="Home" sheetId="41" r:id="rId2"/>
    <sheet name="PART A - General" sheetId="1" r:id="rId3"/>
    <sheet name="Nature Of Business" sheetId="5" r:id="rId4"/>
    <sheet name="Part A - BS" sheetId="6" r:id="rId5"/>
    <sheet name="Manufacturing Account" sheetId="57" r:id="rId6"/>
    <sheet name="Trading Account" sheetId="58" r:id="rId7"/>
    <sheet name="Profit and Loss" sheetId="7" r:id="rId8"/>
    <sheet name="Part A - OI" sheetId="8" r:id="rId9"/>
    <sheet name="Quantitative Details" sheetId="9" r:id="rId10"/>
    <sheet name="Sheet1" sheetId="38" state="veryHidden" r:id="rId11"/>
    <sheet name="ITold" sheetId="29" state="veryHidden" r:id="rId12"/>
    <sheet name="Schedule S" sheetId="69" r:id="rId13"/>
    <sheet name="House Property" sheetId="11" r:id="rId14"/>
    <sheet name="BP" sheetId="12" r:id="rId15"/>
    <sheet name="DPM - DOA" sheetId="13" r:id="rId16"/>
    <sheet name="DEP_DCG" sheetId="14" r:id="rId17"/>
    <sheet name="ESR" sheetId="15" r:id="rId18"/>
    <sheet name="CG" sheetId="17" r:id="rId19"/>
    <sheet name="Schedule 112A" sheetId="62" r:id="rId20"/>
    <sheet name="HelpCSV" sheetId="68" state="hidden" r:id="rId21"/>
    <sheet name="Schedule 115AD(1)(iii) proviso" sheetId="63" r:id="rId22"/>
    <sheet name="OS" sheetId="18" r:id="rId23"/>
    <sheet name="CYLA - BFLA" sheetId="19" r:id="rId24"/>
    <sheet name="CFL" sheetId="20" r:id="rId25"/>
    <sheet name="Unabsorbed Depreciation" sheetId="21" r:id="rId26"/>
    <sheet name="ICDS" sheetId="51" r:id="rId27"/>
    <sheet name="10AA" sheetId="22" r:id="rId28"/>
    <sheet name="80G" sheetId="24" r:id="rId29"/>
    <sheet name="80D" sheetId="64" r:id="rId30"/>
    <sheet name="RA" sheetId="59" r:id="rId31"/>
    <sheet name="80GGA" sheetId="71" state="hidden" r:id="rId32"/>
    <sheet name="80" sheetId="44" r:id="rId33"/>
    <sheet name="VI-A" sheetId="23" r:id="rId34"/>
    <sheet name="SPI - SI - IF" sheetId="25" r:id="rId35"/>
    <sheet name="AMT" sheetId="26" r:id="rId36"/>
    <sheet name="AMTC" sheetId="27" r:id="rId37"/>
    <sheet name="EI" sheetId="28" r:id="rId38"/>
    <sheet name="FSI1" sheetId="30" state="veryHidden" r:id="rId39"/>
    <sheet name="PTI" sheetId="50" r:id="rId40"/>
    <sheet name="TPSA" sheetId="66" r:id="rId41"/>
    <sheet name="FSI" sheetId="47" r:id="rId42"/>
    <sheet name="TR_FA" sheetId="35" r:id="rId43"/>
    <sheet name="Sch 5A" sheetId="33" r:id="rId44"/>
    <sheet name="AL" sheetId="52" r:id="rId45"/>
    <sheet name="GST" sheetId="60" r:id="rId46"/>
    <sheet name="Tax Calculated" sheetId="39" state="hidden" r:id="rId47"/>
    <sheet name="IT" sheetId="49" r:id="rId48"/>
    <sheet name="ESOP" sheetId="70" r:id="rId49"/>
    <sheet name="TDS" sheetId="32" r:id="rId50"/>
    <sheet name="Part B - TI TTI" sheetId="10" r:id="rId51"/>
    <sheet name="Verification" sheetId="61" r:id="rId52"/>
    <sheet name="OLDAL" sheetId="34" state="veryHidden" r:id="rId53"/>
    <sheet name="Temporary Values" sheetId="36" state="hidden" r:id="rId54"/>
    <sheet name="DropDownValues" sheetId="3" state="hidden" r:id="rId55"/>
    <sheet name="SUMMARY" sheetId="43" state="hidden" r:id="rId56"/>
    <sheet name="BA" sheetId="45" state="hidden" r:id="rId57"/>
    <sheet name="Instructions" sheetId="42" state="hidden" r:id="rId58"/>
  </sheets>
  <functionGroups builtInGroupCount="18">
    <functionGroup name="EPMXLL"/>
    <functionGroup name="EVFunctions (Deprecated)"/>
    <functionGroup name="EPMFunctions"/>
    <functionGroup name="AuditSystem/2"/>
    <functionGroup name="XLTools"/>
  </functionGroups>
  <externalReferences>
    <externalReference r:id="rId59"/>
    <externalReference r:id="rId60"/>
    <externalReference r:id="rId61"/>
    <externalReference r:id="rId62"/>
    <externalReference r:id="rId63"/>
  </externalReferences>
  <definedNames>
    <definedName name="_xlnm._FilterDatabase" localSheetId="0" hidden="1">'ISIN List'!$A$1:$B$1</definedName>
    <definedName name="_Ins1" localSheetId="20">HelpCSV!$K$14</definedName>
    <definedName name="_Ins1">Instructions!$K$14</definedName>
    <definedName name="_Ins10" localSheetId="20">HelpCSV!$K$59</definedName>
    <definedName name="_Ins10">Instructions!$K$59</definedName>
    <definedName name="_Ins11" localSheetId="20">HelpCSV!$K$69</definedName>
    <definedName name="_Ins11">Instructions!$K$69</definedName>
    <definedName name="_Ins2" localSheetId="20">HelpCSV!$K$22</definedName>
    <definedName name="_Ins2">Instructions!$K$22</definedName>
    <definedName name="_Ins3" localSheetId="20">HelpCSV!$K$26</definedName>
    <definedName name="_Ins3">Instructions!$K$26</definedName>
    <definedName name="_Ins4" localSheetId="20">HelpCSV!$K$30</definedName>
    <definedName name="_Ins4">Instructions!$K$30</definedName>
    <definedName name="_Ins5" localSheetId="20">HelpCSV!$K$40</definedName>
    <definedName name="_Ins5">Instructions!$K$40</definedName>
    <definedName name="_Ins6" localSheetId="20">HelpCSV!$K$43</definedName>
    <definedName name="_Ins6">Instructions!$K$43</definedName>
    <definedName name="_Ins7" localSheetId="20">HelpCSV!$K$46</definedName>
    <definedName name="_Ins7">Instructions!$K$46</definedName>
    <definedName name="_Ins8" localSheetId="20">HelpCSV!$K$49</definedName>
    <definedName name="_Ins8">Instructions!$K$49</definedName>
    <definedName name="_Ins9" localSheetId="20">HelpCSV!$K$56</definedName>
    <definedName name="_Ins9">Instructions!$K$56</definedName>
    <definedName name="AA10.AssmtYrUnit">'10AA'!$H$11:$H$13</definedName>
    <definedName name="AA10.DedFromUndertaking">'10AA'!$I$11:$I$13</definedName>
    <definedName name="AA10.TotalDedUs10Sub">'10AA'!$I$14</definedName>
    <definedName name="AA10_undertaking">'10AA'!$F$11:$F$13</definedName>
    <definedName name="Aadhar_TDS3">TDS!$G$39:$G$42</definedName>
    <definedName name="Aadhar1">'PART A - General'!$BB$48:$BB$51</definedName>
    <definedName name="Aadhar2">'PART A - General'!#REF!</definedName>
    <definedName name="AccLTCG.Up16Of12To15Of3">CG!$Q$424</definedName>
    <definedName name="AccLTCG.Up16Of3To31Of3">CG!$S$424</definedName>
    <definedName name="AccLTCG.Up16Of9To15Of12">CG!$O$424</definedName>
    <definedName name="AccLTCG.Upto15Of6">CG!$L$424</definedName>
    <definedName name="AccLTCG.Upto15Of9">CG!$M$424</definedName>
    <definedName name="AccLTCGDTAA.Up16Of12To15Of3">CG!$Q$426</definedName>
    <definedName name="AccLTCGDTAA.Up16Of3To31Of3">CG!$S$426</definedName>
    <definedName name="AccLTCGDTAA.Up16Of9To15Of12">CG!$O$426</definedName>
    <definedName name="AccLTCGDTAA.Upto15Of6">CG!$L$426</definedName>
    <definedName name="AccLTCGDTAA.Upto15Of9">CG!$M$426</definedName>
    <definedName name="AccLTCGNP.Up16Of12To15Of3">CG!$Q$425</definedName>
    <definedName name="AccLTCGNP.Up16Of3To31Of3">CG!$S$425</definedName>
    <definedName name="AccLTCGNP.Up16Of9To15Of12">CG!$O$425</definedName>
    <definedName name="AccLTCGNP.Upto15Of6">CG!$L$425</definedName>
    <definedName name="AccLTCGNP.Upto15Of9">CG!$M$425</definedName>
    <definedName name="AccSTCG.Up16Of12To15Of3">CG!$Q$420</definedName>
    <definedName name="AccSTCG.Up16Of3To31Of3">CG!$S$420</definedName>
    <definedName name="AccSTCG.Up16Of9To15Of12">CG!$O$420</definedName>
    <definedName name="AccSTCG.Upto15Of6">CG!$L$420</definedName>
    <definedName name="AccSTCG.Upto15Of9">CG!$M$420</definedName>
    <definedName name="ACCSTCG30.Up16Of12To15Of3">CG!$Q$421</definedName>
    <definedName name="ACCSTCG30.Up16Of3To31Of3">CG!$S$421</definedName>
    <definedName name="ACCSTCG30.Up16Of9To15Of12">CG!$O$421</definedName>
    <definedName name="AccSTCG30.Upto15Of6">CG!$L$421</definedName>
    <definedName name="AccSTCG30.Upto15Of9">CG!$M$421</definedName>
    <definedName name="AccSTCGDTAA.Up16Of12To15Of3">CG!$Q$423</definedName>
    <definedName name="AccSTCGDTAA.Up16Of3To31Of3">CG!$S$423</definedName>
    <definedName name="AccSTCGDTAA.Up16Of9To15Of12">CG!$O$423</definedName>
    <definedName name="AccSTCGDTAA.Upto15Of6">CG!$L$423</definedName>
    <definedName name="AccSTCGDTAA.Upto15Of9">CG!$M$423</definedName>
    <definedName name="AccSTCGOTH.Up16Of12To15Of3">CG!$Q$422</definedName>
    <definedName name="AccSTCGOTH.Up16Of3To31Of3">CG!$S$422</definedName>
    <definedName name="AccSTCGOTH.Up16Of9To15Of12">CG!$O$422</definedName>
    <definedName name="AccSTCGOTH.Upto15Of6">CG!$L$422</definedName>
    <definedName name="AccSTCGOTH.Upto15Of9">CG!$M$422</definedName>
    <definedName name="acknowledgmentnumber">'PART A - General'!$AK$38</definedName>
    <definedName name="Address_80GGA">RA!$F$7:$F$10</definedName>
    <definedName name="Address_80GGANew">'80GGA'!$G$7:$G$10</definedName>
    <definedName name="adjstGTI">'80G'!$U$22</definedName>
    <definedName name="adjtotloss.BusLossOthThanSpecLossCF9">CFL!$L$19</definedName>
    <definedName name="adjtotloss.HPLossCF9">CFL!$G$19</definedName>
    <definedName name="adjtotloss.LossFrmSpecBusCF9">CFL!$M$19</definedName>
    <definedName name="adjtotloss.LossFrmSpecifiedBusCF9">CFL!$N$19</definedName>
    <definedName name="adjtotloss.LTCGLossCF9">CFL!$R$19</definedName>
    <definedName name="adjtotloss.OthSrcLossRaceHorseCF9">CFL!$U$19</definedName>
    <definedName name="adjtotloss.STCGLossCF9">CFL!$O$19</definedName>
    <definedName name="age">'Temporary Values'!$B$27</definedName>
    <definedName name="Age_TX">Sheet1!$G$8</definedName>
    <definedName name="AL.ArchCollDrawPaintSulpArt">OLDAL!$J$14</definedName>
    <definedName name="AL.CashInHand">OLDAL!$J$12</definedName>
    <definedName name="AL.DepositsInBank">OLDAL!$J$8</definedName>
    <definedName name="AL.ImmovableAssetBuilding">OLDAL!$J$5</definedName>
    <definedName name="AL.ImmovableAssetLand">OLDAL!$J$4</definedName>
    <definedName name="AL.InsurancePolicies">OLDAL!$J$10</definedName>
    <definedName name="AL.JewelleryBullionEtc">OLDAL!$J$13</definedName>
    <definedName name="AL.LiabilityInRelatAssets">OLDAL!$J$17</definedName>
    <definedName name="AL.LoansAndAdvancesGiven">OLDAL!$J$11</definedName>
    <definedName name="AL.SharesAndSecurities">OLDAL!$J$9</definedName>
    <definedName name="al.TotalImmovablMovablAssets">OLDAL!$J$16</definedName>
    <definedName name="AL.VehiclYachtsBoatsAircrafts">OLDAL!$J$15</definedName>
    <definedName name="AllBS.names">'Part A - BS'!$J$8,'Part A - BS'!$L$5,'Part A - BS'!$J$7,'Part A - BS'!$J$8,'Part A - BS'!$J$9,'Part A - BS'!$J$10,'Part A - BS'!$J$15,'Part A - BS'!$J$17,'Part A - BS'!$J$18,'Part A - BS'!$J$22,'Part A - BS'!$J$23,'Part A - BS'!$L$26,'Part A - BS'!$J$29,'Part A - BS'!$J$30,'Part A - BS'!$J$32,'Part A - BS'!$J$36,'Part A - BS'!$J$37,'Part A - BS'!$J$40,'Part A - BS'!$J$41,'Part A - BS'!$J$42,'Part A - BS'!$J$48,'Part A - BS'!$J$49,'Part A - BS'!$J$50,'Part A - BS'!$J$51,'Part A - BS'!$L$53,'Part A - BS'!$J$55,'Part A - BS'!$J$56,'Part A - BS'!$L$58,'Part A - BS'!$J$61,'Part A - BS'!$J$62,'Part A - BS'!$J$63,'Part A - BS'!$J$68,'Part A - BS'!$J$69,'Part A - BS'!$J$70,'Part A - BS'!$J$71,'Part A - BS'!$J$74,'Part A - BS'!$J$76,'Part A - BS'!$J$77,'Part A - BS'!$J$81,'Part A - BS'!$J$82,'Part A - BS'!$J$83,'Part A - BS'!$L$87</definedName>
    <definedName name="ALLMA_NAMES">'Manufacturing Account'!$R$6:$T$7,'Manufacturing Account'!$R$9:$T$10,'Manufacturing Account'!$R$12:$T$14,'Manufacturing Account'!$R$16:$T$21,'Manufacturing Account'!$R$25:$T$26</definedName>
    <definedName name="Allow3ai">OS!$U$84</definedName>
    <definedName name="Allpl.name">'Profit and Loss'!#REF!,'Profit and Loss'!#REF!,'Profit and Loss'!#REF!,'Profit and Loss'!#REF!,'Profit and Loss'!$J$6:$J$15,'Profit and Loss'!#REF!,'Profit and Loss'!#REF!,'Profit and Loss'!#REF!,'Profit and Loss'!#REF!,'Profit and Loss'!$L$26:$L$31,'Profit and Loss'!$J$33:$J$42,'Profit and Loss'!$J$44:$J$45,'Profit and Loss'!$J$47:$J$50,'Profit and Loss'!$L$52:$L$57,'Profit and Loss'!$J$59:$J$60,'Profit and Loss'!$J$63:$J$64,'Profit and Loss'!$J$67:$J$68,'Profit and Loss'!$L$70:$L$80,'Profit and Loss'!$J$82:$J$90,'Profit and Loss'!$L$92,'Profit and Loss'!$J$112:$J$120</definedName>
    <definedName name="ALLPL_NAMES1">'Profit and Loss'!$J$6,'Profit and Loss'!$J$6:$J$15,'Profit and Loss'!$H$18:$H$21,'Profit and Loss'!$J$18:$J$21,'Profit and Loss'!$L$26:$L$31,'Profit and Loss'!$J$33:$J$42,'Profit and Loss'!$J$44:$J$45,'Profit and Loss'!$J$47:$J$50,'Profit and Loss'!$L$52:$L$57,'Profit and Loss'!$J$59:$J$60,'Profit and Loss'!$J$63:$J$64,'Profit and Loss'!$J$67:$J$68,'Profit and Loss'!$L$70:$L$80,'Profit and Loss'!$J$82:$J$90,'Profit and Loss'!$L$92,'Profit and Loss'!$H$95:$H$98,'Profit and Loss'!$J$95:$J$98,'Profit and Loss'!$H$103:$H$109,'Profit and Loss'!$J$103:$J$109</definedName>
    <definedName name="ALLPL_NAMES2">'Profit and Loss'!$L$122,'Profit and Loss'!$L$122:$L$123,'Profit and Loss'!$J$126:$J$127,'Profit and Loss'!$L$129,'Profit and Loss'!$L$131:$L$132,'Profit and Loss'!$L$134,'Profit and Loss'!$L$136,'Profit and Loss'!$E$140:$L$142,'Profit and Loss'!$K$144:$L$145,'Profit and Loss'!$K$147:$L$148,'Profit and Loss'!$E$152:$L$154,'Profit and Loss'!$K$155:$L$156,'Profit and Loss'!$E$160:$L$162,'Profit and Loss'!$E$165:$L$168,'Profit and Loss'!$L$182:$L$185,'Profit and Loss'!$L$189:$L$192,'Profit and Loss'!$L$195:$L$197</definedName>
    <definedName name="ALLPL_NAMES3">'Profit and Loss'!$F$114:$Q$115,'Profit and Loss'!$J$120</definedName>
    <definedName name="AllTA_Names">'Trading Account'!$K$6,'Trading Account'!$K$6,'Trading Account'!$K$7,'Trading Account'!$G$10:$H$11,'Trading Account'!$K$16,'Trading Account'!$K$18:$L$25,'Trading Account'!$K$28,'Trading Account'!$K$30:$L$31,'Trading Account'!$K$33:$L$34,'Trading Account'!$G$37:$H$38,'Trading Account'!$K$43:$L$53</definedName>
    <definedName name="AMT.AdjustedUnderSec115JC">AMT!$J$10</definedName>
    <definedName name="AMT.AdjustedUnderSec115JC3a">AMT!$J$11</definedName>
    <definedName name="AMT.AdjustedUnderSec115JC3a2_1cr">AMT!$N$13</definedName>
    <definedName name="AMT.AdjustedUnderSec115JC3a2_2cr">AMT!$N$11</definedName>
    <definedName name="AMT.AdjustedUnderSec115JC3a2_50L">AMT!$N$7</definedName>
    <definedName name="AMT.AdjustedUnderSec115JC3a2_5cr">AMT!$N$9</definedName>
    <definedName name="AMT.AdjustedUnderSec115JC3a2New_1cr">AMT!$N$14</definedName>
    <definedName name="AMT.AdjustedUnderSec115JC3a2New_2cr">AMT!$N$12</definedName>
    <definedName name="AMT.AdjustedUnderSec115JC3a2New_50L">AMT!$N$8</definedName>
    <definedName name="AMT.AdjustedUnderSec115JC3a2New_5cr">AMT!$N$10</definedName>
    <definedName name="AMT.AdjustedUnderSec115JC3aNew">AMT!$M$9</definedName>
    <definedName name="AMT.AdjustedUnderSec115JC3b">AMT!$J$12</definedName>
    <definedName name="AMT.AdjustedUnderSec115JC3b2_1cr">AMT!$O$13</definedName>
    <definedName name="AMT.AdjustedUnderSec115JC3b2_2cr">AMT!$O$11</definedName>
    <definedName name="AMT.AdjustedUnderSec115JC3b2_50L">AMT!$O$7</definedName>
    <definedName name="AMT.AdjustedUnderSec115JC3b2_5cr">AMT!$O$9</definedName>
    <definedName name="AMT.AdjustedUnderSec115JC3b2New_1cr">AMT!$O$14</definedName>
    <definedName name="AMT.AdjustedUnderSec115JC3b2New_2cr">AMT!$O$12</definedName>
    <definedName name="AMT.AdjustedUnderSec115JC3b2New_50L">AMT!$O$8</definedName>
    <definedName name="AMT.AdjustedUnderSec115JC3b2New_5cr">AMT!$O$10</definedName>
    <definedName name="AMT.AdjustedUnderSec115JC3bNew">AMT!$M$10</definedName>
    <definedName name="AMT.BTax_1cr">AMT!$P$13</definedName>
    <definedName name="AMT.BTax_2cr">AMT!$P$11</definedName>
    <definedName name="AMT.BTax_50L">AMT!$P$7</definedName>
    <definedName name="AMT.BTax_5cr">AMT!$P$9</definedName>
    <definedName name="AMT.DeductClaimSec10AA">AMT!$H$7</definedName>
    <definedName name="AMT.DeductClaimSec35AD">AMT!$H$8</definedName>
    <definedName name="AMT.DeductClaimSec6A">AMT!$H$6</definedName>
    <definedName name="AMT.TaxPayableUnderSec115JC">AMT!$J$13</definedName>
    <definedName name="AMT.Total">AMT!$H$9</definedName>
    <definedName name="AMT.TotalIncItem11">AMT!$J$4</definedName>
    <definedName name="Amt_1">BP!$I$38:$I$40</definedName>
    <definedName name="Amt_Condn">AMT!$M$3</definedName>
    <definedName name="AMTC.AmtCreditBalBroughtFwd">AMTC!$I$12</definedName>
    <definedName name="AMTC.AmtCreditBalBroughtFwd_Total">AMTC!$I$19</definedName>
    <definedName name="AMTC.AmtCreditBalBroughtFwd0">AMTC!$I$18</definedName>
    <definedName name="AMTC.AmtCreditBalBroughtFwd1">AMTC!$I$9</definedName>
    <definedName name="AMTC.AmtCreditBalBroughtFwd2">AMTC!$I$10</definedName>
    <definedName name="AMTC.AmtCreditBalBroughtFwd3">AMTC!$I$11</definedName>
    <definedName name="AMTC.AmtCreditBalBroughtFwd4">AMTC!$I$14</definedName>
    <definedName name="AMTC.AmtCreditBalBroughtFwd5">AMTC!$I$13</definedName>
    <definedName name="AMTC.AmtCreditBalBroughtFwd6">AMTC!$I$15</definedName>
    <definedName name="AMTC.AmtCreditBalBroughtFwd7">AMTC!$I$16</definedName>
    <definedName name="AMTC.AmtCreditBalBroughtFwd8">AMTC!$I$17</definedName>
    <definedName name="AMTC.AmtCreditFwd">AMTC!$G$12</definedName>
    <definedName name="AMTC.AmtCreditFwd_Total">AMTC!$G$19</definedName>
    <definedName name="AMTC.AmtCreditFwd0">AMTC!$G$18</definedName>
    <definedName name="AMTC.AmtCreditFwd1">AMTC!$G$9</definedName>
    <definedName name="AMTC.AmtCreditFwd2">AMTC!$G$10</definedName>
    <definedName name="AMTC.AmtCreditFwd3">AMTC!$G$11</definedName>
    <definedName name="AMTC.AmtCreditFwd4">AMTC!$G$14</definedName>
    <definedName name="AMTC.AmtCreditFwd5">AMTC!$G$13</definedName>
    <definedName name="AMTC.AmtCreditFwd6">AMTC!$G$15</definedName>
    <definedName name="AMTC.AmtCreditFwd7">AMTC!$G$16</definedName>
    <definedName name="AMTC.AmtCreditFwd8">AMTC!$G$17</definedName>
    <definedName name="AMTC.AmtCreditSetOfEy">AMTC!$H$12</definedName>
    <definedName name="AMTC.AmtCreditSetOfEy_Total">AMTC!$H$19</definedName>
    <definedName name="AMTC.AmtCreditSetOfEy0">AMTC!$H$18</definedName>
    <definedName name="AMTC.AmtCreditSetOfEy1">AMTC!$H$9</definedName>
    <definedName name="AMTC.AmtCreditSetOfEy2">AMTC!$H$10</definedName>
    <definedName name="AMTC.AmtCreditSetOfEy3">AMTC!$H$11</definedName>
    <definedName name="AMTC.AmtCreditSetOfEy4">AMTC!$H$14</definedName>
    <definedName name="AMTC.AmtCreditSetOfEy5">AMTC!$H$13</definedName>
    <definedName name="AMTC.AmtCreditSetOfEy6">AMTC!$H$15</definedName>
    <definedName name="AMTC.AmtCreditSetOfEy7">AMTC!$H$16</definedName>
    <definedName name="AMTC.AmtCreditSetOfEy8">AMTC!$H$17</definedName>
    <definedName name="AMTC.AmtCreditUtilized">AMTC!$J$12</definedName>
    <definedName name="AMTC.AmtCreditUtilized_Total">AMTC!$J$19</definedName>
    <definedName name="AMTC.AmtCreditUtilized0">AMTC!$J$18</definedName>
    <definedName name="AMTC.AmtCreditUtilized1">AMTC!$J$9</definedName>
    <definedName name="AMTC.AmtCreditUtilized2">AMTC!$J$10</definedName>
    <definedName name="AMTC.AmtCreditUtilized3">AMTC!$J$11</definedName>
    <definedName name="AMTC.AmtCreditUtilized4">AMTC!$J$14</definedName>
    <definedName name="AMTC.AmtCreditUtilized5">AMTC!$J$13</definedName>
    <definedName name="AMTC.AmtCreditUtilized6">AMTC!$J$15</definedName>
    <definedName name="AMTC.AmtCreditUtilized7">AMTC!$J$16</definedName>
    <definedName name="AMTC.AmtCreditUtilized8">AMTC!$J$17</definedName>
    <definedName name="AMTC.AmtLiabilityAvailable">AMTC!$K$21</definedName>
    <definedName name="AMTC.AmtTaxCreditAvailable">AMTC!$L$6</definedName>
    <definedName name="AMTC.AssYr13_14">AMTC!$F$12</definedName>
    <definedName name="AMTC.AssYr13_140">AMTC!$F$9</definedName>
    <definedName name="AMTC.AssYr13_142">AMTC!$F$10</definedName>
    <definedName name="AMTC.AssYr13_143">AMTC!$F$11</definedName>
    <definedName name="AMTC.AssYr13_144">AMTC!$F$14</definedName>
    <definedName name="AMTC.AssYr14_15">AMTC!$F$18</definedName>
    <definedName name="AMTC.AssYr17_18">AMTC!$F$13</definedName>
    <definedName name="AMTC.AssYr20_21">AMTC!$F$15</definedName>
    <definedName name="AMTC.BalAmtCreditCarryFwd">AMTC!$K$12</definedName>
    <definedName name="AMTC.BalAmtCreditCarryFwd_Total">AMTC!$K$19</definedName>
    <definedName name="AMTC.BalAmtCreditCarryFwd0">AMTC!$K$18</definedName>
    <definedName name="AMTC.BalAmtCreditCarryFwd1">AMTC!$K$9</definedName>
    <definedName name="AMTC.BalAmtCreditCarryFwd2">AMTC!$K$10</definedName>
    <definedName name="AMTC.BalAmtCreditCarryFwd3">AMTC!$K$11</definedName>
    <definedName name="AMTC.BalAmtCreditCarryFwd4">AMTC!$K$14</definedName>
    <definedName name="AMTC.BalAmtCreditCarryFwd5">AMTC!$K$13</definedName>
    <definedName name="AMTC.BalAmtCreditCarryFwd6">AMTC!$K$15</definedName>
    <definedName name="AMTC.BalAmtCreditCarryFwd7">AMTC!$K$16</definedName>
    <definedName name="AMTC.BalAmtCreditCarryFwd8">AMTC!$K$17</definedName>
    <definedName name="AMTC.TaxOthProvisions">AMTC!$L$5</definedName>
    <definedName name="AMTC.TaxSection115JC">AMTC!$L$4</definedName>
    <definedName name="AMTC.TaxSection115JD">AMTC!$K$20</definedName>
    <definedName name="AMTCmove">'Part B - TI TTI'!$R$35</definedName>
    <definedName name="AOIFlag_1">'Part B - TI TTI'!$L$124</definedName>
    <definedName name="AssesseAge">'Tax Calculated'!$B$22</definedName>
    <definedName name="AssessedTax">Sheet1!$I$5</definedName>
    <definedName name="AssYearUnit">DropDownValues!$AN$3:$AN$25</definedName>
    <definedName name="Audit.Act">'PART A - General'!$F$112:$N$115</definedName>
    <definedName name="Audit.ACTYN">'PART A - General'!$AG$112:$AH$115</definedName>
    <definedName name="Audit.Date">'PART A - General'!$AI$112:$AS$115</definedName>
    <definedName name="Audit.Others">'PART A - General'!$O$112:$W$115</definedName>
    <definedName name="Audit.Sections">'PART A - General'!$X$112:$AF$115</definedName>
    <definedName name="AuditcheckinIF">'SPI - SI - IF'!$W$101</definedName>
    <definedName name="AuditDropDown">DropDownValues!$AI$3:$AI$22</definedName>
    <definedName name="B5_DeductionTotal">CG!$Q$222</definedName>
    <definedName name="BA.Button1">BA!$A$11</definedName>
    <definedName name="bacValue">DropDownValues!$CZ$3</definedName>
    <definedName name="BacValueDropdown">'PART A - General'!$AK$34</definedName>
    <definedName name="BacValueList">DropDownValues!$DB$2:$DB$4</definedName>
    <definedName name="Balance_112A">'Schedule 112A'!$T$6:$T$9</definedName>
    <definedName name="Balance_115AD">'Schedule 115AD(1)(iii) proviso'!$T$6:$T$9</definedName>
    <definedName name="BalTaxPay44AD">'Tax Calculated'!$B$115</definedName>
    <definedName name="BankCode">DropDownValues!$CJ$4:$CJ$167</definedName>
    <definedName name="BankNameList">DropDownValues!$CI$3:$CI$167</definedName>
    <definedName name="BankNameWithCode">BA!$J$6:$J$8</definedName>
    <definedName name="BBDA.Up16Of12To15Of3">OS!$K$99</definedName>
    <definedName name="BBDA.Up16Of3To31Of3">OS!$L$99</definedName>
    <definedName name="BBDA.Up16Of9To15Of12">OS!$J$99</definedName>
    <definedName name="BBDA.Upto15Of6">OS!$H$99</definedName>
    <definedName name="BBDA.Upto15Of9">OS!$I$99</definedName>
    <definedName name="BFLAtemp10Sec1121c2">'Temporary Values'!$F$9</definedName>
    <definedName name="BFLAtemp10Sec112A">'Temporary Values'!$F$13</definedName>
    <definedName name="BFLAtemp10Sec115AC1">'Temporary Values'!$F$10</definedName>
    <definedName name="BFLAtemp10Sec115ACA1">'Temporary Values'!$F$7</definedName>
    <definedName name="BFLAtemp10Sec115AD3">'Temporary Values'!$F$11</definedName>
    <definedName name="BFLAtemp10Sec115AD3_Proviso">'Temporary Values'!$F$12</definedName>
    <definedName name="BFLAtemp10Sec115Eb">'Temporary Values'!$F$8</definedName>
    <definedName name="BFLAtemp10SecPro">'Temporary Values'!$F$6</definedName>
    <definedName name="BFLAtemp115AD30">'Temporary Values'!$F$20</definedName>
    <definedName name="BFLAtemp15Sec111a">'Temporary Values'!$F$4</definedName>
    <definedName name="BFLAtemp15Sec115ad1bii">'Temporary Values'!$F$5</definedName>
    <definedName name="BFLAtemp20Sec112">'Temporary Values'!$F$2</definedName>
    <definedName name="BFLAtemp20Sec11EA">'Temporary Values'!$F$3</definedName>
    <definedName name="BFLAtempAR">'Temporary Values'!$F$21</definedName>
    <definedName name="BFLAtempPTI10">'Temporary Values'!$F$14</definedName>
    <definedName name="BFLAtempPTI10_112">'Temporary Values'!$F$15</definedName>
    <definedName name="BFLAtempPTI15">'Temporary Values'!$F$16</definedName>
    <definedName name="BFLAtempPTI20">'Temporary Values'!$F$17</definedName>
    <definedName name="BFLAtempPTI30">'Temporary Values'!$F$18</definedName>
    <definedName name="BFLAtempPTIAR">'Temporary Values'!$F$19</definedName>
    <definedName name="BFlossPrevYrUndSameHeadSetoff3a">'CYLA - BFLA'!$G$32</definedName>
    <definedName name="BooksSpouse44ABFlg">'Sch 5A'!$L$7</definedName>
    <definedName name="BooksSpouse92EFlg">'Sch 5A'!$L$8</definedName>
    <definedName name="BP.Bonus">BP!$I$83</definedName>
    <definedName name="BP.Commission">BP!$I$84</definedName>
    <definedName name="BP.DecPIncL">BP!$K$99</definedName>
    <definedName name="BP.IncDecProfit">BP!$K$87</definedName>
    <definedName name="BP.Interest">BP!$I$85</definedName>
    <definedName name="BP.OtherExempt">BP!$F$41</definedName>
    <definedName name="BP.Others">BP!$I$86</definedName>
    <definedName name="BP.Salary">BP!$I$82</definedName>
    <definedName name="BP_4_44AD">BP!$I$19</definedName>
    <definedName name="BP_4_44ADA">BP!$I$20</definedName>
    <definedName name="BP_4_44AE">BP!$I$21</definedName>
    <definedName name="BP_4_44B">BP!$I$22</definedName>
    <definedName name="BP_4_44BB">BP!$I$23</definedName>
    <definedName name="BP_4_44BBA">BP!$I$24</definedName>
    <definedName name="BP_4_44DA">BP!$I$25</definedName>
    <definedName name="BP_4b_ProfitRule7">BP!$I$28</definedName>
    <definedName name="BP_4b_ProfitRule7A">BP!$I$29</definedName>
    <definedName name="BP_4b_ProfitRule7B1">BP!$I$30</definedName>
    <definedName name="BP_4b_ProfitRule7B2">BP!$I$31</definedName>
    <definedName name="BP_4b_ProfitRule8">BP!$I$32</definedName>
    <definedName name="BP_4b_TotalProfitFromActivates">BP!$I$26</definedName>
    <definedName name="BP_80GGA">'80GGA'!$T$1</definedName>
    <definedName name="BP_BalanceOfIncome39">BP!$K$129</definedName>
    <definedName name="BP_Chargeable_rule7">BP!$I$123</definedName>
    <definedName name="BP_Chargeable_rule7A">BP!$I$124</definedName>
    <definedName name="BP_Chargeable_rule7B1">BP!$I$125</definedName>
    <definedName name="BP_Chargeable_rule7B1A">BP!$I$126</definedName>
    <definedName name="BP_Chargeable_rule8">BP!$I$127</definedName>
    <definedName name="BP_Chargeable_ruleOther">BP!$I$128</definedName>
    <definedName name="BP_Drp">DropDownValues!$AJ$3:$AJ$16</definedName>
    <definedName name="bpnsincome.bf">'CYLA - BFLA'!$AI$17</definedName>
    <definedName name="bpnsincome.bp">'CYLA - BFLA'!$AE$17</definedName>
    <definedName name="bpnsincome.hp">'CYLA - BFLA'!$AA$17</definedName>
    <definedName name="bpnsincome.ih">'CYLA - BFLA'!$T$17</definedName>
    <definedName name="bpnsincome.os">'CYLA - BFLA'!$W$17</definedName>
    <definedName name="bpnsloss.bf">'CYLA - BFLA'!$AH$17</definedName>
    <definedName name="bpnsloss.bfadj">'CYLA - BFLA'!$AJ$17</definedName>
    <definedName name="bpnsloss.bp">'CYLA - BFLA'!$AG$17</definedName>
    <definedName name="bpnsloss.hp">'CYLA - BFLA'!$AC$17</definedName>
    <definedName name="bpnsloss.ih">'CYLA - BFLA'!$U$17</definedName>
    <definedName name="bpnsloss.os">'CYLA - BFLA'!$Y$17</definedName>
    <definedName name="bpnstobps.cfl">Home!$D$34</definedName>
    <definedName name="bpsincome">'CYLA - BFLA'!$R$30</definedName>
    <definedName name="bpsincome.bf">'CYLA - BFLA'!$AI$30</definedName>
    <definedName name="bpsloss.bfadj">'CYLA - BFLA'!$AJ$30</definedName>
    <definedName name="bpspincome">'CYLA - BFLA'!$R$31</definedName>
    <definedName name="bpsploss.bfadj">'CYLA - BFLA'!$AJ$31</definedName>
    <definedName name="busipofincl.BFAllUs35Cl4Setoff2">'CYLA - BFLA'!$I$32</definedName>
    <definedName name="busipofincl.BFlossPrevYrUndSameHeadSetoff2">'CYLA - BFLA'!$G$32</definedName>
    <definedName name="busipofincl.BFUnabsorbedDeprSetoff2">'CYLA - BFLA'!$H$32</definedName>
    <definedName name="busipofincl.IncOfCurYrAfterSetOffBFLosses2">'CYLA - BFLA'!$J$32</definedName>
    <definedName name="busipofincl.IncOfCurYrUndHeadFromCYLA2">'CYLA - BFLA'!$F$32</definedName>
    <definedName name="busipofinclspec.BFAllUs35Cl4Setoff2a">'CYLA - BFLA'!$I$33</definedName>
    <definedName name="busipofinclspec.BFlossPrevYrUndSameHeadSetoff2a">'CYLA - BFLA'!$G$33</definedName>
    <definedName name="busipofinclspec.BFUnabsorbedDeprSetoff2a">'CYLA - BFLA'!$H$33</definedName>
    <definedName name="busipofinclspec.IncOfCurYrAfterSetOffBFLosses2a">'CYLA - BFLA'!$J$33</definedName>
    <definedName name="busipofinclspec.IncOfCurYrUndHeadFromCYLA2a">'CYLA - BFLA'!$F$33</definedName>
    <definedName name="busipofinclspecified.BFAllUs35Cl4Setoff2b">'CYLA - BFLA'!$I$34</definedName>
    <definedName name="busipofinclspecified.BFlossPrevYrUndSameHeadSetoff2b">'CYLA - BFLA'!$G$34</definedName>
    <definedName name="busipofinclspecified.BFUnabsorbedDeprSetoff2b">'CYLA - BFLA'!$H$34</definedName>
    <definedName name="busipofinclspecified.IncOfCurYrAfterSetOffBFLosses2b">'CYLA - BFLA'!$J$34</definedName>
    <definedName name="busipofinclspecified.IncOfCurYrUndHeadFromCYLA2b">'CYLA - BFLA'!$F$34</definedName>
    <definedName name="busprof.HPlossCurYrSetoff">'CYLA - BFLA'!$G$10</definedName>
    <definedName name="busprof.IncOfCurYrAfterSetOff">'CYLA - BFLA'!$J$10</definedName>
    <definedName name="busprof.IncOfCurYrUnderThatHead">'CYLA - BFLA'!$F$10</definedName>
    <definedName name="busprof.OthSrcLossNoRaceHorseSetoff">'CYLA - BFLA'!$I$10</definedName>
    <definedName name="busprof0b.HPlossCurYrSetoff0b">'CYLA - BFLA'!$G$12</definedName>
    <definedName name="busprofspec.HPlossCurYrSetoff0a">'CYLA - BFLA'!$G$11</definedName>
    <definedName name="busprofspec.IncOfCurYrAfterSetOff0a">'CYLA - BFLA'!$J$11</definedName>
    <definedName name="busprofspec.IncOfCurYrUnderThatHead0a">'CYLA - BFLA'!$F$11</definedName>
    <definedName name="busprofspec.OthSrcLossNoRaceHorseSetoff0a">'CYLA - BFLA'!$I$11</definedName>
    <definedName name="busprofspecified.IncOfCurYrAfterSetOff0b">'CYLA - BFLA'!$J$12</definedName>
    <definedName name="busprofspecified.IncOfCurYrUnderThatHead0b">'CYLA - BFLA'!$F$12</definedName>
    <definedName name="busprofspecified.OthSrcLossNoRaceHorseSetoff0b">'CYLA - BFLA'!$I$12</definedName>
    <definedName name="Button_10A">'10AA'!#REF!</definedName>
    <definedName name="Button_10AA">'10AA'!$C$16</definedName>
    <definedName name="BUTTON_160_LTCG10">CG!$G$331</definedName>
    <definedName name="Button_40">OS!$G$75:$H$75</definedName>
    <definedName name="Button_80G1">'80G'!$D$14:$G$15</definedName>
    <definedName name="Button_80G2">'80G'!$D$27</definedName>
    <definedName name="Button_80G3">'80G'!$D$41</definedName>
    <definedName name="Button_80G4">'80G'!$D$54</definedName>
    <definedName name="Button_80IAa">'80'!$E$6:$H$6</definedName>
    <definedName name="Button_80IAb">'80'!$E$11:$H$11</definedName>
    <definedName name="Button_80IAc">'80'!$E$15:$H$15</definedName>
    <definedName name="Button_80IAd">'80'!$E$19:$H$19</definedName>
    <definedName name="Button_80IBa">'80'!$E$27:$H$27</definedName>
    <definedName name="Button_CG">CG!$I$400:$K$401</definedName>
    <definedName name="Button_CGA1">CG!$F$29</definedName>
    <definedName name="Button_CGB1">CG!$F$168</definedName>
    <definedName name="Button_Ded115F">CG!$G$389</definedName>
    <definedName name="Button_Ded54">CG!$G$349</definedName>
    <definedName name="Button_Ded54B">CG!$G$354</definedName>
    <definedName name="Button_Ded54D">CG!$G$359</definedName>
    <definedName name="Button_Ded54EC">CG!$G$364</definedName>
    <definedName name="Button_Ded54EE">CG!$G$369</definedName>
    <definedName name="Button_Ded54F">CG!$G$374</definedName>
    <definedName name="Button_Ded54G">CG!$G$379</definedName>
    <definedName name="Button_Ded54GA">CG!$G$384</definedName>
    <definedName name="Button_DirectorTable">'PART A - General'!$E$63</definedName>
    <definedName name="Button_FA1">TR_FA!#REF!</definedName>
    <definedName name="Button_FA2">TR_FA!$D$89:$E$90</definedName>
    <definedName name="Button_FA3">TR_FA!$D$104:$E$105</definedName>
    <definedName name="Button_FA4">TR_FA!$D$119:$E$120</definedName>
    <definedName name="Button_FA5">TR_FA!$D$135</definedName>
    <definedName name="Button_FA6">TR_FA!$D$149</definedName>
    <definedName name="Button_FA7">TR_FA!$D$161</definedName>
    <definedName name="Button_FAA1">TR_FA!$D$32</definedName>
    <definedName name="Button_FAA2">TR_FA!$D$46</definedName>
    <definedName name="Button_FAA3">TR_FA!$D$60</definedName>
    <definedName name="Button_FAA4">TR_FA!$D$74</definedName>
    <definedName name="Button_FirmTable">'PART A - General'!$E$68</definedName>
    <definedName name="Button_FSI">'FSI1'!$F$15</definedName>
    <definedName name="Button_FSI_1">FSI!$D$32</definedName>
    <definedName name="Button_GST">GST!$E$9</definedName>
    <definedName name="Button_HP">'House Property'!$C$61</definedName>
    <definedName name="Button_HP2">'House Property'!$G$61</definedName>
    <definedName name="Button_IBb">'80'!$E$31:$H$31</definedName>
    <definedName name="Button_IBc">'80'!$E$35:$H$35</definedName>
    <definedName name="Button_IBd">'80'!$E$39:$H$39</definedName>
    <definedName name="Button_IBe">'80'!$E$43:$H$43</definedName>
    <definedName name="Button_IBf">'80'!$E$47:$H$47</definedName>
    <definedName name="Button_IBg">'80'!$E$51:$H$51</definedName>
    <definedName name="Button_IBh">'80'!$E$55:$H$55</definedName>
    <definedName name="BUtton_IBi">'80'!$E$59:$H$59</definedName>
    <definedName name="Button_IBj">'80'!$E$63:$H$63</definedName>
    <definedName name="Button_IBk">'80'!$E$67:$H$67</definedName>
    <definedName name="Button_IBl">'80'!$E$71:$H$71</definedName>
    <definedName name="Button_ICa">'80'!$E$79:$H$79</definedName>
    <definedName name="Button_ICb">'80'!$E$83:$H$83</definedName>
    <definedName name="Button_ICc">'80'!$E$87:$H$87</definedName>
    <definedName name="Button_ICca">'80'!$F$92:$H$92</definedName>
    <definedName name="Button_ICcb">'80'!$F$96:$H$96</definedName>
    <definedName name="Button_ICcc">'80'!$F$100:$H$100</definedName>
    <definedName name="Button_ICcd">'80'!$F$104:$H$104</definedName>
    <definedName name="Button_ICce">'80'!$F$108:$H$108</definedName>
    <definedName name="Button_ICcf">'80'!$F$112:$H$112</definedName>
    <definedName name="Button_ICcg">'80'!$F$116:$H$116</definedName>
    <definedName name="Button_IF">'SPI - SI - IF'!$E$108:$E$110</definedName>
    <definedName name="Button_IT">IT!$D$19</definedName>
    <definedName name="Button_LTCG">CG!$G$320</definedName>
    <definedName name="Button_LTCG_DTAA">CG!$G$339</definedName>
    <definedName name="Button_OS">OS!$F$60:$I$60</definedName>
    <definedName name="Button_OS_e">OS!$F$67</definedName>
    <definedName name="Button_OS1">OS!$G$35</definedName>
    <definedName name="Button_OS2">OS!$F$50</definedName>
    <definedName name="Button_SAL">#REF!</definedName>
    <definedName name="Button_SAL1">#REF!</definedName>
    <definedName name="Button_SPI">'SPI - SI - IF'!$D$13</definedName>
    <definedName name="Button_STCG">CG!$G$101</definedName>
    <definedName name="Button_STCG_A8_DTAA">CG!$G$114</definedName>
    <definedName name="Button_STCG_DTAA">CG!$G$123</definedName>
    <definedName name="Button_TCS">TDS!$D$60</definedName>
    <definedName name="Button_TDS1">TDS!$D$14</definedName>
    <definedName name="Button_TDS2">TDS!$D$30</definedName>
    <definedName name="Button_TDS3">TDS!$D$45:$E$46</definedName>
    <definedName name="Button1_PL">'Profit and Loss'!$E$101</definedName>
    <definedName name="Button44AE">'Profit and Loss'!$E$175</definedName>
    <definedName name="Button80GGA_1">RA!$C$13</definedName>
    <definedName name="C_Eligible">'80G'!$S$4</definedName>
    <definedName name="CalculatedValue234A">Sheet1!$E$2</definedName>
    <definedName name="CalculatedValue234B">Sheet1!$E$3</definedName>
    <definedName name="CalculatedValue234C">Sheet1!$E$4</definedName>
    <definedName name="CD_EligibleAmount">'80G'!$V$4</definedName>
    <definedName name="CDE_EligibleAmount">'80G'!$W$4</definedName>
    <definedName name="CFL.bpLoss">CFL!$L$6:$L$13</definedName>
    <definedName name="CFL.filingDate">CFL!$F$6:$F$13</definedName>
    <definedName name="CFL.HP2018">CFL!$X$20</definedName>
    <definedName name="CFL.hpLoss">CFL!$G$6:$G$13</definedName>
    <definedName name="CFL.LB2018">CFL!$Y$20</definedName>
    <definedName name="CFL.LSB2018">CFL!$Z$20</definedName>
    <definedName name="CFL.ltcgLoss">CFL!$R$6:$R$13</definedName>
    <definedName name="CFL.rhLoss">CFL!$U$10:$U$13</definedName>
    <definedName name="CFL.specifiedLoss">CFL!$N$7:$N$15</definedName>
    <definedName name="CFL.speculativeLoss">CFL!$M$10:$M$13</definedName>
    <definedName name="CFL.stcgLoss">CFL!$O$6:$O$13</definedName>
    <definedName name="CFL_HP_Normal_2012">CFL!$G$8</definedName>
    <definedName name="CFL_HP_Normal_2013">CFL!$G$9</definedName>
    <definedName name="CFL_HP_Normal_2014">CFL!$G$10</definedName>
    <definedName name="CFL_HP_Normal_2015">CFL!$G$11</definedName>
    <definedName name="CFL_HP_Normal_2016">CFL!$G$12</definedName>
    <definedName name="CFL_HP_Normal_2017">CFL!$G$13</definedName>
    <definedName name="CFL_HP_Normal_2018">CFL!$G$14</definedName>
    <definedName name="CFL_HP_Normal_2019">CFL!$G$15</definedName>
    <definedName name="CFL_HP_Normal_2020">CFL!$G$16</definedName>
    <definedName name="CFL_HP_Normal_2021">CFL!$G$17</definedName>
    <definedName name="CFL_HP_PTI_2012">CFL!$H$8</definedName>
    <definedName name="CFL_HP_PTI_2013">CFL!$H$9</definedName>
    <definedName name="CFL_HP_PTI_2014">CFL!$H$10</definedName>
    <definedName name="CFL_HP_PTI_2015">CFL!$H$11</definedName>
    <definedName name="CFL_HP_PTI_2016">CFL!$H$12</definedName>
    <definedName name="CFL_HP_PTI_2017">CFL!$H$13</definedName>
    <definedName name="CFL_HP_PTI_2018">CFL!$H$14</definedName>
    <definedName name="CFL_HP_PTI_2019">CFL!$H$15</definedName>
    <definedName name="CFL_HP_PTI_2020">CFL!$H$16</definedName>
    <definedName name="CFL_LTCG_Normal_2011">CFL!$R$7</definedName>
    <definedName name="CFL_LTCG_Normal_2012">CFL!$R$8</definedName>
    <definedName name="CFL_LTCG_Normal_2013">CFL!$R$9</definedName>
    <definedName name="CFL_LTCG_Normal_2014">CFL!$R$10</definedName>
    <definedName name="CFL_LTCG_Normal_2015">CFL!$R$11</definedName>
    <definedName name="CFL_LTCG_Normal_2016">CFL!$R$12</definedName>
    <definedName name="CFL_LTCG_Normal_2017">CFL!$R$13</definedName>
    <definedName name="CFL_LTCG_Normal_2018">CFL!$R$14</definedName>
    <definedName name="CFL_LTCG_Normal_2019">CFL!$R$15</definedName>
    <definedName name="CFL_LTCG_Normal_2020">CFL!$R$16</definedName>
    <definedName name="CFL_LTCG_Normal_2021">CFL!$R$17</definedName>
    <definedName name="CFL_LTCG_PTI_2011">CFL!$S$7</definedName>
    <definedName name="CFL_LTCG_PTI_2012">CFL!$S$8</definedName>
    <definedName name="CFL_LTCG_PTI_2013">CFL!$S$9</definedName>
    <definedName name="CFL_LTCG_PTI_2014">CFL!$S$10</definedName>
    <definedName name="CFL_LTCG_PTI_2015">CFL!$S$11</definedName>
    <definedName name="CFL_LTCG_PTI_2016">CFL!$S$12</definedName>
    <definedName name="CFL_LTCG_PTI_2017">CFL!$S$13</definedName>
    <definedName name="CFL_LTCG_PTI_2018">CFL!$S$14</definedName>
    <definedName name="CFL_LTCG_PTI_2019">CFL!$S$15</definedName>
    <definedName name="CFL_LTCG_PTI_2020">CFL!$S$16</definedName>
    <definedName name="CFL_STCG_Normal_2011">CFL!$O$7</definedName>
    <definedName name="CFL_STCG_Normal_2012">CFL!$O$8</definedName>
    <definedName name="CFL_STCG_Normal_2013">CFL!$O$9</definedName>
    <definedName name="CFL_STCG_Normal_2014">CFL!$O$10</definedName>
    <definedName name="CFL_STCG_Normal_2015">CFL!$O$11</definedName>
    <definedName name="CFL_STCG_Normal_2016">CFL!$O$12</definedName>
    <definedName name="CFL_STCG_Normal_2017">CFL!$O$13</definedName>
    <definedName name="CFL_STCG_Normal_2018">CFL!$O$14</definedName>
    <definedName name="CFL_STCG_Normal_2019">CFL!$O$15</definedName>
    <definedName name="CFL_STCG_Normal_2020">CFL!$O$16</definedName>
    <definedName name="CFL_STCG_Normal_2021">CFL!$O$17</definedName>
    <definedName name="CFL_STCG_PTI_2011">CFL!$P$7</definedName>
    <definedName name="CFL_STCG_PTI_2012">CFL!$P$8</definedName>
    <definedName name="CFL_STCG_PTI_2013">CFL!$P$9</definedName>
    <definedName name="CFL_STCG_PTI_2014">CFL!$P$10</definedName>
    <definedName name="CFL_STCG_PTI_2015">CFL!$P$11</definedName>
    <definedName name="CFL_STCG_PTI_2016">CFL!$P$12</definedName>
    <definedName name="CFL_STCG_PTI_2017">CFL!$P$13</definedName>
    <definedName name="CFL_STCG_PTI_2018">CFL!$P$14</definedName>
    <definedName name="CFL_STCG_PTI_2019">CFL!$P$15</definedName>
    <definedName name="CFL_STCG_PTI_2020">CFL!$P$16</definedName>
    <definedName name="CFL_XML_Check1">CFL!$F$6:$U$13</definedName>
    <definedName name="CFL_XML_Check2">CFL!$G$18:$U$21</definedName>
    <definedName name="CG.C_TotScheduleCGFor23">CG!$S$342</definedName>
    <definedName name="CG_A_AadhaarOfBuyer1">CG!$L$25:$L$27</definedName>
    <definedName name="CG_A_AadhaarOfBuyer2">CG!#REF!</definedName>
    <definedName name="CG_A_AddressOfBuyer1">CG!$O$25:$O$27</definedName>
    <definedName name="CG_A_AddressOfBuyer2">CG!#REF!</definedName>
    <definedName name="CG_A_Amount1">CG!$N$25:$N$27</definedName>
    <definedName name="CG_A_Amount2">CG!#REF!</definedName>
    <definedName name="CG_A_CountryOfBuyer1">CG!$R$25:$R$27</definedName>
    <definedName name="CG_A_NameOfBuyer1">CG!$H$25:$I$27</definedName>
    <definedName name="CG_A_NameOfBuyer2">CG!#REF!</definedName>
    <definedName name="CG_A_PanOfBuyer1">CG!$J$25:$K$27</definedName>
    <definedName name="CG_A_PanOfBuyer2">CG!#REF!</definedName>
    <definedName name="CG_A_PercentageShare1">CG!$M$25:$M$27</definedName>
    <definedName name="CG_A_PercentageShare2">CG!#REF!</definedName>
    <definedName name="CG_A_PinCodeOfBuyer1">CG!$Q$25:$Q$27</definedName>
    <definedName name="CG_A_PinCodeOfBuyer2">CG!#REF!</definedName>
    <definedName name="CG_A_StateCodeOfBuyer1">CG!$P$25:$P$27</definedName>
    <definedName name="CG_A_StateCodeOfBuyer2">CG!#REF!</definedName>
    <definedName name="CG_A_ZipcodeOfBuyer1">CG!$S$25:$S$27</definedName>
    <definedName name="CG_B_AadhaaeOfBuyer1">CG!$L$164:$L$166</definedName>
    <definedName name="CG_B_AadhaaeOfBuyer2">CG!#REF!</definedName>
    <definedName name="CG_B_AddressOfBuyer1">CG!$O$164:$O$166</definedName>
    <definedName name="CG_B_AddressOfBuyer2">CG!#REF!</definedName>
    <definedName name="CG_B_Amount1">CG!$N$164:$N$166</definedName>
    <definedName name="CG_B_Amount2">CG!#REF!</definedName>
    <definedName name="CG_B_CountryOfBuyer1">CG!$R$164:$R$166</definedName>
    <definedName name="CG_B_NameOfBuyer1">CG!$H$164:$I$166</definedName>
    <definedName name="CG_B_NameOfBuyer2">CG!#REF!</definedName>
    <definedName name="CG_B_PanOfBuyer1">CG!$J$164:$K$166</definedName>
    <definedName name="CG_B_PanOfBuyer2">CG!#REF!</definedName>
    <definedName name="CG_B_PercentageShare1">CG!$M$164:$M$166</definedName>
    <definedName name="CG_B_PercentageShare2">CG!#REF!</definedName>
    <definedName name="CG_B_PinCodeOfBuyer1">CG!$Q$164:$Q$166</definedName>
    <definedName name="CG_B_PinCodeOfBuyer2">CG!#REF!</definedName>
    <definedName name="CG_B_StateCodeOfBuyer1">CG!$P$164:$P$166</definedName>
    <definedName name="CG_B_StateCodeOfBuyer2">CG!#REF!</definedName>
    <definedName name="CG_B_ZipcodeOfBuyer1">CG!$S$164:$S$166</definedName>
    <definedName name="CG_Count">CG!$Z$5</definedName>
    <definedName name="CG_FilledFlag">CG!$Z$9</definedName>
    <definedName name="CG_LTCG_hiding">CG!$C$327:$C$340</definedName>
    <definedName name="CG_LTCG_rptfrm1">CG!$C$134:$S$167</definedName>
    <definedName name="CG_LTCG_rptfrm2">CG!#REF!</definedName>
    <definedName name="CG_LTCGB9.Sl">CG!#REF!</definedName>
    <definedName name="CG_RANGE">CG!$Y$8:$Y$339</definedName>
    <definedName name="CG_Status">CG!$Y$5</definedName>
    <definedName name="CG_STCG_hiding">CG!$C$119:$C$124</definedName>
    <definedName name="CG_STCG_rptfrm1">CG!$C$5:$S$28</definedName>
    <definedName name="CG_STCG_rptfrm2">CG!#REF!</definedName>
    <definedName name="checkin92E">'SPI - SI - IF'!$X$101</definedName>
    <definedName name="City_Town_District_80GGA">RA!$G$7:$G$10</definedName>
    <definedName name="City_Town_District_80GGANew">'80GGA'!$H$7:$H$10</definedName>
    <definedName name="Claim115HCheck">CG!$AP$9</definedName>
    <definedName name="ClaimedAadhar5A_TDS2">TDS!$R$23:$R$27</definedName>
    <definedName name="ClaimedAadhar5A_TDS3">TDS!$S$39:$S$42</definedName>
    <definedName name="clauseiv7provisio139iAmount_1">'PART A - General'!$AM$44</definedName>
    <definedName name="clauseiv7provisio139iAmount_2">'PART A - General'!$AM$45</definedName>
    <definedName name="clauseiv7provisio139iAmount_3">'PART A - General'!$AM$46</definedName>
    <definedName name="clauseiv7provisio139iAmount_4">'PART A - General'!$AM$47</definedName>
    <definedName name="clauseiv7provisio139iFlg">'PART A - General'!$AK$43</definedName>
    <definedName name="clauseiv7provisio139iFlg_1">'PART A - General'!$AK$44</definedName>
    <definedName name="clauseiv7provisio139iFlg_2">'PART A - General'!$AK$45</definedName>
    <definedName name="clauseiv7provisio139iFlg_3">'PART A - General'!$AK$46</definedName>
    <definedName name="clauseiv7provisio139iFlg_4">'PART A - General'!$AK$47</definedName>
    <definedName name="cntr.Ptirptfrm">PTI!$S$4</definedName>
    <definedName name="Co_OwnnerBlock1">'House Property'!$G$8:$J$14</definedName>
    <definedName name="Co_OwnnerBlock2">'House Property'!$G$35:$J$41</definedName>
    <definedName name="COAwithIndex_112A">'Schedule 112A'!$L$6:$L$9</definedName>
    <definedName name="COAwithIndex_115AD">'Schedule 115AD(1)(iii) proviso'!$L$6:$L$9</definedName>
    <definedName name="COAwithoutIndex_112A">'Schedule 112A'!$K$6:$K$9</definedName>
    <definedName name="COAwithoutIndex_115AD">'Schedule 115AD(1)(iii) proviso'!$K$6:$K$9</definedName>
    <definedName name="Condn_1">AMT!$O$3</definedName>
    <definedName name="Condn_2">AMT!$Q$3</definedName>
    <definedName name="Condn_3">AMT!$S$3</definedName>
    <definedName name="Condn_4">AMT!$U$3</definedName>
    <definedName name="Condn_5">AMT!$W$3</definedName>
    <definedName name="Condn_6">AMT!$Y$3</definedName>
    <definedName name="CostInflationIndex">DropDownValues!$DH$2:$DH$22</definedName>
    <definedName name="CostInflationtbl">DropDownValues!$DG$2:$DH$22</definedName>
    <definedName name="CostInflationYear">DropDownValues!$DG$2:$DG$22</definedName>
    <definedName name="CostofImprovement_112A">'Schedule 112A'!$Q$6:$Q$9</definedName>
    <definedName name="CostofImprovement_115AD">'Schedule 115AD(1)(iii) proviso'!$Q$6:$Q$9</definedName>
    <definedName name="countIsLiable">'Tax Calculated'!$E$4</definedName>
    <definedName name="Country">DropDownValues!$BU$3:$BU$251</definedName>
    <definedName name="Country_Juridiction">DropDownValues!$BY$3:$BY$251</definedName>
    <definedName name="Country_NoIndia">DropDownValues!$BW$3:$BW$250</definedName>
    <definedName name="Countrycode1">'PART A - General'!$W$18</definedName>
    <definedName name="Countrycode2">'PART A - General'!$AK$18</definedName>
    <definedName name="Creationdt">'Tax Calculated'!$D$1</definedName>
    <definedName name="CTCheck">'Part B - TI TTI'!#REF!</definedName>
    <definedName name="currentDate">'Tax Calculated'!$B$12</definedName>
    <definedName name="currentVerDate">'Tax Calculated'!$B$8</definedName>
    <definedName name="Cuuren_Date">'Temporary Values'!$B$31</definedName>
    <definedName name="cyla.TotBusLoss">'CYLA - BFLA'!$H$6</definedName>
    <definedName name="cyla.TotHPlossCurYr">'CYLA - BFLA'!$G$6</definedName>
    <definedName name="cyla.TotHPlossCurYr1">'CYLA - BFLA'!$N$6</definedName>
    <definedName name="cyla.TotOthSrcLossNoRaceHorse">'CYLA - BFLA'!$I$6</definedName>
    <definedName name="CYLAtemp10Sec1121c2">'Temporary Values'!$D$9</definedName>
    <definedName name="CYLAtemp10Sec112A">'Temporary Values'!$D$13</definedName>
    <definedName name="CYLAtemp10Sec115AC1">'Temporary Values'!$D$10</definedName>
    <definedName name="CYLAtemp10Sec115ACA1">'Temporary Values'!$D$7</definedName>
    <definedName name="CYLAtemp10Sec115AD3">'Temporary Values'!$D$11</definedName>
    <definedName name="CYLAtemp10Sec115AD3_Proviso">'Temporary Values'!$D$12</definedName>
    <definedName name="CYLAtemp10Sec115Eb">'Temporary Values'!$D$8</definedName>
    <definedName name="CYLAtemp10SecPro">'Temporary Values'!$D$6</definedName>
    <definedName name="CYLAtemp115AD30">'Temporary Values'!$D$20</definedName>
    <definedName name="CYLAtemp15Sec111a">'Temporary Values'!$D$4</definedName>
    <definedName name="CYLAtemp15Sec115ad1bii">'Temporary Values'!$D$5</definedName>
    <definedName name="CYLAtemp20Sec112">'Temporary Values'!$D$2</definedName>
    <definedName name="CYLAtemp20Sec11EA">'Temporary Values'!$D$3</definedName>
    <definedName name="CYLAtempAR">'Temporary Values'!$D$21</definedName>
    <definedName name="CYLAtempPTI10">'Temporary Values'!$D$14</definedName>
    <definedName name="CYLAtempPTI10_112">'Temporary Values'!$D$15</definedName>
    <definedName name="CYLAtempPTI15">'Temporary Values'!$D$16</definedName>
    <definedName name="CYLAtempPTI20">'Temporary Values'!$D$17</definedName>
    <definedName name="CYLAtempPTI30">'Temporary Values'!$D$18</definedName>
    <definedName name="CYLAtempPTIAR">'Temporary Values'!$D$19</definedName>
    <definedName name="D_115F">CG!$AG$427</definedName>
    <definedName name="D_115F_Temp">CG!$AH$427</definedName>
    <definedName name="D_54">CG!$AG$421</definedName>
    <definedName name="D_54_Temp">CG!$AH$421</definedName>
    <definedName name="D_54B">CG!$AG$420</definedName>
    <definedName name="D_54B_Temp">CG!$AH$420</definedName>
    <definedName name="D_54B_Temp1">CG!$AI$420</definedName>
    <definedName name="D_54D">CG!$AG$430</definedName>
    <definedName name="D_54D_Temp">CG!$AH$430</definedName>
    <definedName name="D_54D_Temp1">CG!$AI$430</definedName>
    <definedName name="D_54EC">CG!$AG$422</definedName>
    <definedName name="D_54EC_Temp">CG!$AH$422</definedName>
    <definedName name="D_54EE">CG!$AG$419</definedName>
    <definedName name="D_54EE_Temp">CG!$AH$419</definedName>
    <definedName name="D_54F">CG!$AG$424</definedName>
    <definedName name="D_54F_Temp">CG!$AH$424</definedName>
    <definedName name="D_54G">CG!$AG$429</definedName>
    <definedName name="D_54G_Temp">CG!$AH$429</definedName>
    <definedName name="D_54G_Temp1">CG!$AI$429</definedName>
    <definedName name="D_54GA">CG!$AG$428</definedName>
    <definedName name="D_54GA_Temp">CG!$AH$428</definedName>
    <definedName name="D_54GA_Temp1">CG!$AI$428</definedName>
    <definedName name="D_54GB">CG!$AG$425</definedName>
    <definedName name="D_54GB_Temp">CG!$AH$425</definedName>
    <definedName name="D_Eligible">'80G'!$T$4</definedName>
    <definedName name="DAOB10.AdditionsGrThan180Days">'DPM - DOA'!$H$37</definedName>
    <definedName name="DAOB10.AdditionsLessThan180Days">'DPM - DOA'!$H$40</definedName>
    <definedName name="DAOB10.AddlnDeprDuringYearAdditions">'DPM - DOA'!$H$46</definedName>
    <definedName name="DAOB10.AddlnDeprOnGT180DayAdditions">'DPM - DOA'!$H$45</definedName>
    <definedName name="DAOB10.CapGainUs50">'DPM - DOA'!$H$52</definedName>
    <definedName name="DAOB10.Check17A">'DPM - DOA'!$Q$3</definedName>
    <definedName name="DAOB10.Check17AFurniture">'DPM - DOA'!$S$3</definedName>
    <definedName name="DAOB10.DepreciationAtFullRate">'DPM - DOA'!$H$43</definedName>
    <definedName name="DAOB10.DepreciationAtHalfRate">'DPM - DOA'!$H$44</definedName>
    <definedName name="DAOB10.DepUnderSec38">'DPM - DOA'!$H$48</definedName>
    <definedName name="DAOB10.ExpdrOnTrforSaleAsset">'DPM - DOA'!$H$51</definedName>
    <definedName name="DAOB10.FullRateDeprAmt">'DPM - DOA'!$H$39</definedName>
    <definedName name="DAOB10.HalfRateDeprAmt">'DPM - DOA'!$H$42</definedName>
    <definedName name="DAOB10.NetAgrdep">'DPM - DOA'!$H$49</definedName>
    <definedName name="DAOB10.ProAgrdep">'DPM - DOA'!$H$50</definedName>
    <definedName name="DAOB10.RATE">'DPM - DOA'!$H$34</definedName>
    <definedName name="DAOB10.RealizationPeriodDuringYear">'DPM - DOA'!$H$41</definedName>
    <definedName name="DAOB10.RealizationTotalPeriod">'DPM - DOA'!$H$38</definedName>
    <definedName name="DAOB10.TotalDepreciation">'DPM - DOA'!$H$47</definedName>
    <definedName name="DAOB10.WDVFirstDay">'DPM - DOA'!$H$36</definedName>
    <definedName name="DAOB10.WDVLastDay">'DPM - DOA'!$H$53</definedName>
    <definedName name="DAOB100.AdditionsGrThan180Days">'DPM - DOA'!$I$37</definedName>
    <definedName name="DAOB100.AdditionsLessThan180Days">'DPM - DOA'!$I$40</definedName>
    <definedName name="DAOB100.AddlnDeprDuringYearAdditions">'DPM - DOA'!$I$46</definedName>
    <definedName name="DAOB100.AddlnDeprOnGT180DayAdditions">'DPM - DOA'!$I$45</definedName>
    <definedName name="DAOB100.CapGainUs50">'DPM - DOA'!$I$52</definedName>
    <definedName name="DAOB100.DepreciationAtFullRate">'DPM - DOA'!$I$43</definedName>
    <definedName name="DAOB100.DepreciationAtHalfRate">'DPM - DOA'!$I$44</definedName>
    <definedName name="DAOB100.DepUnderSec38">'DPM - DOA'!$I$48</definedName>
    <definedName name="DAOB100.ExpdrOnTrforSaleAsset">'DPM - DOA'!$I$51</definedName>
    <definedName name="DAOB100.FullRateDeprAmt">'DPM - DOA'!$I$39</definedName>
    <definedName name="DAOB100.HalfRateDeprAmt">'DPM - DOA'!$I$42</definedName>
    <definedName name="DAOB100.NetAgrdep">'DPM - DOA'!$I$49</definedName>
    <definedName name="DAOB100.ProAgrdep">'DPM - DOA'!$I$50</definedName>
    <definedName name="DAOB100.RATE">'DPM - DOA'!$I$34</definedName>
    <definedName name="DAOB100.RealizationPeriodDuringYear">'DPM - DOA'!$I$41</definedName>
    <definedName name="DAOB100.RealizationTotalPeriod">'DPM - DOA'!$I$38</definedName>
    <definedName name="DAOB100.TotalDepreciation">'DPM - DOA'!$I$47</definedName>
    <definedName name="DAOB100.WDVFirstDay">'DPM - DOA'!$I$36</definedName>
    <definedName name="DAOB100.WDVLastDay">'DPM - DOA'!$I$53</definedName>
    <definedName name="DAOB20.Check17A">'DPM - DOA'!$U$3</definedName>
    <definedName name="DAOB25.Check17A">'DPM - DOA'!$T$3</definedName>
    <definedName name="DAOB40.Check17A">'DPM - DOA'!$R$3</definedName>
    <definedName name="DAOB5.AdditionsGrThan180Days">'DPM - DOA'!$G$37</definedName>
    <definedName name="DAOB5.AdditionsLessThan180Days">'DPM - DOA'!$G$40</definedName>
    <definedName name="DAOB5.AddlnDeprDuringYearAdditions">'DPM - DOA'!$G$46</definedName>
    <definedName name="DAOB5.AddlnDeprOnGT180DayAdditions">'DPM - DOA'!$G$45</definedName>
    <definedName name="DAOB5.CapGainUs50">'DPM - DOA'!$G$52</definedName>
    <definedName name="DAOB5.Check17A">'DPM - DOA'!$P$3</definedName>
    <definedName name="DAOB5.DepreciationAtFullRate">'DPM - DOA'!$G$43</definedName>
    <definedName name="DAOB5.DepreciationAtHalfRate">'DPM - DOA'!$G$44</definedName>
    <definedName name="DAOB5.DepUnderSec38">'DPM - DOA'!$G$48</definedName>
    <definedName name="DAOB5.ExpdrOnTrforSaleAsset">'DPM - DOA'!$G$51</definedName>
    <definedName name="DAOB5.FullRateDeprAmt">'DPM - DOA'!$G$39</definedName>
    <definedName name="DAOB5.HalfRateDeprAmt">'DPM - DOA'!$G$42</definedName>
    <definedName name="DAOB5.NetAgrdep">'DPM - DOA'!$G$49</definedName>
    <definedName name="DAOB5.ProAgrdep">'DPM - DOA'!$G$50</definedName>
    <definedName name="DAOB5.RATE">'DPM - DOA'!$G$34</definedName>
    <definedName name="DAOB5.RealizationPeriodDuringYear">'DPM - DOA'!$G$41</definedName>
    <definedName name="DAOB5.RealizationTotalPeriod">'DPM - DOA'!$G$38</definedName>
    <definedName name="DAOB5.TotalDepreciation">'DPM - DOA'!$G$47</definedName>
    <definedName name="DAOB5.WDVFirstDay">'DPM - DOA'!$G$36</definedName>
    <definedName name="DAOB5.WDVLastDay">'DPM - DOA'!$G$53</definedName>
    <definedName name="DAOF10.AdditionsGrThan180Days">'DPM - DOA'!$J$37</definedName>
    <definedName name="DAOF10.AdditionsLessThan180Days">'DPM - DOA'!$J$40</definedName>
    <definedName name="DAOF10.AddlnDeprDuringYearAdditions">'DPM - DOA'!$J$46</definedName>
    <definedName name="DAOF10.AddlnDeprOnGT180DayAdditions">'DPM - DOA'!$J$45</definedName>
    <definedName name="DAOF10.CapGainUs50">'DPM - DOA'!$J$52</definedName>
    <definedName name="DAOF10.DepreciationAtFullRate">'DPM - DOA'!$J$43</definedName>
    <definedName name="DAOF10.DepreciationAtHalfRate">'DPM - DOA'!$J$44</definedName>
    <definedName name="DAOF10.DepUnderSec38">'DPM - DOA'!$J$48</definedName>
    <definedName name="DAOF10.ExpdrOnTrforSaleAsset">'DPM - DOA'!$J$51</definedName>
    <definedName name="DAOF10.FullRateDeprAmt">'DPM - DOA'!$J$39</definedName>
    <definedName name="DAOF10.HalfRateDeprAmt">'DPM - DOA'!$J$42</definedName>
    <definedName name="DAOF10.NetAgrdep">'DPM - DOA'!$J$49</definedName>
    <definedName name="DAOF10.ProAgrdep">'DPM - DOA'!$J$50</definedName>
    <definedName name="DAOF10.RATE">'DPM - DOA'!$J$34</definedName>
    <definedName name="DAOF10.RealizationPeriodDuringYear">'DPM - DOA'!$J$41</definedName>
    <definedName name="DAOF10.RealizationTotalPeriod">'DPM - DOA'!$J$38</definedName>
    <definedName name="DAOF10.TotalDepreciation">'DPM - DOA'!$J$47</definedName>
    <definedName name="DAOF10.WDVFirstDay">'DPM - DOA'!$J$36</definedName>
    <definedName name="DAOF10.WDVLastDay">'DPM - DOA'!$J$53</definedName>
    <definedName name="DAOI25.AdditionsGrThan180Days">'DPM - DOA'!$K$37</definedName>
    <definedName name="DAOI25.AdditionsLessThan180Days">'DPM - DOA'!$K$40</definedName>
    <definedName name="DAOI25.AddlnDeprDuringYearAdditions">'DPM - DOA'!$K$46</definedName>
    <definedName name="DAOI25.AddlnDeprOnGT180DayAdditions">'DPM - DOA'!$K$45</definedName>
    <definedName name="DAOI25.CapGainUs50">'DPM - DOA'!$K$52</definedName>
    <definedName name="DAOI25.DepreciationAtFullRate">'DPM - DOA'!$K$43</definedName>
    <definedName name="DAOI25.DepreciationAtHalfRate">'DPM - DOA'!$K$44</definedName>
    <definedName name="DAOI25.DepUnderSec38">'DPM - DOA'!$K$48</definedName>
    <definedName name="DAOI25.ExpdrOnTrforSaleAsset">'DPM - DOA'!$K$51</definedName>
    <definedName name="DAOI25.FullRateDeprAmt">'DPM - DOA'!$K$39</definedName>
    <definedName name="DAOI25.HalfRateDeprAmt">'DPM - DOA'!$K$42</definedName>
    <definedName name="DAOI25.NetAgrdep">'DPM - DOA'!$K$49</definedName>
    <definedName name="DAOI25.ProAgrdep">'DPM - DOA'!$K$50</definedName>
    <definedName name="DAOI25.RATE">'DPM - DOA'!$K$34</definedName>
    <definedName name="DAOI25.RealizationPeriodDuringYear">'DPM - DOA'!$K$41</definedName>
    <definedName name="DAOI25.RealizationTotalPeriod">'DPM - DOA'!$K$38</definedName>
    <definedName name="DAOI25.TotalDepreciation">'DPM - DOA'!$K$47</definedName>
    <definedName name="DAOI25.WDVFirstDay">'DPM - DOA'!$K$36</definedName>
    <definedName name="DAOI25.WDVLastDay">'DPM - DOA'!$K$53</definedName>
    <definedName name="DAOL0.WDVFirstDay">'DPM - DOA'!$F$36</definedName>
    <definedName name="DAOL0.WDVLastDay">'DPM - DOA'!$F$53</definedName>
    <definedName name="DAOS20.AdditionsGrThan180Days">'DPM - DOA'!$L$37</definedName>
    <definedName name="DAOS20.AdditionsLessThan180Days">'DPM - DOA'!$L$40</definedName>
    <definedName name="DAOS20.AddlnDeprDuringYearAdditions">'DPM - DOA'!$L$46</definedName>
    <definedName name="DAOS20.AddlnDeprOnGT180DayAdditions">'DPM - DOA'!$L$45</definedName>
    <definedName name="DAOS20.CapGainUs50">'DPM - DOA'!$L$52</definedName>
    <definedName name="DAOS20.DepreciationAtFullRate">'DPM - DOA'!$L$43</definedName>
    <definedName name="DAOS20.DepreciationAtHalfRate">'DPM - DOA'!$L$44</definedName>
    <definedName name="DAOS20.DepUnderSec38">'DPM - DOA'!$L$48</definedName>
    <definedName name="DAOS20.ExpdrOnTrforSaleAsset">'DPM - DOA'!$L$51</definedName>
    <definedName name="DAOS20.FullRateDeprAmt">'DPM - DOA'!$L$39</definedName>
    <definedName name="DAOS20.HalfRateDeprAmt">'DPM - DOA'!$L$42</definedName>
    <definedName name="DAOS20.NetAgrdep">'DPM - DOA'!$L$49</definedName>
    <definedName name="DAOS20.ProAgrdep">'DPM - DOA'!$L$50</definedName>
    <definedName name="DAOS20.RATE">'DPM - DOA'!$L$34</definedName>
    <definedName name="DAOS20.RealizationPeriodDuringYear">'DPM - DOA'!$L$41</definedName>
    <definedName name="DAOS20.RealizationTotalPeriod">'DPM - DOA'!$L$38</definedName>
    <definedName name="DAOS20.TotalDepreciation">'DPM - DOA'!$L$47</definedName>
    <definedName name="DAOS20.WDVFirstDay">'DPM - DOA'!$L$36</definedName>
    <definedName name="DAOS20.WDVLastDay">'DPM - DOA'!$L$53</definedName>
    <definedName name="DateCflValidate">CFL!$AD$7:$AD$18</definedName>
    <definedName name="DateOfFiling">Sheet1!$A$3</definedName>
    <definedName name="DateOfFiling234A">Sheet1!$A$5</definedName>
    <definedName name="DateOfProcessing">Sheet1!$A$2</definedName>
    <definedName name="DCG.FurnitureSummary">DEP_DCG!$J$40</definedName>
    <definedName name="DCG.IntangibleAssetSummary">DEP_DCG!$J$41</definedName>
    <definedName name="DCG.ShipsSummary">DEP_DCG!$J$42</definedName>
    <definedName name="DCG.TotalDepreciation">DEP_DCG!$J$43</definedName>
    <definedName name="DCGB.DeprBlockTot100Percent">DEP_DCG!$H$38</definedName>
    <definedName name="DCGB.DeprBlockTot10Percent">DEP_DCG!$H$37</definedName>
    <definedName name="DCGB.DeprBlockTot5Percent">DEP_DCG!$H$36</definedName>
    <definedName name="DCGB.TotBuildng">DEP_DCG!$J$39</definedName>
    <definedName name="DCGP.DeprBlockTot100Percent">DEP_DCG!$H$32</definedName>
    <definedName name="DCGP.DeprBlockTot15Percent">DEP_DCG!$H$26</definedName>
    <definedName name="DCGP.DeprBlockTot30Percent">DEP_DCG!$H$27</definedName>
    <definedName name="DCGP.DeprBlockTot40Percent">DEP_DCG!$H$28</definedName>
    <definedName name="DCGP.DeprBlockTot45Percent">DEP_DCG!$H$33</definedName>
    <definedName name="DCGP.DeprBlockTot50Percent">DEP_DCG!$H$29</definedName>
    <definedName name="DCGP.DeprBlockTot60Percent">DEP_DCG!$H$30</definedName>
    <definedName name="DCGP.DeprBlockTot80Percent">DEP_DCG!$H$31</definedName>
    <definedName name="DCGP.TotPlntMach">DEP_DCG!$J$34</definedName>
    <definedName name="DEDN.1c_TotDeductClaim">CG!$O$402</definedName>
    <definedName name="DEDN.AmtDeducted">CG!$I$391:$I$398</definedName>
    <definedName name="DEDN.AmtDeposited">CG!$L$391:$L$398</definedName>
    <definedName name="DEDN.CostofAsset">CG!$J$391:$J$398</definedName>
    <definedName name="DEDN.D2_DeductPAN">CG!$N$403</definedName>
    <definedName name="DEDN.DateofAcquist">CG!$K$391:$K$398</definedName>
    <definedName name="DEDN.DeductedSecCode">CG!$H$391:$H$398</definedName>
    <definedName name="Deduction.115F.AmtDedClaimed">CG!$K$387:$K$388</definedName>
    <definedName name="Deduction.115F.AmtInvt">CG!$I$387:$I$388</definedName>
    <definedName name="Deduction.115F.DateOfInvest">CG!$J$387:$J$388</definedName>
    <definedName name="Deduction.115F.DateOfTransfer">CG!$H$387:$H$388</definedName>
    <definedName name="Deduction.54.AmtDedClaimed">CG!$L$347:$L$348</definedName>
    <definedName name="Deduction.54.AmtdepCG">CG!$K$347:$K$348</definedName>
    <definedName name="Deduction.54.CostOfHouse">CG!$I$347:$I$348</definedName>
    <definedName name="Deduction.54.DateOfPursConst">CG!$J$347:$J$348</definedName>
    <definedName name="Deduction.54.DateOfTransfer">CG!$H$347:$H$348</definedName>
    <definedName name="Deduction.54.Total">CG!$L$349</definedName>
    <definedName name="Deduction.54B.AmtDedClaimed">CG!$L$352:$L$353</definedName>
    <definedName name="Deduction.54B.AmtdepCG">CG!$K$352:$K$353</definedName>
    <definedName name="Deduction.54B.CostOfAgriLand">CG!$I$352:$I$353</definedName>
    <definedName name="Deduction.54B.DateOfPurLand">CG!$J$352:$J$353</definedName>
    <definedName name="Deduction.54B.DateOfPurLandB">CG!$J$357:$J$358</definedName>
    <definedName name="Deduction.54B.DateOfTransfer">CG!$H$352:$H$353</definedName>
    <definedName name="Deduction.54B.Total">CG!$L$354</definedName>
    <definedName name="Deduction.54D.AmtDedClaimed">CG!$L$357:$L$358</definedName>
    <definedName name="Deduction.54D.AmtdepCG">CG!$K$357:$K$358</definedName>
    <definedName name="Deduction.54D.CostOfPurcConst">CG!$I$357:$I$358</definedName>
    <definedName name="Deduction.54D.DateOfTransfer">CG!$H$357:$H$358</definedName>
    <definedName name="Deduction.54D.Total">CG!$L$359</definedName>
    <definedName name="Deduction.54EC.AmountInvestd">CG!$I$362:$I$363</definedName>
    <definedName name="Deduction.54EC.AmtDedClaimed">CG!$K$362:$K$363</definedName>
    <definedName name="Deduction.54EC.DateOfInvestment">CG!$J$362:$J$363</definedName>
    <definedName name="Deduction.54EC.DateOfTransfer">CG!$H$362:$H$363</definedName>
    <definedName name="Deduction.54EC.Total">CG!$K$364</definedName>
    <definedName name="Deduction.54EE.AmountInvestd">CG!$I$367:$I$368</definedName>
    <definedName name="Deduction.54EE.AmtDedClaimed">CG!$K$367:$K$368</definedName>
    <definedName name="Deduction.54EE.DateOfInvestment">CG!$J$367:$J$368</definedName>
    <definedName name="Deduction.54EE.DateOfTransfer">CG!$H$367:$H$368</definedName>
    <definedName name="Deduction.54EE.Total">CG!$L$369</definedName>
    <definedName name="Deduction.54F.AmtDedClaimed">CG!$L$372:$L$373</definedName>
    <definedName name="Deduction.54F.AmtdepCG">CG!$K$372:$K$373</definedName>
    <definedName name="Deduction.54F.CostOfHouse">CG!$I$372:$I$373</definedName>
    <definedName name="Deduction.54F.DateOfPurc">CG!$J$372:$J$373</definedName>
    <definedName name="Deduction.54F.DateOfTransfer">CG!$H$372:$H$373</definedName>
    <definedName name="Deduction.54F.Total">CG!$L$374</definedName>
    <definedName name="Deduction.54G.AmtDedClaimed">CG!$L$377:$L$378</definedName>
    <definedName name="Deduction.54G.AmtdepCG">CG!$K$377:$K$378</definedName>
    <definedName name="Deduction.54G.CostOfExpenses">CG!$I$377:$I$378</definedName>
    <definedName name="Deduction.54G.DateOfPurc">CG!$J$377:$J$378</definedName>
    <definedName name="Deduction.54G.DateOfTransfer">CG!$H$377:$H$378</definedName>
    <definedName name="Deduction.54G.Total">CG!$L$379</definedName>
    <definedName name="Deduction.54GA.AmtDedClaimed">CG!$L$382:$L$383</definedName>
    <definedName name="Deduction.54GA.AmtdepCG">CG!$K$382:$K$383</definedName>
    <definedName name="Deduction.54GA.CostOfExpenses">CG!$I$382:$I$383</definedName>
    <definedName name="Deduction.54GA.DateOfPurc">CG!$J$382:$J$383</definedName>
    <definedName name="Deduction.54GA.DateOfTransfer">CG!$H$382:$H$383</definedName>
    <definedName name="Deduction.54GA.Total">CG!$L$384</definedName>
    <definedName name="Deduction.54h.Total">CG!$K$389</definedName>
    <definedName name="deductionsSysTotal">'80G'!$U$21</definedName>
    <definedName name="DedViA_Value">'VI-A'!$AA$39</definedName>
    <definedName name="DefAgriRebate">'Part B - TI TTI'!$AC$86</definedName>
    <definedName name="DelayedNoOfMonths">'Tax Calculated'!$E$13</definedName>
    <definedName name="DEP.FurnitureSummary">DEP_DCG!$J$19</definedName>
    <definedName name="DEP.IntangibleAssetSummary">DEP_DCG!$J$20</definedName>
    <definedName name="DEP.ShipsSummary">DEP_DCG!$J$21</definedName>
    <definedName name="DEP.TotalDepreciation">DEP_DCG!$J$22</definedName>
    <definedName name="DEPB.DeprBlockTot100Percent">DEP_DCG!$H$17</definedName>
    <definedName name="DEPB.DeprBlockTot10Percent">DEP_DCG!$H$16</definedName>
    <definedName name="DEPB.DeprBlockTot5Percent">DEP_DCG!$H$15</definedName>
    <definedName name="DEPB.TotBuildng">DEP_DCG!$J$18</definedName>
    <definedName name="DEPP.DeprBlockTot100Percent">DEP_DCG!$H$11</definedName>
    <definedName name="DEPP.DeprBlockTot15Percent">DEP_DCG!$H$5</definedName>
    <definedName name="DEPP.DeprBlockTot30Percent">DEP_DCG!$H$6</definedName>
    <definedName name="DEPP.DeprBlockTot40Percent">DEP_DCG!$H$7</definedName>
    <definedName name="DEPP.DeprBlockTot45Percent">DEP_DCG!$H$12</definedName>
    <definedName name="DEPP.DeprBlockTot50Percent">DEP_DCG!$H$8</definedName>
    <definedName name="DEPP.DeprBlockTot60Percent">DEP_DCG!$H$9</definedName>
    <definedName name="DEPP.DeprBlockTot80Percent">DEP_DCG!$H$10</definedName>
    <definedName name="DEPP.TotPlntMach">DEP_DCG!$J$13</definedName>
    <definedName name="DI_10AA_Amount">#REF!</definedName>
    <definedName name="DI_10AA_Date">#REF!</definedName>
    <definedName name="DI_10AA_Total">#REF!</definedName>
    <definedName name="DI_10AA_YearOfClaim">#REF!</definedName>
    <definedName name="DI_54">#REF!</definedName>
    <definedName name="DI_54B">#REF!</definedName>
    <definedName name="DI_54D">#REF!</definedName>
    <definedName name="DI_54F">#REF!</definedName>
    <definedName name="DI_54G">#REF!</definedName>
    <definedName name="DI_54GA">#REF!</definedName>
    <definedName name="DI_54GB">#REF!</definedName>
    <definedName name="DI_80C">#REF!</definedName>
    <definedName name="DI_80CCC">#REF!</definedName>
    <definedName name="DI_80CCD_1">#REF!</definedName>
    <definedName name="DI_80CCD_1B">#REF!</definedName>
    <definedName name="DI_80CCD_2">#REF!</definedName>
    <definedName name="DI_80D">#REF!</definedName>
    <definedName name="DI_80DD">#REF!</definedName>
    <definedName name="DI_80DDB">#REF!</definedName>
    <definedName name="DI_80E">#REF!</definedName>
    <definedName name="DI_80EE">#REF!</definedName>
    <definedName name="DI_80EEA">#REF!</definedName>
    <definedName name="DI_80EEB">#REF!</definedName>
    <definedName name="DI_80G">#REF!</definedName>
    <definedName name="DI_80GG">#REF!</definedName>
    <definedName name="DI_80GGC">#REF!</definedName>
    <definedName name="DI_Deduction_80C">#REF!</definedName>
    <definedName name="DI_Deduction_80CCC">#REF!</definedName>
    <definedName name="DI_Deduction_80CCD_1">#REF!</definedName>
    <definedName name="DI_Deduction_80CCD_1B">#REF!</definedName>
    <definedName name="DI_Deduction_80CCD_2">#REF!</definedName>
    <definedName name="DI_Deduction_80D">#REF!</definedName>
    <definedName name="DI_Deduction_80DD">#REF!</definedName>
    <definedName name="DI_Deduction_80DDB">#REF!</definedName>
    <definedName name="DI_Deduction_80E">#REF!</definedName>
    <definedName name="DI_Deduction_80EE">#REF!</definedName>
    <definedName name="DI_Deduction_80EEA">#REF!</definedName>
    <definedName name="DI_Deduction_80EEB">#REF!</definedName>
    <definedName name="DI_Deduction_80G">#REF!</definedName>
    <definedName name="DI_Deduction_80GG">#REF!</definedName>
    <definedName name="DI_Deduction_80GGA">#REF!</definedName>
    <definedName name="DI_Deduction_80GGC">#REF!</definedName>
    <definedName name="DI_Deduction_CG_54">#REF!</definedName>
    <definedName name="DI_Deduction_CG_54B">#REF!</definedName>
    <definedName name="DI_Deduction_CG_54D">#REF!</definedName>
    <definedName name="DI_Deduction_CG_54F">#REF!</definedName>
    <definedName name="DI_Deduction_CG_54G">#REF!</definedName>
    <definedName name="DI_Deduction_CG_54GA">#REF!</definedName>
    <definedName name="DI_Deduction_CG_54GB">#REF!</definedName>
    <definedName name="DI_deduction_CG_total">#REF!</definedName>
    <definedName name="DI_Deduction_SG_54B">#REF!</definedName>
    <definedName name="DI_Deduction_SG_54D">#REF!</definedName>
    <definedName name="DI_Deduction_SG_54G">#REF!</definedName>
    <definedName name="DI_Deduction_SG_54GA">#REF!</definedName>
    <definedName name="DI_deduction_SG_total">#REF!</definedName>
    <definedName name="DI_deduction_total">#REF!</definedName>
    <definedName name="DI_eligble_CG_total">#REF!</definedName>
    <definedName name="DI_eligble_SG_total">#REF!</definedName>
    <definedName name="DI_eligble_total">#REF!</definedName>
    <definedName name="DI_EligibleAmount_80C">#REF!</definedName>
    <definedName name="DI_EligibleAmount_80CCC">#REF!</definedName>
    <definedName name="DI_EligibleAmount_80CCD_1">#REF!</definedName>
    <definedName name="DI_EligibleAmount_80CCD_1B">#REF!</definedName>
    <definedName name="DI_EligibleAmount_80CCD_2">#REF!</definedName>
    <definedName name="DI_EligibleAmount_80D">#REF!</definedName>
    <definedName name="DI_EligibleAmount_80DD">#REF!</definedName>
    <definedName name="DI_EligibleAmount_80DDB">#REF!</definedName>
    <definedName name="DI_EligibleAmount_80E">#REF!</definedName>
    <definedName name="DI_EligibleAmount_80EE">#REF!</definedName>
    <definedName name="DI_EligibleAmount_80EEA">#REF!</definedName>
    <definedName name="DI_EligibleAmount_80EEB">#REF!</definedName>
    <definedName name="DI_EligibleAmount_80G">#REF!</definedName>
    <definedName name="DI_EligibleAmount_80GG">#REF!</definedName>
    <definedName name="DI_EligibleAmount_80GGA">#REF!</definedName>
    <definedName name="DI_EligibleAmount_80GGC">#REF!</definedName>
    <definedName name="DI_EligibleAmount_CG_54">#REF!</definedName>
    <definedName name="DI_EligibleAmount_CG_54B">#REF!</definedName>
    <definedName name="DI_EligibleAmount_CG_54D">#REF!</definedName>
    <definedName name="DI_EligibleAmount_CG_54F">#REF!</definedName>
    <definedName name="DI_EligibleAmount_CG_54G">#REF!</definedName>
    <definedName name="DI_EligibleAmount_CG_54GA">#REF!</definedName>
    <definedName name="DI_EligibleAmount_CG_54GB">#REF!</definedName>
    <definedName name="DI_EligibleAmount_SG_54B">#REF!</definedName>
    <definedName name="DI_EligibleAmount_SG_54D">#REF!</definedName>
    <definedName name="DI_EligibleAmount_SG_54G">#REF!</definedName>
    <definedName name="DI_EligibleAmount_SG_54GA">#REF!</definedName>
    <definedName name="DI_STCG_54">#REF!</definedName>
    <definedName name="DI_STCG_54B">#REF!</definedName>
    <definedName name="DI_STCG_54D">#REF!</definedName>
    <definedName name="DI_STCG_54G">#REF!</definedName>
    <definedName name="DI_Undrtakaking_Number">#REF!</definedName>
    <definedName name="DirectorTableRows">'PART A - General'!$C$59:$D$63</definedName>
    <definedName name="DivDTAA">OS!$T$94</definedName>
    <definedName name="DivDTAATotal">OS!$T$93</definedName>
    <definedName name="DOA_temp1">'DPM - DOA'!$T$16</definedName>
    <definedName name="DOA_temp2">'DPM - DOA'!$U$16</definedName>
    <definedName name="DOA_temp3">'DPM - DOA'!$V$16</definedName>
    <definedName name="DOA_temp4">'DPM - DOA'!$W$16</definedName>
    <definedName name="DOA_temp5">'DPM - DOA'!$X$16</definedName>
    <definedName name="DOA_temp6">'DPM - DOA'!$Y$16</definedName>
    <definedName name="DOA_XML_Check1">'DPM - DOA'!$G$36:$L$53</definedName>
    <definedName name="Donation_cash_80GGA">RA!$K$7:$K$10</definedName>
    <definedName name="Donation_cash_80GGANew">'80GGA'!$L$7:$L$10</definedName>
    <definedName name="Donation_Eligible_80GGA">RA!$N$7:$N$10</definedName>
    <definedName name="Donation_Eligible_80GGANew">'80GGA'!$O$7:$O$10</definedName>
    <definedName name="Donation_other_80GGA">RA!$L$7:$L$10</definedName>
    <definedName name="Donation_other_80GGANew">'80GGA'!$M$7:$M$10</definedName>
    <definedName name="Donation_total_80GGA">RA!$M$7:$M$10</definedName>
    <definedName name="Donation_total_80GGANew">'80GGA'!$N$7:$N$10</definedName>
    <definedName name="DPM_XML_Check1">'DPM - DOA'!$F$7:$L$28</definedName>
    <definedName name="DPM100.AdditionsGrThan180Days">'DPM - DOA'!$AV$12</definedName>
    <definedName name="DPM100.AdditionsLessThan180Days">'DPM - DOA'!$AV$15</definedName>
    <definedName name="DPM100.AddlnDeprDuringYearAdditions">'DPM - DOA'!$AV$21</definedName>
    <definedName name="DPM100.AddlnDeprlessthan180days">'DPM - DOA'!$AV$22</definedName>
    <definedName name="DPM100.AddlnDeprOnGT180DayAdditions">'DPM - DOA'!$AV$20</definedName>
    <definedName name="DPM100.CapGainUs50">'DPM - DOA'!$AV$28</definedName>
    <definedName name="DPM100.DepreciationAtFullRate">'DPM - DOA'!$AV$18</definedName>
    <definedName name="DPM100.DepreciationAtHalfRate">'DPM - DOA'!$AV$19</definedName>
    <definedName name="DPM100.ExpdrOnTrforSaleAsset">'DPM - DOA'!$AV$27</definedName>
    <definedName name="DPM100.FullRateDeprAmt">'DPM - DOA'!$AV$14</definedName>
    <definedName name="DPM100.HalfRateDeprAmt">'DPM - DOA'!$AV$17</definedName>
    <definedName name="DPM100.RATE">'DPM - DOA'!$AV$6</definedName>
    <definedName name="DPM100.RealizationPeriodDuringYear">'DPM - DOA'!$AV$16</definedName>
    <definedName name="DPM100.RealizationTotalPeriod">'DPM - DOA'!$AV$13</definedName>
    <definedName name="DPM100.TotalDepreciation">'DPM - DOA'!$AV$26</definedName>
    <definedName name="DPM100.WDVFirstDay">'DPM - DOA'!$AV$11</definedName>
    <definedName name="DPM100.WDVLastDay">'DPM - DOA'!$AV$29</definedName>
    <definedName name="DPM15.AdditionsGrThan180Days">'DPM - DOA'!$F$11</definedName>
    <definedName name="DPM15.AdditionsLessThan180Days">'DPM - DOA'!$F$14</definedName>
    <definedName name="DPM15.AddlnDeprDuringYearAdditions">'DPM - DOA'!$F$20</definedName>
    <definedName name="DPM15.AddlnDeprlessthan180days">'DPM - DOA'!$F$21</definedName>
    <definedName name="DPM15.AddlnDeprOnGT180DayAdditions">'DPM - DOA'!$F$19</definedName>
    <definedName name="DPM15.CapGainUs50">'DPM - DOA'!$F$27</definedName>
    <definedName name="DPM15.check20A">'DPM - DOA'!$P$2</definedName>
    <definedName name="DPM15.DepreciationAtFullRate">'DPM - DOA'!$F$17</definedName>
    <definedName name="DPM15.DepreciationAtHalfRate">'DPM - DOA'!$F$18</definedName>
    <definedName name="DPM15.DepUnderSec38">'DPM - DOA'!$F$23</definedName>
    <definedName name="DPM15.ExpdrOnTrforSaleAsset">'DPM - DOA'!$F$26</definedName>
    <definedName name="DPM15.FullRateDeprAmt">'DPM - DOA'!$F$13</definedName>
    <definedName name="DPM15.HalfRateDeprAmt">'DPM - DOA'!$F$16</definedName>
    <definedName name="DPM15.NetAgrdep">'DPM - DOA'!$F$24</definedName>
    <definedName name="DPM15.ProAgrdep">'DPM - DOA'!$F$25</definedName>
    <definedName name="DPM15.RATE">'DPM - DOA'!$F$5</definedName>
    <definedName name="DPM15.RealizationPeriodDuringYear">'DPM - DOA'!$F$15</definedName>
    <definedName name="DPM15.RealizationTotalPeriod">'DPM - DOA'!$F$12</definedName>
    <definedName name="DPM15.TotalDepreciation">'DPM - DOA'!$F$22</definedName>
    <definedName name="DPM15.WDVFirstDay">'DPM - DOA'!$F$7</definedName>
    <definedName name="DPM15.WDVFirstDay2">'DPM - DOA'!$F$8</definedName>
    <definedName name="DPM15.WDVFirstDayBAC">'DPM - DOA'!$F$9</definedName>
    <definedName name="DPM15.WDVLastDay">'DPM - DOA'!$F$28</definedName>
    <definedName name="DPM30.AdditionsGrThan180Days">'DPM - DOA'!$G$11</definedName>
    <definedName name="DPM30.AdditionsLessThan180Days">'DPM - DOA'!$G$14</definedName>
    <definedName name="DPM30.AddlnDeprDuringYearAdditions">'DPM - DOA'!$G$20</definedName>
    <definedName name="DPM30.AddlnDeprlessthan180days">'DPM - DOA'!$G$21</definedName>
    <definedName name="DPM30.AddlnDeprOnGT180DayAdditions">'DPM - DOA'!$G$19</definedName>
    <definedName name="DPM30.CapGainUs50">'DPM - DOA'!$G$27</definedName>
    <definedName name="DPM30.check20A">'DPM - DOA'!$Q$2</definedName>
    <definedName name="DPM30.DepreciationAtFullRate">'DPM - DOA'!$G$17</definedName>
    <definedName name="DPM30.DepreciationAtHalfRate">'DPM - DOA'!$G$18</definedName>
    <definedName name="DPM30.DepUnderSec38">'DPM - DOA'!$G$23</definedName>
    <definedName name="DPM30.ExpdrOnTrforSaleAsset">'DPM - DOA'!$G$26</definedName>
    <definedName name="DPM30.FullRateDeprAmt">'DPM - DOA'!$G$13</definedName>
    <definedName name="DPM30.HalfRateDeprAmt">'DPM - DOA'!$G$16</definedName>
    <definedName name="DPM30.NetAgrdep">'DPM - DOA'!$G$24</definedName>
    <definedName name="DPM30.ProAgrdep">'DPM - DOA'!$G$25</definedName>
    <definedName name="DPM30.RATE">'DPM - DOA'!$G$5</definedName>
    <definedName name="DPM30.RealizationPeriodDuringYear">'DPM - DOA'!$G$15</definedName>
    <definedName name="DPM30.RealizationTotalPeriod">'DPM - DOA'!$G$12</definedName>
    <definedName name="DPM30.TotalDepreciation">'DPM - DOA'!$G$22</definedName>
    <definedName name="DPM30.WDVFirstDay">'DPM - DOA'!$G$7</definedName>
    <definedName name="DPM30.WDVFirstDay2">'DPM - DOA'!$G$8</definedName>
    <definedName name="DPM30.WDVFirstDayBAC">'DPM - DOA'!$G$9</definedName>
    <definedName name="DPM30.WDVLastDay">'DPM - DOA'!$G$28</definedName>
    <definedName name="DPM40.AdditionsGrThan180Days">'DPM - DOA'!$H$11</definedName>
    <definedName name="DPM40.AdditionsLessThan180Days">'DPM - DOA'!$H$14</definedName>
    <definedName name="DPM40.AddlnDeprDuringYearAdditions">'DPM - DOA'!$H$20</definedName>
    <definedName name="DPM40.AddlnDeprlessthan180days">'DPM - DOA'!$H$21</definedName>
    <definedName name="DPM40.AddlnDeprOnGT180DayAdditions">'DPM - DOA'!$H$19</definedName>
    <definedName name="DPM40.CapGainUs50">'DPM - DOA'!$H$27</definedName>
    <definedName name="DPM40.check20A">'DPM - DOA'!$R$2</definedName>
    <definedName name="DPM40.DepreciationAtFullRate">'DPM - DOA'!$H$17</definedName>
    <definedName name="DPM40.DepreciationAtHalfRate">'DPM - DOA'!$H$18</definedName>
    <definedName name="DPM40.DepUnderSec38">'DPM - DOA'!$H$23</definedName>
    <definedName name="DPM40.ExpdrOnTrforSaleAsset">'DPM - DOA'!$H$26</definedName>
    <definedName name="DPM40.FullRateDeprAmt">'DPM - DOA'!$H$13</definedName>
    <definedName name="DPM40.HalfRateDeprAmt">'DPM - DOA'!$H$16</definedName>
    <definedName name="DPM40.NetAgrdep">'DPM - DOA'!$H$24</definedName>
    <definedName name="DPM40.ProAgrdep">'DPM - DOA'!$H$25</definedName>
    <definedName name="DPM40.RATE">'DPM - DOA'!$H$5</definedName>
    <definedName name="DPM40.RealizationPeriodDuringYear">'DPM - DOA'!$H$15</definedName>
    <definedName name="DPM40.RealizationTotalPeriod">'DPM - DOA'!$H$12</definedName>
    <definedName name="DPM40.TotalDepreciation">'DPM - DOA'!$H$22</definedName>
    <definedName name="DPM40.WDVFirstDay">'DPM - DOA'!$H$7</definedName>
    <definedName name="DPM40.WDVFirstDay2">'DPM - DOA'!$H$8</definedName>
    <definedName name="DPM40.WDVFirstDayBAC">'DPM - DOA'!$H$9</definedName>
    <definedName name="DPM40.WDVLastDay">'DPM - DOA'!$H$28</definedName>
    <definedName name="DPM45.AdditionsGrThan180Days">'DPM - DOA'!$I$11</definedName>
    <definedName name="DPM45.AdditionsLessThan180Days">'DPM - DOA'!$I$14</definedName>
    <definedName name="DPM45.AddlnDeprDuringYearAdditions">'DPM - DOA'!$I$20</definedName>
    <definedName name="DPM45.AddlnDeprlessthan180days">'DPM - DOA'!$I$21</definedName>
    <definedName name="DPM45.AddlnDeprOnGT180DayAdditions">'DPM - DOA'!$I$19</definedName>
    <definedName name="DPM45.CapGainUs50">'DPM - DOA'!$I$27</definedName>
    <definedName name="DPM45.check20A">'DPM - DOA'!$S$2</definedName>
    <definedName name="DPM45.DepreciationAtFullRate">'DPM - DOA'!$I$17</definedName>
    <definedName name="DPM45.DepreciationAtHalfRate">'DPM - DOA'!$I$18</definedName>
    <definedName name="DPM45.DepUnderSec38">'DPM - DOA'!$I$23</definedName>
    <definedName name="DPM45.ExpdrOnTrforSaleAsset">'DPM - DOA'!$I$26</definedName>
    <definedName name="DPM45.FullRateDeprAmt">'DPM - DOA'!$I$13</definedName>
    <definedName name="DPM45.HalfRateDeprAmt">'DPM - DOA'!$I$16</definedName>
    <definedName name="DPM45.NetAgrdep">'DPM - DOA'!$I$24</definedName>
    <definedName name="DPM45.ProAgrdep">'DPM - DOA'!$I$25</definedName>
    <definedName name="DPM45.RATE">'DPM - DOA'!$I$5</definedName>
    <definedName name="DPM45.RealizationPeriodDuringYear">'DPM - DOA'!$I$15</definedName>
    <definedName name="DPM45.RealizationTotalPeriod">'DPM - DOA'!$I$12</definedName>
    <definedName name="DPM45.TotalDepreciation">'DPM - DOA'!$I$22</definedName>
    <definedName name="DPM45.WDVFirstDay">'DPM - DOA'!$I$10</definedName>
    <definedName name="DPM45.WDVFirstDay2">'DPM - DOA'!$I$8</definedName>
    <definedName name="DPM45.WDVFirstDay3">'DPM - DOA'!$I$7</definedName>
    <definedName name="DPM45.WDVFirstDayBAC">'DPM - DOA'!$I$9</definedName>
    <definedName name="DPM45.WDVLastDay">'DPM - DOA'!$I$28</definedName>
    <definedName name="DPM50.AdditionsGrThan180Days">'DPM - DOA'!$AS$12</definedName>
    <definedName name="DPM50.AdditionsLessThan180Days">'DPM - DOA'!$AS$15</definedName>
    <definedName name="DPM50.AddlnDeprDuringYearAdditions">'DPM - DOA'!$AS$21</definedName>
    <definedName name="DPM50.AddlnDeprlessthan180days">'DPM - DOA'!$AS$22</definedName>
    <definedName name="DPM50.AddlnDeprOnGT180DayAdditions">'DPM - DOA'!$AS$20</definedName>
    <definedName name="DPM50.CapGainUs50">'DPM - DOA'!$AS$28</definedName>
    <definedName name="DPM50.DepreciationAtFullRate">'DPM - DOA'!$AS$18</definedName>
    <definedName name="DPM50.DepreciationAtHalfRate">'DPM - DOA'!$AS$19</definedName>
    <definedName name="DPM50.ExpdrOnTrforSaleAsset">'DPM - DOA'!$AS$27</definedName>
    <definedName name="DPM50.FullRateDeprAmt">'DPM - DOA'!$AS$14</definedName>
    <definedName name="DPM50.HalfRateDeprAmt">'DPM - DOA'!$AS$17</definedName>
    <definedName name="DPM50.RATE">'DPM - DOA'!$AS$6</definedName>
    <definedName name="DPM50.RealizationPeriodDuringYear">'DPM - DOA'!$AS$16</definedName>
    <definedName name="DPM50.RealizationTotalPeriod">'DPM - DOA'!$AS$13</definedName>
    <definedName name="DPM50.TotalDepreciation">'DPM - DOA'!$AS$26</definedName>
    <definedName name="DPM50.WDVFirstDay">'DPM - DOA'!$AS$11</definedName>
    <definedName name="DPM50.WDVLastDay">'DPM - DOA'!$AS$29</definedName>
    <definedName name="DPM60.AdditionsGrThan180Days">'DPM - DOA'!$AT$12</definedName>
    <definedName name="DPM60.AdditionsLessThan180Days">'DPM - DOA'!$AT$15</definedName>
    <definedName name="DPM60.AddlnDeprDuringYearAdditions">'DPM - DOA'!$AT$21</definedName>
    <definedName name="DPM60.AddlnDeprlessthan180days">'DPM - DOA'!$AT$22</definedName>
    <definedName name="DPM60.AddlnDeprOnGT180DayAdditions">'DPM - DOA'!$AT$20</definedName>
    <definedName name="DPM60.CapGainUs50">'DPM - DOA'!$AT$28</definedName>
    <definedName name="DPM60.DepreciationAtFullRate">'DPM - DOA'!$AT$18</definedName>
    <definedName name="DPM60.DepreciationAtHalfRate">'DPM - DOA'!$AT$19</definedName>
    <definedName name="DPM60.ExpdrOnTrforSaleAsset">'DPM - DOA'!$AT$27</definedName>
    <definedName name="DPM60.FullRateDeprAmt">'DPM - DOA'!$AT$14</definedName>
    <definedName name="DPM60.HalfRateDeprAmt">'DPM - DOA'!$AT$17</definedName>
    <definedName name="DPM60.RATE">'DPM - DOA'!$AT$6</definedName>
    <definedName name="DPM60.RealizationPeriodDuringYear">'DPM - DOA'!$AT$16</definedName>
    <definedName name="DPM60.RealizationTotalPeriod">'DPM - DOA'!$AT$13</definedName>
    <definedName name="DPM60.TotalDepreciation">'DPM - DOA'!$AT$26</definedName>
    <definedName name="DPM60.WDVFirstDay">'DPM - DOA'!$AT$11</definedName>
    <definedName name="DPM60.WDVLastDay">'DPM - DOA'!$AT$29</definedName>
    <definedName name="DPM80.AdditionsGrThan180Days">'DPM - DOA'!$AU$12</definedName>
    <definedName name="DPM80.AdditionsLessThan180Days">'DPM - DOA'!$AU$15</definedName>
    <definedName name="DPM80.AddlnDeprDuringYearAdditions">'DPM - DOA'!$AU$21</definedName>
    <definedName name="DPM80.AddlnDeprlessthan180days">'DPM - DOA'!$AU$22</definedName>
    <definedName name="DPM80.AddlnDeprOnGT180DayAdditions">'DPM - DOA'!$AU$20</definedName>
    <definedName name="DPM80.CapGainUs50">'DPM - DOA'!$AU$28</definedName>
    <definedName name="DPM80.DepreciationAtFullRate">'DPM - DOA'!$AU$18</definedName>
    <definedName name="DPM80.DepreciationAtHalfRate">'DPM - DOA'!$AU$19</definedName>
    <definedName name="DPM80.ExpdrOnTrforSaleAsset">'DPM - DOA'!$AU$27</definedName>
    <definedName name="DPM80.FullRateDeprAmt">'DPM - DOA'!$AU$14</definedName>
    <definedName name="DPM80.HalfRateDeprAmt">'DPM - DOA'!$AU$17</definedName>
    <definedName name="DPM80.RATE">'DPM - DOA'!$AU$6</definedName>
    <definedName name="DPM80.RealizationPeriodDuringYear">'DPM - DOA'!$AU$16</definedName>
    <definedName name="DPM80.RealizationTotalPeriod">'DPM - DOA'!$AU$13</definedName>
    <definedName name="DPM80.TotalDepreciation">'DPM - DOA'!$AU$26</definedName>
    <definedName name="DPM80.WDVFirstDay">'DPM - DOA'!$AU$11</definedName>
    <definedName name="DPM80.WDVLastDay">'DPM - DOA'!$AU$29</definedName>
    <definedName name="Dropdown_HeadOfIncome">DropDownValues!$AD$3:$AD$9</definedName>
    <definedName name="Dropdown_HeadOfIncome_Tds3">DropDownValues!$AE$3:$AE$8</definedName>
    <definedName name="Dropdown_RepCapacity">DropDownValues!$W$3:$W$7</definedName>
    <definedName name="DropDown_ValueOf_FamilyM_80D">'80D'!$L$4</definedName>
    <definedName name="DropDown_ValueOf_SC_80D">'80D'!$L$12</definedName>
    <definedName name="dropdown35ad">BP!$F$147</definedName>
    <definedName name="DropdownFA_B">DropDownValues!$AF$3:$AF$5</definedName>
    <definedName name="DropdownFA_CD">DropDownValues!$AH$3:$AH$7</definedName>
    <definedName name="DropdownFA_E">DropDownValues!$AG$3:$AG$10</definedName>
    <definedName name="DSC_Case1">'Nature Of Business'!$O$4</definedName>
    <definedName name="DSC_Case2">'Nature Of Business'!$P$4</definedName>
    <definedName name="DTAA.Up16Of12To15Of3">OS!$K$106</definedName>
    <definedName name="DTAA.Up16Of3To31Of3">OS!$L$106</definedName>
    <definedName name="DTAA.Up16Of9To15Of12">OS!$J$106</definedName>
    <definedName name="DTAA.Upto15Of6">OS!$H$106</definedName>
    <definedName name="DTAA.Upto15Of9">OS!$I$106</definedName>
    <definedName name="DTAA_111_OS">OS!$AO$72</definedName>
    <definedName name="Dtaa_1a">OS!$AI$18</definedName>
    <definedName name="DTAA_1a_OS">OS!$AL$2</definedName>
    <definedName name="Dtaa_1b">OS!$AI$19</definedName>
    <definedName name="DTAA_1b_OS">OS!$AL$1</definedName>
    <definedName name="DTAA_1c_OS">OS!$AN$1</definedName>
    <definedName name="DTAA_1d_OS">OS!$AN$2</definedName>
    <definedName name="DTAA_56_2x_OS">OS!$AQ$77</definedName>
    <definedName name="DTAA_56_OS">OS!$AQ$70</definedName>
    <definedName name="DTAA_56i_OS">OS!$AQ$71</definedName>
    <definedName name="DTAA_56iii_OS">OS!$AQ$76</definedName>
    <definedName name="DTAA_5A1ai">OS!$U$92</definedName>
    <definedName name="DTAA_5A1ai_OS">OS!$AO$71</definedName>
    <definedName name="DTAA_5A1aii_OS">OS!$AO$70</definedName>
    <definedName name="DTAA_5A1aiia_OS">OS!$AO$69</definedName>
    <definedName name="DTAA_5A1aiiaa_OS">OS!$AW$73</definedName>
    <definedName name="DTAA_5A1aiiab_OS">OS!$AW$72</definedName>
    <definedName name="DTAA_5A1aiiac_OS">OS!$AS$71</definedName>
    <definedName name="DTAA_5A1aiii_OS">OS!$AS$70</definedName>
    <definedName name="DTAA_5A1aiPTI">OS!$V$92</definedName>
    <definedName name="DTAA_5A1bA_OS">OS!$AS$69</definedName>
    <definedName name="DTAA_5A1bB_OS">OS!$AY$73</definedName>
    <definedName name="DTAA_5A1D1i_OS">OS!$AU$71</definedName>
    <definedName name="DTAA_5AC1a">OS!$U$91</definedName>
    <definedName name="DTAA_5AC1ab_OS">OS!$AY$72</definedName>
    <definedName name="DTAA_5AC1aPTI">OS!$V$91</definedName>
    <definedName name="DTAA_5AC1b">OS!$W$91</definedName>
    <definedName name="DTAA_5AC1b_OS">OS!$AU$75</definedName>
    <definedName name="DTAA_5AC1bPTI">OS!$X$91</definedName>
    <definedName name="DTAA_5ACA1a">OS!$U$94</definedName>
    <definedName name="DTAA_5ACA1a_OS">OS!$AS$72</definedName>
    <definedName name="DTAA_5ACA1aPTI">OS!$V$94</definedName>
    <definedName name="DTAA_5AD1i">OS!$U$93</definedName>
    <definedName name="DTAA_5AD1ip_OS">OS!$AU$70</definedName>
    <definedName name="DTAA_5AD1iPTI">OS!$V$93</definedName>
    <definedName name="Dtaa_5BB">OS!$AI$20</definedName>
    <definedName name="DTAA_5BB_OS">OS!$AO$75</definedName>
    <definedName name="DTAA_5BBA_OS">OS!$AU$69</definedName>
    <definedName name="DTAA_5BBC_OS">OS!$AU$72</definedName>
    <definedName name="DTAA_5BBDA_OS">OS!$AU$73</definedName>
    <definedName name="DTAA_5BBF_OS">OS!$AO$73</definedName>
    <definedName name="DTAA_5BBG_OS">OS!$AS$73</definedName>
    <definedName name="DTAA_5Ea_OS">OS!$AC$70</definedName>
    <definedName name="DTAA_5Eaa_OS">OS!$BA$73</definedName>
    <definedName name="DTAA_Inc">'SPI - SI - IF'!#REF!</definedName>
    <definedName name="DTAA_Inc_CG">'SPI - SI - IF'!$O$14</definedName>
    <definedName name="DTAA_Inc_OS">'SPI - SI - IF'!$G$19</definedName>
    <definedName name="DTAA_INCOME">'SPI - SI - IF'!#REF!</definedName>
    <definedName name="DTAA_INCOME_CG">'SPI - SI - IF'!$P$14</definedName>
    <definedName name="DTAA_INCOME_OS">'SPI - SI - IF'!$H$19</definedName>
    <definedName name="DTAA_Income_OS_1">'SPI - SI - IF'!$G$58</definedName>
    <definedName name="DTAA_Income_OS_2">'SPI - SI - IF'!$G$59</definedName>
    <definedName name="DTAA_TAX">'SPI - SI - IF'!#REF!</definedName>
    <definedName name="DTAA_TAX_CG">'SPI - SI - IF'!$Q$14</definedName>
    <definedName name="DTAA_TAX_OS">'SPI - SI - IF'!$I$19</definedName>
    <definedName name="DTAA_TAX_OS_1">'SPI - SI - IF'!$I$58</definedName>
    <definedName name="DTAA_TAX_OS_2">'SPI - SI - IF'!$I$59</definedName>
    <definedName name="DTAA5A1ai">OS!$W$92</definedName>
    <definedName name="DTAA5AC">OS!$Y$91</definedName>
    <definedName name="DTAA5ACA1a">OS!$W$94</definedName>
    <definedName name="DTAA5AD1i">OS!$W$93</definedName>
    <definedName name="dtaaInc_2g">'Part B - TI TTI'!$S$96</definedName>
    <definedName name="DTAATot">OS!$T$106</definedName>
    <definedName name="dueDate">'Tax Calculated'!$B$7</definedName>
    <definedName name="EI.Amount">EI!$H$23:$H$26</definedName>
    <definedName name="EI.Description">EI!$G$23:$G$26</definedName>
    <definedName name="EI.Drpdn">BP!$G$145:$G$146</definedName>
    <definedName name="EI.NatureOfIncome">EI!$F$23:$F$26</definedName>
    <definedName name="EI.slno">EI!$E$23:$E$26</definedName>
    <definedName name="EI.Total">EI!$N$38</definedName>
    <definedName name="EI_SectionDropdown">DropDownValues!$AC$3:$AC$16</definedName>
    <definedName name="EI_SectionDropdown1">DropDownValues!$AC$18:$AC$33</definedName>
    <definedName name="EI_SectionDropdown1BACYes">DropDownValues!$AC$47:$AC$61</definedName>
    <definedName name="EI_SectionDropdownBACYes">DropDownValues!$AC$34:$AC$46</definedName>
    <definedName name="EI_XML_Check1">EI!$J$4:$J$21</definedName>
    <definedName name="Eligible_Amount_80D">'80D'!$L$20</definedName>
    <definedName name="EmpCategory">DropDownValues!$E$3:$E$11</definedName>
    <definedName name="ESOP.AttributedTax">ESOP!$G$13:$G$14</definedName>
    <definedName name="ESOP.AttributedTaxTot">ESOP!$H$6</definedName>
    <definedName name="ESOP.AY">ESOP!$E$6:$E$7</definedName>
    <definedName name="ESOP.BalTaxCF">ESOP!$M$6:$M$7</definedName>
    <definedName name="ESOP.CeasedEmployee">ESOP!$I$6</definedName>
    <definedName name="ESOP.Date">ESOP!$F$13:$F$14</definedName>
    <definedName name="ESOP.DateOfCeasing">ESOP!$J$6</definedName>
    <definedName name="ESOP.SecType">ESOP!$G$6</definedName>
    <definedName name="ESOP.SpecifyDate">ESOP!$K$6:$K$7</definedName>
    <definedName name="ESOP.TaxCurrAY">ESOP!$L$6</definedName>
    <definedName name="ESOP.TaxPrevAY">ESOP!$F$6</definedName>
    <definedName name="ESOP_a">'Part B - TI TTI'!$AC$79</definedName>
    <definedName name="ESOP_d">'Part B - TI TTI'!$AC$80</definedName>
    <definedName name="ESOP_e">'Part B - TI TTI'!$AC$81</definedName>
    <definedName name="ESOPCurrAY">ESOP!$E$13:$E$14</definedName>
    <definedName name="ESR_XML_Check">ESR!$E$5:$F$13</definedName>
    <definedName name="ESR1i.AmtDebPL">ESR!$E$5</definedName>
    <definedName name="ESR1i.AmtUs35Allowable">ESR!$F$5</definedName>
    <definedName name="ESR1i.ExcessAmtOverDebPL">ESR!$G$5</definedName>
    <definedName name="ESR1ii.AmtDebPL">ESR!$E$6</definedName>
    <definedName name="ESR1ii.AmtUs35Allowable">ESR!$F$6</definedName>
    <definedName name="ESR1ii.ExcessAmtOverDebPL">ESR!$G$6</definedName>
    <definedName name="ESR1iia.AmtDebPL">ESR!$E$7</definedName>
    <definedName name="ESR1iia.AmtUs35Allowable">ESR!$F$7</definedName>
    <definedName name="ESR1iia.ExcessAmtOverDebPL">ESR!$G$7</definedName>
    <definedName name="ESR1iii.AmtDebPL">ESR!$E$8</definedName>
    <definedName name="ESR1iii.AmtUs35Allowable">ESR!$F$8</definedName>
    <definedName name="ESR1iii.ExcessAmtOverDebPL">ESR!$G$8</definedName>
    <definedName name="ESR1iv.AmtDebPL">ESR!$E$9</definedName>
    <definedName name="ESR1iv.AmtUs35Allowable">ESR!$F$9</definedName>
    <definedName name="ESR1iv.ExcessAmtOverDebPL">ESR!$G$9</definedName>
    <definedName name="ESR2AA.AmtDebPL">ESR!$E$10</definedName>
    <definedName name="ESR2AA.AmtUs35Allowable">ESR!$F$10</definedName>
    <definedName name="ESR2AA.ExcessAmtOverDebPL">ESR!$G$10</definedName>
    <definedName name="ESR2AB.AmtDebPL">ESR!$E$11</definedName>
    <definedName name="ESR2AB.AmtUs35Allowable">ESR!$F$11</definedName>
    <definedName name="ESR2AB.ExcessAmtOverDebPL">ESR!$G$11</definedName>
    <definedName name="ESR35CCC.AmtDebPL">ESR!$E$12</definedName>
    <definedName name="ESR35CCC.AmtUs35Allowable">ESR!$F$12</definedName>
    <definedName name="ESR35CCC.ExcessAmtOverDebPL">ESR!$G$12</definedName>
    <definedName name="ESR35CCD.AmtDebPL">ESR!$E$13</definedName>
    <definedName name="ESR35CCD.AmtUs35Allowable">ESR!$F$13</definedName>
    <definedName name="ESR35CCD.ExcessAmtOverDebPL">ESR!$G$13</definedName>
    <definedName name="ESRTOT.AmtDebPL">ESR!$E$14</definedName>
    <definedName name="ESRTOT.AmtUs35Allowable">ESR!$F$14</definedName>
    <definedName name="ESRTOT.ExcessAmtOverDebPL">ESR!$G$14</definedName>
    <definedName name="exemption">'Tax Calculated'!$B$33</definedName>
    <definedName name="exemptionAmt">'Temporary Values'!$B$26</definedName>
    <definedName name="ExemptionUnder_TI">'Part B - TI TTI'!$S$44</definedName>
    <definedName name="ExpenditureWholly_112A">'Schedule 112A'!$R$6:$R$9</definedName>
    <definedName name="ExpenditureWholly_115AD">'Schedule 115AD(1)(iii) proviso'!$R$6:$R$9</definedName>
    <definedName name="ExSAT">IT!$V$5</definedName>
    <definedName name="ExSAT1">IT!$Z$5</definedName>
    <definedName name="extraInc">'Part B - TI TTI'!$S$62</definedName>
    <definedName name="F_115F">CG!$AE$427</definedName>
    <definedName name="F_54">CG!$AE$421</definedName>
    <definedName name="F_54B">CG!$AE$420</definedName>
    <definedName name="F_54D">CG!$AE$430</definedName>
    <definedName name="F_54EC">CG!$AE$422</definedName>
    <definedName name="F_54EE">CG!$AE$419</definedName>
    <definedName name="F_54F">CG!$AE$424</definedName>
    <definedName name="F_54G">CG!$AE$429</definedName>
    <definedName name="F_54GA">CG!$AE$428</definedName>
    <definedName name="F_54GB">CG!$AE$425</definedName>
    <definedName name="FA_A_AccOpeningDate">TR_FA!#REF!</definedName>
    <definedName name="FA_A_AccountInterest">TR_FA!#REF!</definedName>
    <definedName name="FA_A_AccountName">TR_FA!#REF!</definedName>
    <definedName name="FA_A_Amount">TR_FA!#REF!</definedName>
    <definedName name="FA_A_BankAdd">TR_FA!#REF!</definedName>
    <definedName name="FA_A_BankName">TR_FA!#REF!</definedName>
    <definedName name="FA_A_Country">TR_FA!#REF!</definedName>
    <definedName name="FA_A_ForeignAccountNumber">TR_FA!#REF!</definedName>
    <definedName name="FA_A_IBAN">TR_FA!#REF!</definedName>
    <definedName name="FA_A_ItemNumOfSchedule">TR_FA!#REF!</definedName>
    <definedName name="FA_A_PeakBal">TR_FA!#REF!</definedName>
    <definedName name="FA_A_ScheduleOffered">TR_FA!#REF!</definedName>
    <definedName name="FA_A_StatusBeneficiary">TR_FA!#REF!</definedName>
    <definedName name="FA_A_TotPeakBal">TR_FA!#REF!</definedName>
    <definedName name="FA_A_ZipCode">TR_FA!#REF!</definedName>
    <definedName name="FA_A1_AccOpeningDate">TR_FA!$K$24:$K$29</definedName>
    <definedName name="FA_A1_BankAdd">TR_FA!$G$24:$G$29</definedName>
    <definedName name="FA_A1_BankName">TR_FA!$F$24:$F$29</definedName>
    <definedName name="FA_A1_ClosingBal">TR_FA!$M$24:$M$29</definedName>
    <definedName name="FA_A1_Country">TR_FA!$E$24:$E$29</definedName>
    <definedName name="FA_A1_ForeignAccountNumber">TR_FA!$I$24:$I$29</definedName>
    <definedName name="FA_A1_Grossinterest">TR_FA!$N$24:$N$29</definedName>
    <definedName name="FA_A1_PeakBal">TR_FA!$L$24:$L$29</definedName>
    <definedName name="FA_A1_StatusBeneficiary">TR_FA!$J$24:$J$29</definedName>
    <definedName name="FA_A1_TotPeakBal">TR_FA!$L$31</definedName>
    <definedName name="FA_A1_ZipCode">TR_FA!$H$24:$H$29</definedName>
    <definedName name="FA_A2_AccOpeningDate">TR_FA!$K$38:$K$43</definedName>
    <definedName name="FA_A2_BankAdd">TR_FA!$G$38:$G$43</definedName>
    <definedName name="FA_A2_BankName">TR_FA!$F$38:$F$43</definedName>
    <definedName name="FA_A2_ClosingBal">TR_FA!$M$38:$M$43</definedName>
    <definedName name="FA_A2_Country">TR_FA!$E$38:$E$43</definedName>
    <definedName name="FA_A2_ForeignAccountNumber">TR_FA!$I$38:$I$43</definedName>
    <definedName name="FA_A2_Grossinterest">TR_FA!$O$38:$O$43</definedName>
    <definedName name="FA_A2_Grossinterest_Nature">TR_FA!$N$38:$N$43</definedName>
    <definedName name="FA_A2_PeakBal">TR_FA!$L$38:$L$43</definedName>
    <definedName name="FA_A2_StatusBeneficiary">TR_FA!$J$38:$J$43</definedName>
    <definedName name="FA_A2_TotPeakBal">TR_FA!$L$45</definedName>
    <definedName name="FA_A2_ZipCode">TR_FA!$H$38:$H$43</definedName>
    <definedName name="FA_A3_AccOpeningDate">TR_FA!$J$52:$J$57</definedName>
    <definedName name="FA_A3_BankAdd">TR_FA!$G$52:$G$57</definedName>
    <definedName name="FA_A3_BankName">TR_FA!$F$52:$F$57</definedName>
    <definedName name="FA_A3_ClosingBal">TR_FA!$M$52:$M$57</definedName>
    <definedName name="FA_A3_Country">TR_FA!$E$52:$E$57</definedName>
    <definedName name="FA_A3_initialvalue">TR_FA!$K$52:$K$57</definedName>
    <definedName name="FA_A3_NatureOfEntity">TR_FA!$I$52:$I$57</definedName>
    <definedName name="FA_A3_PeakBal">TR_FA!$L$52:$L$57</definedName>
    <definedName name="FA_A3_Totalgrosproceeds">TR_FA!$O$52:$O$57</definedName>
    <definedName name="FA_A3_Totalgrossamount">TR_FA!$N$52:$N$57</definedName>
    <definedName name="FA_A3_TotPeakBal">TR_FA!$L$59</definedName>
    <definedName name="FA_A3_ZipCode">TR_FA!$H$52:$H$57</definedName>
    <definedName name="FA_A4_AccOpeningDate">TR_FA!$I$66:$I$71</definedName>
    <definedName name="FA_A4_BankAdd">TR_FA!$G$66:$G$71</definedName>
    <definedName name="FA_A4_BankName">TR_FA!$F$66:$F$71</definedName>
    <definedName name="FA_A4_Country">TR_FA!$E$66:$E$71</definedName>
    <definedName name="FA_A4_the_cashvalue">TR_FA!$J$66:$J$71</definedName>
    <definedName name="FA_A4_Total_grossamount">TR_FA!$K$66:$K$71</definedName>
    <definedName name="FA_A4_ZipCode">TR_FA!$H$66:$H$71</definedName>
    <definedName name="FA_B_Amount">TR_FA!$O$81:$O$86</definedName>
    <definedName name="FA_B_Country">TR_FA!$E$81:$E$86</definedName>
    <definedName name="FA_B_DateSinceHeld">TR_FA!$K$81:$K$86</definedName>
    <definedName name="FA_B_EntityAdd">TR_FA!$I$81:$I$86</definedName>
    <definedName name="FA_B_EntityName">TR_FA!$H$81:$H$86</definedName>
    <definedName name="FA_B_EntityNature">TR_FA!$G$81:$G$86</definedName>
    <definedName name="FA_B_IncomeInterest">TR_FA!$M$81:$M$86</definedName>
    <definedName name="FA_B_InvTotal">TR_FA!$I$88</definedName>
    <definedName name="FA_B_ItemNumOfSchedule">TR_FA!$Q$81:$Q$86</definedName>
    <definedName name="FA_B_NatureOfIncome">TR_FA!$N$81:$N$86</definedName>
    <definedName name="FA_B_NatureOfInterest">TR_FA!$J$81:$J$86</definedName>
    <definedName name="FA_B_ScheduleOffered">TR_FA!$P$81:$P$86</definedName>
    <definedName name="FA_B_TotalInv">TR_FA!$L$81:$L$86</definedName>
    <definedName name="FA_B_ZipCode">TR_FA!$F$81:$F$86</definedName>
    <definedName name="FA_C_Amount">TR_FA!$M$96:$M$101</definedName>
    <definedName name="FA_C_Country">TR_FA!$E$96:$E$101</definedName>
    <definedName name="FA_C_DateOfAcquisition">TR_FA!$I$96:$I$101</definedName>
    <definedName name="FA_C_IncomeFromProperty">TR_FA!$K$96:$K$101</definedName>
    <definedName name="FA_C_InvTotal">TR_FA!$G$103</definedName>
    <definedName name="FA_C_ItemNumOfSchedule">TR_FA!$O$96:$O$101</definedName>
    <definedName name="FA_C_NatureOfIncome">TR_FA!$L$96:$L$101</definedName>
    <definedName name="FA_C_OwnershipBeneficiary">TR_FA!$H$96:$H$101</definedName>
    <definedName name="FA_C_PropertyAdd">TR_FA!$G$96:$G$101</definedName>
    <definedName name="FA_C_ScheduleOffered">TR_FA!$N$96:$N$101</definedName>
    <definedName name="FA_C_TotalInv">TR_FA!$J$96:$J$101</definedName>
    <definedName name="FA_C_ZipCode">TR_FA!$F$96:$F$101</definedName>
    <definedName name="FA_D_Amount">TR_FA!$M$111:$M$116</definedName>
    <definedName name="FA_D_AssetNature">TR_FA!$G$111:$G$116</definedName>
    <definedName name="FA_D_Country">TR_FA!$E$111:$E$116</definedName>
    <definedName name="FA_D_DateOfAcquisition">TR_FA!$I$111:$I$116</definedName>
    <definedName name="FA_D_IncomeFromProperty">TR_FA!$K$111:$K$116</definedName>
    <definedName name="FA_D_InvTotal">TR_FA!$G$118</definedName>
    <definedName name="FA_D_ItemNumOfSchedule">TR_FA!$O$111:$O$116</definedName>
    <definedName name="FA_D_NatureOfIncome">TR_FA!$L$111:$L$116</definedName>
    <definedName name="FA_D_OwnershipBeneficiary">TR_FA!$H$111:$H$116</definedName>
    <definedName name="FA_D_ScheduleOffered">TR_FA!$N$111:$N$116</definedName>
    <definedName name="FA_D_TotalInv">TR_FA!$J$111:$J$116</definedName>
    <definedName name="FA_D_ZipCode">TR_FA!$F$111:$F$116</definedName>
    <definedName name="FA_E_AccountName">TR_FA!$I$127:$I$132</definedName>
    <definedName name="FA_E_Amount">TR_FA!$N$127:$N$132</definedName>
    <definedName name="FA_E_Country">TR_FA!$G$127:$G$132</definedName>
    <definedName name="FA_E_IncomeAccured">TR_FA!$L$127:$L$132</definedName>
    <definedName name="FA_E_IncomeAccuredAmount">TR_FA!$M$127:$M$132</definedName>
    <definedName name="FA_E_InstAdd">TR_FA!$F$127:$F$132</definedName>
    <definedName name="FA_E_InstitutionAccountNumber">TR_FA!$J$127:$J$132</definedName>
    <definedName name="FA_E_InstName">TR_FA!$E$127:$E$132</definedName>
    <definedName name="FA_E_InvPBalTot">TR_FA!$I$134</definedName>
    <definedName name="FA_E_ItemNumberSchedule">TR_FA!$P$127:$P$132</definedName>
    <definedName name="FA_E_PeakBalInv">TR_FA!$K$127:$K$132</definedName>
    <definedName name="FA_E_Scheduleoffered">TR_FA!$O$127:$O$132</definedName>
    <definedName name="FA_E_ZipCode">TR_FA!$H$127:$H$132</definedName>
    <definedName name="FA_F_AddressOfBeneficiaries">TR_FA!$N$142:$N$147</definedName>
    <definedName name="FA_F_AddressOfOtherTrustees">TR_FA!$J$142:$J$147</definedName>
    <definedName name="FA_F_AddressOfSettlor">TR_FA!$L$142:$L$147</definedName>
    <definedName name="FA_F_AddressOfTrust">TR_FA!$H$142:$H$147</definedName>
    <definedName name="FA_F_Amount">TR_FA!$R$142:$R$147</definedName>
    <definedName name="FA_F_Country">TR_FA!$E$142:$E$147</definedName>
    <definedName name="FA_F_DateSinceHeld">TR_FA!$O$142:$O$147</definedName>
    <definedName name="FA_F_IncomeDerivedAmount">TR_FA!$Q$142:$Q$147</definedName>
    <definedName name="FA_F_IncomeDerivedIsTaxable">TR_FA!$P$142:$P$147</definedName>
    <definedName name="FA_F_ItemNumberSchedule">TR_FA!$T$142:$T$147</definedName>
    <definedName name="FA_F_NameOfBeneficiaries">TR_FA!$M$142:$M$147</definedName>
    <definedName name="FA_F_NameOfOtherTrustees">TR_FA!$I$142:$I$147</definedName>
    <definedName name="FA_F_NameOfSettlor">TR_FA!$K$142:$K$147</definedName>
    <definedName name="FA_F_NameOfTrust">TR_FA!$G$142:$G$147</definedName>
    <definedName name="FA_F_Scheduleoffered">TR_FA!$S$142:$S$147</definedName>
    <definedName name="FA_F_ZipCode">TR_FA!$F$142:$F$147</definedName>
    <definedName name="FA_G_AddressOfPerson">TR_FA!$H$154:$H$159</definedName>
    <definedName name="FA_G_Amount">TR_FA!$L$154:$L$159</definedName>
    <definedName name="FA_G_Country">TR_FA!$E$154:$E$159</definedName>
    <definedName name="FA_G_IncomeDerived">TR_FA!$I$154:$I$159</definedName>
    <definedName name="FA_G_ItemNumberSchedule">TR_FA!$N$154:$N$159</definedName>
    <definedName name="FA_G_NameOfPerson">TR_FA!$G$154:$G$159</definedName>
    <definedName name="FA_G_NatureOfIncome">TR_FA!$J$154:$J$159</definedName>
    <definedName name="FA_G_Scheduleoffered">TR_FA!$M$154:$M$159</definedName>
    <definedName name="FA_G_WhetherTaxable">TR_FA!$K$154:$K$159</definedName>
    <definedName name="FA_G_ZipCode">TR_FA!$F$154:$F$159</definedName>
    <definedName name="FairMarketValue_112A">'Schedule 112A'!$N$6:$N$9</definedName>
    <definedName name="FairMarketValue_115AD">'Schedule 115AD(1)(iii) proviso'!$N$6:$N$9</definedName>
    <definedName name="FD.ForeignCapitalPayment">#REF!</definedName>
    <definedName name="FD.ForeignCapitalReceipts">#REF!</definedName>
    <definedName name="FD.ForeignRevenuePayment">#REF!</definedName>
    <definedName name="FD.ForeignRevenueReceipts">#REF!</definedName>
    <definedName name="FD.TotalCapitalPayment">#REF!</definedName>
    <definedName name="FD.TotalCapitalReceipts">#REF!</definedName>
    <definedName name="FD.TotalRevenuePayment">#REF!</definedName>
    <definedName name="FD.TotalRevenueReceipts">#REF!</definedName>
    <definedName name="filingType">'Tax Calculated'!$B$9</definedName>
    <definedName name="FINALPBT">BP!$O$6</definedName>
    <definedName name="FinYr">TPSA!$D$6:$D$7</definedName>
    <definedName name="Flag44AB">'Tax Calculated'!$D$6</definedName>
    <definedName name="Flag92E">'Tax Calculated'!$D$7</definedName>
    <definedName name="Flag92EO">'Tax Calculated'!$D$8</definedName>
    <definedName name="FlagAuditTable">'Tax Calculated'!$D$10</definedName>
    <definedName name="FlagSchIFYes">'Tax Calculated'!$D$9</definedName>
    <definedName name="FormulaOfExSAT">IT!$W$7:$W$15</definedName>
    <definedName name="FormulaOfExSAT1">IT!$Z$7:$Z$15</definedName>
    <definedName name="FormulaOfQ">IT!$U$7:$U$15</definedName>
    <definedName name="FormulaofQ0">IT!$Y$7:$Y$15</definedName>
    <definedName name="FormulaOfSAT">IT!$V$7:$V$15</definedName>
    <definedName name="FormulaOfSAT1">IT!$AA$7:$AA$15</definedName>
    <definedName name="FSI_Count">FSI!$S$7</definedName>
    <definedName name="FSI_CountryCode">'FSI1'!$D$8:$D$12</definedName>
    <definedName name="FSI_CountryCode1">FSI!$E$7</definedName>
    <definedName name="FSI_CountryCode2">FSI!$E$13</definedName>
    <definedName name="FSI_CountryCode3">FSI!$E$19</definedName>
    <definedName name="FSI_CountryCode4">FSI!$E$25</definedName>
    <definedName name="FSI_DTAABP">'FSI1'!$T$8:$T$12</definedName>
    <definedName name="FSI_DTAABP1">FSI!$M$9</definedName>
    <definedName name="FSI_DTAABP2">FSI!$M$15</definedName>
    <definedName name="FSI_DTAABP3">FSI!$M$21</definedName>
    <definedName name="FSI_DTAABP4">FSI!$M$27</definedName>
    <definedName name="FSI_DTAACapGain">'FSI1'!$AA$8:$AA$12</definedName>
    <definedName name="FSI_DTAACapGain1">FSI!$M$10</definedName>
    <definedName name="FSI_DTAACapGain2">FSI!$M$16</definedName>
    <definedName name="FSI_DTAACapGain3">FSI!$M$22</definedName>
    <definedName name="FSI_DTAACapGain4">FSI!$M$28</definedName>
    <definedName name="FSI_DTAAHP">'FSI1'!$O$8:$O$12</definedName>
    <definedName name="FSI_DTAAHP1">FSI!$M$8</definedName>
    <definedName name="FSI_DTAAHP2">FSI!$M$14</definedName>
    <definedName name="FSI_DTAAHP3">FSI!$M$20</definedName>
    <definedName name="FSI_DTAAHP4">FSI!$M$26</definedName>
    <definedName name="FSI_DTAAOthSrc">'FSI1'!$AF$8:$AF$12</definedName>
    <definedName name="FSI_DTAAOthSrc1">FSI!$M$11</definedName>
    <definedName name="FSI_DTAAOthSrc2">FSI!$M$17</definedName>
    <definedName name="FSI_DTAAOthSrc3">FSI!$M$23</definedName>
    <definedName name="FSI_DTAAOthSrc4">FSI!$M$29</definedName>
    <definedName name="FSI_DTAASAL">'FSI1'!$J$8:$J$12</definedName>
    <definedName name="FSI_DTAASAL1">FSI!$M$7</definedName>
    <definedName name="FSI_DTAASAL2">FSI!$M$13</definedName>
    <definedName name="FSI_DTAASAL3">FSI!$M$19</definedName>
    <definedName name="FSI_DTAASAL4">FSI!$M$25</definedName>
    <definedName name="FSI_IncCapGain">'FSI1'!$W$8:$W$12</definedName>
    <definedName name="FSI_IncCapGain1">FSI!$I$10</definedName>
    <definedName name="FSI_IncCapGain2">FSI!$I$16</definedName>
    <definedName name="FSI_IncCapGain3">FSI!$I$22</definedName>
    <definedName name="FSI_IncCapGain4">FSI!$I$28</definedName>
    <definedName name="FSI_IncFromBP">'FSI1'!$P$8:$P$12</definedName>
    <definedName name="FSI_IncFromBP1">FSI!$I$9</definedName>
    <definedName name="FSI_IncFromBP2">FSI!$I$15</definedName>
    <definedName name="FSI_IncFromBP3">FSI!$I$21</definedName>
    <definedName name="FSI_IncFromBP4">FSI!$I$27</definedName>
    <definedName name="FSI_IncFromHP">'FSI1'!$K$8:$K$12</definedName>
    <definedName name="FSI_IncFromHP1">FSI!$I$8</definedName>
    <definedName name="FSI_IncFromHP2">FSI!$I$14</definedName>
    <definedName name="FSI_IncFromHP3">FSI!$I$20</definedName>
    <definedName name="FSI_IncFromHP4">FSI!$I$26</definedName>
    <definedName name="FSI_IncFromSal">'FSI1'!$F$8:$F$12</definedName>
    <definedName name="FSI_IncFromSal1">FSI!$I$7</definedName>
    <definedName name="FSI_IncFromSal2">FSI!$I$13</definedName>
    <definedName name="FSI_IncFromSal3">FSI!$I$19</definedName>
    <definedName name="FSI_IncFromSal4">FSI!$I$25</definedName>
    <definedName name="FSI_IncOthSrc">'FSI1'!$AB$8:$AB$12</definedName>
    <definedName name="FSI_IncOthSrc1">FSI!$I$11</definedName>
    <definedName name="FSI_IncOthSrc2">FSI!$I$17</definedName>
    <definedName name="FSI_IncOthSrc3">FSI!$I$23</definedName>
    <definedName name="FSI_IncOthSrc4">FSI!$I$29</definedName>
    <definedName name="FSI_IncT">'FSI1'!$AG$8:$AG$12</definedName>
    <definedName name="FSI_IncT1">FSI!$I$12</definedName>
    <definedName name="FSI_IncT2">FSI!$I$18</definedName>
    <definedName name="FSI_IncT3">FSI!$I$24</definedName>
    <definedName name="FSI_IncT4">FSI!$I$30</definedName>
    <definedName name="FSI_LastCell">FSI!$C$31</definedName>
    <definedName name="FSI_newcountrycod">'FSI1'!$B$37:$B$286</definedName>
    <definedName name="FSI_TaxIdentificationNo">'FSI1'!$E$8:$E$12</definedName>
    <definedName name="FSI_TaxIdentificationNo1">FSI!$F$7</definedName>
    <definedName name="FSI_TaxIdentificationNo2">FSI!$F$13</definedName>
    <definedName name="FSI_TaxIdentificationNo3">FSI!$F$19</definedName>
    <definedName name="FSI_TaxIdentificationNo4">FSI!$F$25</definedName>
    <definedName name="FSI_TXNIBP">'FSI1'!$R$8:$R$12</definedName>
    <definedName name="FSI_TXNIBP1">FSI!$K$9</definedName>
    <definedName name="FSI_TXNIBP2">FSI!$K$15</definedName>
    <definedName name="FSI_TXNIBP3">FSI!$K$21</definedName>
    <definedName name="FSI_TXNIBP4">FSI!$K$27</definedName>
    <definedName name="FSI_TXnICapGain">'FSI1'!$Y$8:$Y$12</definedName>
    <definedName name="FSI_TXnICapGain1">FSI!$K$10</definedName>
    <definedName name="FSI_TXnICapGain2">FSI!$K$16</definedName>
    <definedName name="FSI_TXnICapGain3">FSI!$K$22</definedName>
    <definedName name="FSI_TXnICapGain4">FSI!$K$28</definedName>
    <definedName name="FSI_TXNIHP">'FSI1'!$M$8:$M$12</definedName>
    <definedName name="FSI_TXNIHP1">FSI!$K$8</definedName>
    <definedName name="FSI_TXNIHP2">FSI!$K$14</definedName>
    <definedName name="FSI_TXNIHP3">FSI!$K$20</definedName>
    <definedName name="FSI_TXNIHP4">FSI!$K$26</definedName>
    <definedName name="FSI_TXNIOthSrc">'FSI1'!$AD$8:$AD$12</definedName>
    <definedName name="FSI_TXNIOthSrc1">FSI!$K$11</definedName>
    <definedName name="FSI_TXNIOthSrc2">FSI!$K$17</definedName>
    <definedName name="FSI_TXNIOthSrc3">FSI!$K$23</definedName>
    <definedName name="FSI_TXNIOthSrc4">FSI!$K$29</definedName>
    <definedName name="FSI_TXNISAL">'FSI1'!$H$8:$H$12</definedName>
    <definedName name="FSI_TXNISAL1">FSI!$K$7</definedName>
    <definedName name="FSI_TXNISAL2">FSI!$K$13</definedName>
    <definedName name="FSI_TXNISAL3">FSI!$K$19</definedName>
    <definedName name="FSI_TXNISAL4">FSI!$K$25</definedName>
    <definedName name="FSI_TXNIT">'FSI1'!$AI$8:$AI$12</definedName>
    <definedName name="FSI_TXNIT1">FSI!$K$12</definedName>
    <definedName name="FSI_TXNIT2">FSI!$K$18</definedName>
    <definedName name="FSI_TXNIT3">FSI!$K$24</definedName>
    <definedName name="FSI_TXNIT4">FSI!$K$30</definedName>
    <definedName name="FSI_TXNOBP">'FSI1'!$Q$8:$Q$12</definedName>
    <definedName name="FSI_TXNOBP1">FSI!$J$9</definedName>
    <definedName name="FSI_TXNOBP2">FSI!$J$15</definedName>
    <definedName name="FSI_TXNOBP3">FSI!$J$21</definedName>
    <definedName name="FSI_TXNOBP4">FSI!$J$27</definedName>
    <definedName name="FSI_TXNOCapGain">'FSI1'!$X$8:$X$12</definedName>
    <definedName name="FSI_TXNOCapGain1">FSI!$J$10</definedName>
    <definedName name="FSI_TXNOCapGain2">FSI!$J$16</definedName>
    <definedName name="FSI_TXNOCapGain3">FSI!$J$22</definedName>
    <definedName name="FSI_TXNOCapGain4">FSI!$J$28</definedName>
    <definedName name="FSI_TXNOHP">'FSI1'!$L$8:$L$12</definedName>
    <definedName name="FSI_TXNOHP1">FSI!$J$8</definedName>
    <definedName name="FSI_TXNOHP2">FSI!$J$14</definedName>
    <definedName name="FSI_TXNOHP3">FSI!$J$20</definedName>
    <definedName name="FSI_TXNOHP4">FSI!$J$26</definedName>
    <definedName name="FSI_TXNOOthSrc">'FSI1'!$AC$8:$AC$12</definedName>
    <definedName name="FSI_TXNOOthSrc1">FSI!$J$11</definedName>
    <definedName name="FSI_TXNOOthSrc2">FSI!$J$17</definedName>
    <definedName name="FSI_TXNOOthSrc3">FSI!$J$23</definedName>
    <definedName name="FSI_TXNOOthSrc4">FSI!$J$29</definedName>
    <definedName name="FSI_TXNOSAL">'FSI1'!$G$8:$G$12</definedName>
    <definedName name="FSI_TXNOSAL1">FSI!$J$7</definedName>
    <definedName name="FSI_TXNOSAL2">FSI!$J$13</definedName>
    <definedName name="FSI_TXNOSAL3">FSI!$J$19</definedName>
    <definedName name="FSI_TXNOSAL4">FSI!$J$25</definedName>
    <definedName name="FSI_TXNOT">'FSI1'!$AH$8:$AH$12</definedName>
    <definedName name="FSI_TXNOT1">FSI!$J$12</definedName>
    <definedName name="FSI_TXNOT2">FSI!$J$18</definedName>
    <definedName name="FSI_TXNOT3">FSI!$J$24</definedName>
    <definedName name="FSI_TXNOT4">FSI!$J$30</definedName>
    <definedName name="FSI_TXRBP">'FSI1'!$S$8:$S$12</definedName>
    <definedName name="FSI_TXRBP1">FSI!$L$9</definedName>
    <definedName name="FSI_TXRBP2">FSI!$L$15</definedName>
    <definedName name="FSI_TXRBP3">FSI!$L$21</definedName>
    <definedName name="FSI_TXRBP4">FSI!$L$27</definedName>
    <definedName name="FSI_TXRCapGain">'FSI1'!$Z$8:$Z$12</definedName>
    <definedName name="FSI_TXRCapGain1">FSI!$L$10</definedName>
    <definedName name="FSI_TXRCapGain2">FSI!$L$16</definedName>
    <definedName name="FSI_TXRCapGain3">FSI!$L$22</definedName>
    <definedName name="FSI_TXRCapGain4">FSI!$L$28</definedName>
    <definedName name="FSI_TXRHP">'FSI1'!$N$8:$N$12</definedName>
    <definedName name="FSI_TXRHP1">FSI!$L$8</definedName>
    <definedName name="FSI_TXRHP2">FSI!$L$14</definedName>
    <definedName name="FSI_TXRHP3">FSI!$L$20</definedName>
    <definedName name="FSI_TXRHP4">FSI!$L$26</definedName>
    <definedName name="FSI_TXROthSrc">'FSI1'!$AE$8:$AE$12</definedName>
    <definedName name="FSI_TXROthSrc1">FSI!$L$11</definedName>
    <definedName name="FSI_TXROthSrc2">FSI!$L$17</definedName>
    <definedName name="FSI_TXROthSrc3">FSI!$L$23</definedName>
    <definedName name="FSI_TXROthSrc4">FSI!$L$29</definedName>
    <definedName name="FSI_TXRSAL">'FSI1'!$I$8:$I$12</definedName>
    <definedName name="FSI_TXRSAL1">FSI!$L$7</definedName>
    <definedName name="FSI_TXRSAL2">FSI!$L$13</definedName>
    <definedName name="FSI_TXRSAL3">FSI!$L$19</definedName>
    <definedName name="FSI_TXRSAL4">FSI!$L$25</definedName>
    <definedName name="FSI_TXRT">'FSI1'!$AJ$8:$AJ$12</definedName>
    <definedName name="FSI_TXRT1">FSI!$L$12</definedName>
    <definedName name="FSI_TXRT2">FSI!$L$18</definedName>
    <definedName name="FSI_TXRT3">FSI!$L$24</definedName>
    <definedName name="FSI_TXRT4">FSI!$L$30</definedName>
    <definedName name="FSIblock1">FSI!$C$7:$M$12</definedName>
    <definedName name="FSIblock2">FSI!$C$13:$M$18</definedName>
    <definedName name="FSIblock3">FSI!$C$19:$M$24</definedName>
    <definedName name="FSIblock4">FSI!$C$25:$M$30</definedName>
    <definedName name="FullName">'Temporary Values'!$B$24</definedName>
    <definedName name="FullValueConsideration_112A">'Schedule 112A'!$P$6:$P$9</definedName>
    <definedName name="FullValueConsideration_115AD">'Schedule 115AD(1)(iii) proviso'!$P$6:$P$9</definedName>
    <definedName name="greater12">'Profit and Loss'!$V$165:$V$174</definedName>
    <definedName name="GrpA">Sheet1!$B$8</definedName>
    <definedName name="GrpB">Sheet1!$E$8</definedName>
    <definedName name="GrpC">Sheet1!$F$8</definedName>
    <definedName name="GST_EntitiesFailed">#REF!</definedName>
    <definedName name="GST_EntitiesPayment">#REF!</definedName>
    <definedName name="GST_EntitiesRegistered">#REF!</definedName>
    <definedName name="GST_GSTRAmount">GST!$G$5:$G$8</definedName>
    <definedName name="GST_GSTRno">GST!$F$5:$F$8</definedName>
    <definedName name="GST_NotRegisteredEntities">#REF!</definedName>
    <definedName name="GST_ServiceExempt">#REF!</definedName>
    <definedName name="GST_TotalAmount">#REF!</definedName>
    <definedName name="GTI_LIMIT">'VI-A'!$W$3</definedName>
    <definedName name="GTI_LIMIT_PartC">'VI-A'!$Y$3</definedName>
    <definedName name="H">'PART A - General'!$BF$11:$BF$12</definedName>
    <definedName name="Hash_Iteration">DropDownValues!$B$2</definedName>
    <definedName name="Hash_Key">DropDownValues!$B$1</definedName>
    <definedName name="HASZIP">'PART A - General'!$AE$16</definedName>
    <definedName name="Health_Insurance_80D">'80D'!$L$6</definedName>
    <definedName name="Health_Insurance2_80D">'80D'!$L$14</definedName>
    <definedName name="Health_Insurance3_80D">'80D'!$L$17</definedName>
    <definedName name="Health_InsuranceSC_80D">'80D'!$L$9</definedName>
    <definedName name="hello">OS!$AB$54:$AC$56</definedName>
    <definedName name="HP.AadharofTenant1">'House Property'!$I$17:$I$19</definedName>
    <definedName name="HP.AadharofTenant2">'House Property'!$I$44:$I$46</definedName>
    <definedName name="HP.AddrDetail1">'House Property'!$F$5</definedName>
    <definedName name="HP.AddrDetail2">'House Property'!$F$32</definedName>
    <definedName name="HP.AnnualLetableValue1">'House Property'!$K$20</definedName>
    <definedName name="HP.AnnualLetableValue2">'House Property'!$K$47</definedName>
    <definedName name="HP.BalanceALV1">'House Property'!$K$24</definedName>
    <definedName name="HP.BalanceALV2">'House Property'!$K$51</definedName>
    <definedName name="hp.BFAllUs35Cl4Setoff1">'CYLA - BFLA'!$I$31</definedName>
    <definedName name="hp.BFlossPrevYrUndSameHeadSetoff1">'CYLA - BFLA'!$G$31</definedName>
    <definedName name="hp.BFUnabsorbedDeprSetoff1">'CYLA - BFLA'!$H$31</definedName>
    <definedName name="hp.BusLossSetoff2">'CYLA - BFLA'!$H$9</definedName>
    <definedName name="HP.CityOrTownOrDistrict1">'House Property'!$G$5</definedName>
    <definedName name="HP.CityOrTownOrDistrict2">'House Property'!$G$32</definedName>
    <definedName name="HP.Co.Aadhaar1">'House Property'!$I$8:$I$14</definedName>
    <definedName name="HP.Co.Aadhaar2">'House Property'!$I$35:$I$41</definedName>
    <definedName name="HP.Co.Name1">'House Property'!$G$8:$G$14</definedName>
    <definedName name="HP.Co.Name2">'House Property'!$G$35:$G$41</definedName>
    <definedName name="HP.Co.NameA1">'House Property'!$G$8</definedName>
    <definedName name="HP.Co.NameB1">'House Property'!$G$9</definedName>
    <definedName name="HP.Co.NameC1">'House Property'!$G$10</definedName>
    <definedName name="HP.Co.NameD1">'House Property'!$G$11</definedName>
    <definedName name="HP.Co.NameE1">'House Property'!$G$12</definedName>
    <definedName name="HP.Co.Pan1">'House Property'!$H$8:$H$14</definedName>
    <definedName name="HP.Co.PAN2">'House Property'!$H$35:$H$41</definedName>
    <definedName name="HP.Co.PanA1">'House Property'!$H$8</definedName>
    <definedName name="HP.Co.PanB1">'House Property'!$H$9</definedName>
    <definedName name="HP.Co.PanC1">'House Property'!$H$10</definedName>
    <definedName name="HP.Co.PanD1">'House Property'!$H$11</definedName>
    <definedName name="HP.Co.PanE1">'House Property'!$H$12</definedName>
    <definedName name="HP.Co.Share1">'House Property'!$J$8:$J$14</definedName>
    <definedName name="HP.Co.Share2">'House Property'!$J$35:$J$41</definedName>
    <definedName name="HP.Co.Srno1">'House Property'!$F$8:$F$14</definedName>
    <definedName name="HP.Co.Srno2">'House Property'!$F$35:$F$41</definedName>
    <definedName name="HP.CoOwnedYN1">'House Property'!$J$6</definedName>
    <definedName name="HP.CoOwnedYN2">'House Property'!$J$33</definedName>
    <definedName name="HP.CountryCode1">'House Property'!$I$5</definedName>
    <definedName name="HP.CountryCode2">'House Property'!$I$32</definedName>
    <definedName name="HP.ifLetOut1">'House Property'!$H$15</definedName>
    <definedName name="HP.ifLetOut2">'House Property'!$H$42</definedName>
    <definedName name="hp.IncOfCurYrAfterSetOff2">'CYLA - BFLA'!$J$9</definedName>
    <definedName name="hp.IncOfCurYrAfterSetOffBFLosses1">'CYLA - BFLA'!$J$31</definedName>
    <definedName name="hp.IncOfCurYrUnderThatHead2">'CYLA - BFLA'!$F$9</definedName>
    <definedName name="hp.IncOfCurYrUndHeadFromCYLA1">'CYLA - BFLA'!$F$31</definedName>
    <definedName name="HP.IncomeOfHP1">'House Property'!$K$30</definedName>
    <definedName name="HP.IncomeOfHP2">'House Property'!$K$57</definedName>
    <definedName name="HP.IncomeOfHPInOwnHand1">'House Property'!$K$25</definedName>
    <definedName name="HP.IncomeOfHPInOwnHand2">'House Property'!$K$52</definedName>
    <definedName name="HP.IntOnBorwCap1">'House Property'!$I$27</definedName>
    <definedName name="HP.IntOnBorwCap2">'House Property'!$I$54</definedName>
    <definedName name="HP.LastCell">'House Property'!$C$58</definedName>
    <definedName name="HP.LocalTaxes1">'House Property'!$I$22</definedName>
    <definedName name="HP.LocalTaxes2">'House Property'!$I$49</definedName>
    <definedName name="HP.LossCheckHP">'House Property'!$I$27</definedName>
    <definedName name="HP.NameofTenant1">'House Property'!$G$17:$G$19</definedName>
    <definedName name="HP.NameofTenant2">'House Property'!$G$44:$G$46</definedName>
    <definedName name="hp.OthSrcLossNoRaceHorseSetoff2">'CYLA - BFLA'!$I$9</definedName>
    <definedName name="HP.OwnerProperty1">'House Property'!$G$6</definedName>
    <definedName name="HP.OwnerProperty2">'House Property'!$G$33</definedName>
    <definedName name="HP.OwnerPropertyDescription1">'House Property'!$H$6</definedName>
    <definedName name="HP.OwnerPropertyDescription2">'House Property'!$H$33</definedName>
    <definedName name="HP.OwnerPropertyDropdown">DropDownValues!$Y$3:$Y$7</definedName>
    <definedName name="HP.PANofTenant1">'House Property'!$H$17:$H$19</definedName>
    <definedName name="HP.PANofTenant2">'House Property'!$H$44:$H$46</definedName>
    <definedName name="HP.PassTroughIncome">'House Property'!$K$58</definedName>
    <definedName name="HP.PinCode1">'House Property'!$J$5</definedName>
    <definedName name="HP.PinCode2">'House Property'!$J$32</definedName>
    <definedName name="HP.REMloss">'House Property'!$N$59</definedName>
    <definedName name="HP.RentNotRealized1">'House Property'!$I$21</definedName>
    <definedName name="HP.RentNotRealized2">'House Property'!$I$48</definedName>
    <definedName name="HP.RentOfEarlierYrSec_AandAA1">'House Property'!$K$29</definedName>
    <definedName name="HP.RentOfEarlierYrSec_AandAA2">'House Property'!$K$56</definedName>
    <definedName name="HP.REStwolakh">'House Property'!$N$58</definedName>
    <definedName name="HP.SharePercent1">'House Property'!$K$7</definedName>
    <definedName name="HP.SharePercent2">'House Property'!$K$34</definedName>
    <definedName name="HP.StateCode1">'House Property'!$H$5</definedName>
    <definedName name="HP.StateCode2">'House Property'!$H$32</definedName>
    <definedName name="HP.TANofTenant1">'House Property'!$J$17:$J$19</definedName>
    <definedName name="HP.TANofTenant2">'House Property'!$J$44:$J$46</definedName>
    <definedName name="HP.ThirtyPercentOfBalance1">'House Property'!$I$26</definedName>
    <definedName name="HP.ThirtyPercentOfBalance2">'House Property'!$I$53</definedName>
    <definedName name="HP.TotalDeduct1">'House Property'!$K$28</definedName>
    <definedName name="HP.TotalDeduct2">'House Property'!$K$55</definedName>
    <definedName name="HP.TotalIncomeChargeableUnHP">'House Property'!$K$59</definedName>
    <definedName name="HP.TotalUnrealizedAndTax1">'House Property'!$I$23</definedName>
    <definedName name="HP.TotalUnrealizedAndTax2">'House Property'!$I$50</definedName>
    <definedName name="HP.ZipCode1">'House Property'!$K$5</definedName>
    <definedName name="HP.ZipCode2">'House Property'!$K$32</definedName>
    <definedName name="hpincome.bf">'CYLA - BFLA'!$AI$13</definedName>
    <definedName name="hpincome.bp">'CYLA - BFLA'!$AE$13</definedName>
    <definedName name="hpincome.hp">'CYLA - BFLA'!$AA$13</definedName>
    <definedName name="hpincome.os">'CYLA - BFLA'!$W$13</definedName>
    <definedName name="hploss.bf">'CYLA - BFLA'!$AH$13</definedName>
    <definedName name="hploss.bfadj">'CYLA - BFLA'!$AJ$13</definedName>
    <definedName name="hploss.bp">'CYLA - BFLA'!$AG$13</definedName>
    <definedName name="hploss.hp">'CYLA - BFLA'!$AC$13</definedName>
    <definedName name="hploss.ih">'CYLA - BFLA'!$U$13</definedName>
    <definedName name="hploss.os">'CYLA - BFLA'!$Y$13</definedName>
    <definedName name="hprptfrm1">'House Property'!$C$4:$K$30</definedName>
    <definedName name="hprptfrm2">'House Property'!$C$31:$K$57</definedName>
    <definedName name="I">'PART A - General'!$BE$11:$BE$14</definedName>
    <definedName name="IA80.DeductProfUs80_IA_4_i">'80'!$H$7:$H$9</definedName>
    <definedName name="IA80.DeductProfUs80_IA_4_ii">'80'!$H$12:$H$13</definedName>
    <definedName name="IA80.DeductProfUs80_IA_4_iii">'80'!$H$16:$H$17</definedName>
    <definedName name="IA80.DeductProfUs80_IA_4_iv">'80'!$H$20:$H$21</definedName>
    <definedName name="IA80.TotSchedule80_IA">'80'!$H$23</definedName>
    <definedName name="IB80.DeductBackDisttUs80_IB_5">'80'!$H$36:$H$37</definedName>
    <definedName name="IB80.DeductBackStatesUs80_IB_4">'80'!$H$32:$H$33</definedName>
    <definedName name="IB80.DeductColdChainUs80_IB_11">'80'!$H$56:$H$57</definedName>
    <definedName name="IB80.DeductConvCentUs80_IB_7B">'80'!$H$44:$H$45</definedName>
    <definedName name="IB80.DeductFoodGrainUs80_IB_11A">'80'!$H$64:$H$65</definedName>
    <definedName name="IB80.DeductFruitVegUs80_IB_11A">'80'!$H$60:$H$61</definedName>
    <definedName name="IB80.DeductHospAnyAreaUs80IB_11C">'80'!$H$72:$H$73</definedName>
    <definedName name="IB80.DeductHousUs80_IB_10">'80'!$H$52:$H$53</definedName>
    <definedName name="IB80.DeductJKLocUs80_IB_4">'80'!$H$28:$H$29</definedName>
    <definedName name="IB80.DeductMinOilUs80_IB_9">'80'!$H$48:$H$49</definedName>
    <definedName name="IB80.DeductMultiplexUs80_IB_7A">'80'!$H$40:$H$41</definedName>
    <definedName name="IB80.DeductRurHospUs80_IB_11B">'80'!$H$68:$H$69</definedName>
    <definedName name="IB80.TotSchedule80_IB">'80'!$H$75</definedName>
    <definedName name="IC80.ArunachalPradesh">'80'!$H$97:$H$98</definedName>
    <definedName name="IC80.Assam">'80'!$H$93:$H$94</definedName>
    <definedName name="IC80.DeductInHimachalP">'80'!$H$84:$H$85</definedName>
    <definedName name="IC80.DeductInSikkim">'80'!$H$80:$H$81</definedName>
    <definedName name="IC80.DeductInUttaranchal">'80'!$H$88:$H$89</definedName>
    <definedName name="IC80.Manipur">'80'!$H$101:$H$102</definedName>
    <definedName name="IC80.Meghalaya">'80'!$H$109:$H$110</definedName>
    <definedName name="IC80.Mizoram">'80'!$H$105:$H$106</definedName>
    <definedName name="IC80.Nagaland">'80'!$H$113:$H$114</definedName>
    <definedName name="IC80.TotDeductInNorthEast">'80'!$H$120</definedName>
    <definedName name="IC80.TotSchedule80_IC">'80'!$H$122</definedName>
    <definedName name="IC80.Tripura">'80'!$H$117:$H$118</definedName>
    <definedName name="ICDS.AccPolicies">ICDS!$F$6</definedName>
    <definedName name="ICDS.BorrowingCosts">ICDS!$F$14</definedName>
    <definedName name="ICDS.ChngRates">ICDS!$F$11</definedName>
    <definedName name="ICDS.ConsContracts">ICDS!$F$8</definedName>
    <definedName name="ICDS.FilledFlag">ICDS!$J$4</definedName>
    <definedName name="ICDS.Govgrants">ICDS!$F$12</definedName>
    <definedName name="ICDS.ProvLiability">ICDS!$F$15</definedName>
    <definedName name="ICDS.RevenueRecog">ICDS!$F$9</definedName>
    <definedName name="ICDS.Securities">ICDS!$F$13</definedName>
    <definedName name="ICDS.TangibleFixAssests">ICDS!$F$10</definedName>
    <definedName name="ICDS.Total">ICDS!$F$16</definedName>
    <definedName name="ICDS.Totalb">ICDS!$F$17</definedName>
    <definedName name="ICDS.ValuationInv">ICDS!$F$7</definedName>
    <definedName name="IEOS">OS!$T$84</definedName>
    <definedName name="IF.FirmCapBalOn31Mar">'SPI - SI - IF'!$L$101:$L$106</definedName>
    <definedName name="IF.FirmName">'SPI - SI - IF'!$F$101:$F$106</definedName>
    <definedName name="IF.FirmPAN">'SPI - SI - IF'!$G$101:$G$106</definedName>
    <definedName name="IF.Is92EApplicable">'SPI - SI - IF'!$I$101:$I$106</definedName>
    <definedName name="IF.IsLiableToAudit">'SPI - SI - IF'!$H$101:$H$106</definedName>
    <definedName name="IF.ProfitShareAmt">'SPI - SI - IF'!$K$101:$K$106</definedName>
    <definedName name="IF.ProfitSharePercent">'SPI - SI - IF'!$J$101:$J$106</definedName>
    <definedName name="IF.TotalFirmCapBalOn31Mar">'SPI - SI - IF'!$L$107</definedName>
    <definedName name="IF.TotalProfitShareAmt">'SPI - SI - IF'!$K$107</definedName>
    <definedName name="IFC">DropDownValues!$AK$1</definedName>
    <definedName name="IFSC_BankName">DropDownValues!$CR$3:$CR$224</definedName>
    <definedName name="IFSC_StartLetter">DropDownValues!$CS$3:$CS$224</definedName>
    <definedName name="IFSCCodeSet1">DropDownValues!$CL$3:$CL$25000</definedName>
    <definedName name="IFSCCodeSet2">DropDownValues!$CM$3:$CM$25000</definedName>
    <definedName name="IFSCCodeSet3">DropDownValues!$CN$3:$CN$25000</definedName>
    <definedName name="IFSCCodeSet4">DropDownValues!$CO$3:$CO$25000</definedName>
    <definedName name="IFSCCodeSet5">DropDownValues!$CP$3:$CP$40437</definedName>
    <definedName name="IHLA.E_LTCGv_5_DTAArates">CG!$M$415</definedName>
    <definedName name="IHLA.E_LTCGv_DTAArates">CG!$I$415</definedName>
    <definedName name="IHLA.E_LTCGv15_DTAArates">CG!$J$415</definedName>
    <definedName name="IHLA.E_LTCGv30_DTAArates">CG!$K$415</definedName>
    <definedName name="IHLA.E_LTCGv5_DTAArates">CG!$N$415</definedName>
    <definedName name="IHLA.E_LTCGv6_DTAArates">CG!$O$415</definedName>
    <definedName name="IHLA.E_LTCGv7_DTAArates">CG!$Q$415</definedName>
    <definedName name="IHLA.E_LTCGvapplicable_DTAArates">CG!$L$415</definedName>
    <definedName name="IHLA.Ei2_StclSetoff15Per">CG!$J$408</definedName>
    <definedName name="IHLA.Ei3_StclSetoff30Per">CG!$K$408</definedName>
    <definedName name="IHLA.Ei4_StclSetoffAppRate">CG!$L$408</definedName>
    <definedName name="IHLA.Ei5_LtclSetOff10Per">CG!$N$408</definedName>
    <definedName name="IHLA.Ei5_StclSetoffDTAARate">CG!$M$408</definedName>
    <definedName name="IHLA.Ei6_LtclSetOff20Per">CG!$O$408</definedName>
    <definedName name="IHLA.Ei8_LtclSetOffDTAARate">CG!$P$408</definedName>
    <definedName name="IHLA.Eii1_CurrYearIncome">CG!$I$409</definedName>
    <definedName name="IHLA.Eii3_StclSetoff30Per">CG!$K$409</definedName>
    <definedName name="IHLA.Eii4_StclSetoffAppRate">CG!$L$409</definedName>
    <definedName name="IHLA.Eii5_StclSetoffDTAARate">CG!$M$409</definedName>
    <definedName name="IHLA.Eii7_CurrYrCapGain">CG!$Q$409</definedName>
    <definedName name="IHLA.Eiii1_CurrYearIncome">CG!$I$410</definedName>
    <definedName name="IHLA.Eiii2_StclSetoff15Per">CG!$J$410</definedName>
    <definedName name="IHLA.Eiii4_StclSetoffAppRate">CG!$L$410</definedName>
    <definedName name="IHLA.Eiii5_StclSetoffDTAARate">CG!$M$410</definedName>
    <definedName name="IHLA.Eiii7_CurrYrCapGain">CG!$Q$410</definedName>
    <definedName name="IHLA.Eiv1_CurrYearIncome">CG!$I$411</definedName>
    <definedName name="IHLA.Eiv2_StclSetoff15Per">CG!$J$411</definedName>
    <definedName name="IHLA.Eiv3_StclSetoff30Per">CG!$K$411</definedName>
    <definedName name="IHLA.Eiv3_StclSetoff30PerIHLA.Eiv3_StclSetoff30Per">CG!$K$411</definedName>
    <definedName name="IHLA.Eiv5_StclSetoffDTAARate">CG!$M$411</definedName>
    <definedName name="IHLA.Eiv7_CurrYrCapGain">CG!$Q$411</definedName>
    <definedName name="IHLA.Ev_DTAArates">CG!$I$412</definedName>
    <definedName name="IHLA.Ev1_CurrYearIncome">CG!$I$413</definedName>
    <definedName name="IHLA.Ev2_DTAArates">CG!$J$412</definedName>
    <definedName name="IHLA.Ev2_StclSetoff15Per">CG!$J$413</definedName>
    <definedName name="IHLA.Ev3_DTAArates">CG!$K$412</definedName>
    <definedName name="IHLA.Ev3_StclSetoff30Per">CG!$K$413</definedName>
    <definedName name="IHLA.Ev4_DTAArates">CG!$L$412</definedName>
    <definedName name="IHLA.Ev4_StclSetoffAppRate">CG!$L$413</definedName>
    <definedName name="IHLA.Ev5_StclSetoffDTAARate">CG!$M$413</definedName>
    <definedName name="IHLA.Ev6_LtclSetOff20Per">CG!$O$413</definedName>
    <definedName name="IHLA.Ev7_CurrYrCapGain">CG!$Q$413</definedName>
    <definedName name="IHLA.Ev7_DTAArates">CG!$Q$412</definedName>
    <definedName name="IHLA.Ev8_LtclSetOffDTAARate">CG!$P$413</definedName>
    <definedName name="IHLA.Evi1_CurrYearIncome">CG!$I$414</definedName>
    <definedName name="IHLA.Evi2_StclSetoff15Per">CG!$J$414</definedName>
    <definedName name="IHLA.Evi3_StclSetoff30Per">CG!$K$414</definedName>
    <definedName name="IHLA.Evi4_StclSetoffAppRate">CG!$L$414</definedName>
    <definedName name="IHLA.Evi5_LtclSetOff10Per">CG!$N$414</definedName>
    <definedName name="IHLA.Evi5_StclSetoffDTAARate">CG!$M$414</definedName>
    <definedName name="IHLA.Evi7_CurrYrCapGain">CG!$Q$414</definedName>
    <definedName name="IHLA.Evi8_LtclSetOffDTAARate">CG!$P$414</definedName>
    <definedName name="IHLA.Evii2_StclSetoff15Per">CG!$J$416</definedName>
    <definedName name="IHLA.Evii3_StclSetoff30Per">CG!$K$416</definedName>
    <definedName name="IHLA.Evii4_StclSetoffAppRate">CG!$L$416</definedName>
    <definedName name="IHLA.Evii5_LtclSetOff10Per">CG!$N$416</definedName>
    <definedName name="IHLA.Evii5_StclSetoffDTAARate">CG!$M$416</definedName>
    <definedName name="IHLA.Evii6_LtclSetOff20Per">CG!$O$416</definedName>
    <definedName name="IHLA.Evii8_LtclSetOffDTAARate">CG!$P$416</definedName>
    <definedName name="IHLA.Eviii2_StclSetoff15Per">CG!$J$417</definedName>
    <definedName name="IHLA.Eviii3_StclSetoff30Per">CG!$K$417</definedName>
    <definedName name="IHLA.Eviii4_StclSetoffAppRate">CG!$L$417</definedName>
    <definedName name="IHLA.Eviii5_LtclSetOff10Per">CG!$N$417</definedName>
    <definedName name="IHLA.Eviii5_StclSetoffDTAARate">CG!$M$417</definedName>
    <definedName name="IHLA.Eviii6_LtclSetOff20Per">CG!$O$417</definedName>
    <definedName name="IHLA.Eviii8_LtclSetOffDTAARate">CG!$P$417</definedName>
    <definedName name="Inc_Frm_ltcg_10_112_1ciii">CG!$AD$46</definedName>
    <definedName name="Inc_Frm_ltcg_10_112A">CG!$AF$50</definedName>
    <definedName name="Inc_Frm_ltcg_10_112proviso">CG!$AD$45</definedName>
    <definedName name="Inc_frm_ltcg_10_115AC">CG!$AD$47</definedName>
    <definedName name="Inc_Frm_ltcg_10_115ACA">CG!$AD$48</definedName>
    <definedName name="Inc_Frm_ltcg_10_115ADiii">CG!$AD$49</definedName>
    <definedName name="Inc_Frm_ltcg_10_115ADiii_Proviso">CG!$AF$49</definedName>
    <definedName name="Inc_Frm_ltcg_10_115Eb">CG!$AD$50</definedName>
    <definedName name="Inc_Frm_ltcg_10_PTI10">CG!$AF$48</definedName>
    <definedName name="Inc_Frm_ltcg_10_PTI10_112">CG!$AF$47</definedName>
    <definedName name="Inc_frm_ltcg_20_112">CG!$AD$54</definedName>
    <definedName name="Inc_Frm_ltcg_20_115Ea">CG!$AD$55</definedName>
    <definedName name="Inc_Frm_ltcg_20_PTI20">CG!$AD$56</definedName>
    <definedName name="Inc_Frm_stcg_111A">CG!$AD$39</definedName>
    <definedName name="Inc_Frm_stcg_115AD_1bii">CG!$AD$41</definedName>
    <definedName name="Inc_Frm_stcg_30_115AD">CG!$AD$58</definedName>
    <definedName name="Inc_Frm_stcg_30_PTI30">CG!$AD$59</definedName>
    <definedName name="Inc_Frm_stcg_Applicable">CG!$AD$62</definedName>
    <definedName name="Inc_Frm_stcg_ApplicablePTI">CG!$AD$63</definedName>
    <definedName name="Inc_Frm_stcg_PTI15">CG!$AD$42</definedName>
    <definedName name="incChargeTaxSplRate111A112_2g">'Part B - TI TTI'!$S$91</definedName>
    <definedName name="IncD.InvestmentDropDown">'VI-A'!$K$4</definedName>
    <definedName name="IncD.Section80DB">'VI-A'!$I$15</definedName>
    <definedName name="IncD.Section80DB_Calc">'VI-A'!$S$15</definedName>
    <definedName name="IncD.Section80DC">'VI-A'!$I$16</definedName>
    <definedName name="IncD.Section80DC_Calc">'VI-A'!$R$16</definedName>
    <definedName name="IncD_115A1aiiacQ1">OS!$H$103</definedName>
    <definedName name="IncD_115A1aiiacQ2">OS!$I$103</definedName>
    <definedName name="IncD_115A1aiiacQ3">OS!$J$103</definedName>
    <definedName name="IncD_115A1aiiacQ4">OS!$K$103</definedName>
    <definedName name="IncD_115A1aiiacQ5">OS!$L$103</definedName>
    <definedName name="IncD_115A1aiQ1">OS!$H$100</definedName>
    <definedName name="IncD_115A1aiQ2">OS!$I$100</definedName>
    <definedName name="IncD_115A1aiQ3">OS!$J$100</definedName>
    <definedName name="IncD_115A1aiQ4">OS!$K$100</definedName>
    <definedName name="IncD_115A1aiQ5">OS!$L$100</definedName>
    <definedName name="IncD_115A1aiQTot">OS!$T$100</definedName>
    <definedName name="IncD_115ACA1aQ1">OS!$H$102</definedName>
    <definedName name="IncD_115ACA1aQ2">OS!$I$102</definedName>
    <definedName name="IncD_115ACA1aQ3">OS!$J$102</definedName>
    <definedName name="IncD_115ACA1aQ4">OS!$K$102</definedName>
    <definedName name="IncD_115ACA1aQ5">OS!$L$102</definedName>
    <definedName name="IncD_115ACA1aQTot">OS!$T$102</definedName>
    <definedName name="IncD_115ACQ1">OS!$H$101</definedName>
    <definedName name="IncD_115ACQ2">OS!$I$101</definedName>
    <definedName name="IncD_115ACQ3">OS!$J$101</definedName>
    <definedName name="IncD_115ACQ4">OS!$K$101</definedName>
    <definedName name="IncD_115ACQ5">OS!$L$101</definedName>
    <definedName name="IncD_115ACQTot">OS!$T$101</definedName>
    <definedName name="IncD_115AD1iQ1">OS!$H$104</definedName>
    <definedName name="IncD_115AD1iQ2">OS!$I$104</definedName>
    <definedName name="IncD_115AD1iQ3">OS!$J$104</definedName>
    <definedName name="IncD_115AD1iQ4">OS!$K$104</definedName>
    <definedName name="IncD_115AD1iQ5">OS!$L$104</definedName>
    <definedName name="IncD_115AD1iQTot">OS!$T$104</definedName>
    <definedName name="IncD_q1OS1">OS!$H$105</definedName>
    <definedName name="IncD_q2OS1">OS!$I$105</definedName>
    <definedName name="IncD_q3OS1">OS!$J$105</definedName>
    <definedName name="IncD_q4OS1">OS!$K$105</definedName>
    <definedName name="IncD_q5OS1">OS!$L$105</definedName>
    <definedName name="IncD_qTotOS1">OS!$T$105</definedName>
    <definedName name="IncomeAftrExemp">'Tax Calculated'!$B$108</definedName>
    <definedName name="IncomefrmLottery.Up16Of12To15Of3">OS!$K$98</definedName>
    <definedName name="IncomefrmLottery.Up16Of3To31Of3">OS!$L$98</definedName>
    <definedName name="IncomefrmLottery.Up16Of9To15Of12">OS!$J$98</definedName>
    <definedName name="IncomefrmLottery.Upto15Of6">OS!$H$98</definedName>
    <definedName name="IncomefrmLottery.Upto15Of9">OS!$I$98</definedName>
    <definedName name="IncomeNotified89A_Amount1">'Schedule S'!$J$23:$J$25</definedName>
    <definedName name="IncomeNotified89A_Amount2">'Schedule S'!$J$47:$J$49</definedName>
    <definedName name="IncomeNotified89A_AmountCan1">'Schedule S'!$J$25</definedName>
    <definedName name="IncomeNotified89A_AmountCan2">'Schedule S'!$J$49</definedName>
    <definedName name="IncomeNotified89A_AmountUK1">'Schedule S'!$J$24</definedName>
    <definedName name="IncomeNotified89A_AmountUK2">'Schedule S'!$J$48</definedName>
    <definedName name="IncomeNotified89A_AmountUS1">'Schedule S'!$J$23</definedName>
    <definedName name="IncomeNotified89A_AmountUS2">'Schedule S'!$J$47</definedName>
    <definedName name="IncomeNotified89A_Country1">'Schedule S'!$G$23:$H$25</definedName>
    <definedName name="IncomeNotified89A1">'Schedule S'!$J$21</definedName>
    <definedName name="IncomeNotified89A2">'Schedule S'!$J$45</definedName>
    <definedName name="IncomeNotifiedOther89A1">'Schedule S'!$J$26</definedName>
    <definedName name="IncomeNotifiedOther89A2">'Schedule S'!$J$50</definedName>
    <definedName name="Increliefus89A">'Schedule S'!$L$54</definedName>
    <definedName name="Individual_Hidden">'PART A - General'!$C$24:$D$24</definedName>
    <definedName name="INE305C01029">DropDownValues!$EP$50686</definedName>
    <definedName name="interest234B">'Tax Calculated'!$B$92</definedName>
    <definedName name="interest234C">'Tax Calculated'!$R$228</definedName>
    <definedName name="InterestDTAA">OS!$T$90</definedName>
    <definedName name="IntrstSec10XIFP">OS!$J$13</definedName>
    <definedName name="IntrstSec10XIIFP">OS!$J$15</definedName>
    <definedName name="IntrstSec10XIISP">OS!$J$16</definedName>
    <definedName name="IntrstSec10XISP">OS!$J$14</definedName>
    <definedName name="intsrt234Aprinc">'Tax Calculated'!$B$4</definedName>
    <definedName name="intsrt234AprincTemp">'Tax Calculated'!$B$3</definedName>
    <definedName name="Irrigated">DropDownValues!$S$3:$S$5</definedName>
    <definedName name="IS44AD">'Tax Calculated'!$E$68</definedName>
    <definedName name="IsDirectorCompany">'PART A - General'!$AM$58</definedName>
    <definedName name="IsImmovableAsset">AL!$J$4</definedName>
    <definedName name="ISIN112A">'ISIN List'!$A$2:$B$65536</definedName>
    <definedName name="ISINCode_112A">'Schedule 112A'!$F$6:$F$9</definedName>
    <definedName name="ISINCode_115AD">'Schedule 115AD(1)(iii) proviso'!$F$6:$F$9</definedName>
    <definedName name="ISINList">'ISIN List'!#REF!</definedName>
    <definedName name="IsInterestHeld">AL!$M$25</definedName>
    <definedName name="isLiableForAudit">'SPI - SI - IF'!$U$101:$U$106</definedName>
    <definedName name="IsPartnerFirm">'PART A - General'!$AM$64</definedName>
    <definedName name="IsShareOwner">'PART A - General'!$AM$69</definedName>
    <definedName name="IT.Amt">IT!$H$7:$H$15</definedName>
    <definedName name="IT.AT">IT!$T$31</definedName>
    <definedName name="IT.BSRCode">IT!$E$7:$E$15</definedName>
    <definedName name="IT.DateDep">IT!$F$7:$F$15</definedName>
    <definedName name="IT.FormulaOFS">IT!$T$7:$T$15</definedName>
    <definedName name="IT.Q1Rate">IT!$AA$5</definedName>
    <definedName name="IT.Qtr0">IT!$AB$5</definedName>
    <definedName name="IT.Qtr1">IT!$AB$5</definedName>
    <definedName name="IT.SAT">IT!$R$31</definedName>
    <definedName name="IT.Sat1">IT!$W$22</definedName>
    <definedName name="IT.SrlNoOfChaln">IT!$G$7:$G$15</definedName>
    <definedName name="IT.Sum">IT!$H$17</definedName>
    <definedName name="IT_Sat_1">IT!$V$31</definedName>
    <definedName name="IT_Sat_10">IT!$V$22</definedName>
    <definedName name="IT_Sat_11">IT!$V$21</definedName>
    <definedName name="IT_Sat_12">IT!$V$20</definedName>
    <definedName name="IT_Sat_13">IT!$W$31</definedName>
    <definedName name="IT_Sat_14">IT!$W$30</definedName>
    <definedName name="IT_Sat_15">IT!$W$29</definedName>
    <definedName name="IT_Sat_16">IT!$W$28</definedName>
    <definedName name="IT_Sat_17">IT!$W$27</definedName>
    <definedName name="IT_Sat_18">IT!$W$26</definedName>
    <definedName name="IT_Sat_19">IT!$W$25</definedName>
    <definedName name="IT_Sat_2">IT!$V$30</definedName>
    <definedName name="IT_Sat_20">IT!$W$24</definedName>
    <definedName name="IT_Sat_21">IT!$W$23</definedName>
    <definedName name="IT_Sat_22">IT!$W$22</definedName>
    <definedName name="IT_Sat_23">IT!$W$21</definedName>
    <definedName name="IT_Sat_24">IT!$W$20</definedName>
    <definedName name="IT_Sat_3">IT!$V$29</definedName>
    <definedName name="IT_Sat_4">IT!$V$28</definedName>
    <definedName name="IT_Sat_5">IT!$V$27</definedName>
    <definedName name="IT_Sat_6">IT!$V$26</definedName>
    <definedName name="IT_Sat_7">IT!$V$25</definedName>
    <definedName name="IT_Sat_8">IT!$V$24</definedName>
    <definedName name="IT_Sat_9">IT!$V$23</definedName>
    <definedName name="ITER">OS!$T$87</definedName>
    <definedName name="last_digit_AMT">'Part B - TI TTI'!$U$53</definedName>
    <definedName name="lesser12">'Profit and Loss'!$W$165:$W$174</definedName>
    <definedName name="LiableFor92E">'SPI - SI - IF'!$V$101:$V$106</definedName>
    <definedName name="LossCheckHP">'House Property'!$I$27</definedName>
    <definedName name="LTCG.5.DeductionUnder54F">CG!$Q$222</definedName>
    <definedName name="LTCG.5.LTCG_AfterThreshold">CG!$Q$221</definedName>
    <definedName name="LTCG.5.LTCG_AssetsB8Above">CG!$S$276</definedName>
    <definedName name="LTCG.5.LTCG_OnSaleCapitalAssets">CG!$S$223</definedName>
    <definedName name="LTCG.8.DeductionUnder54F">CG!$Q$275</definedName>
    <definedName name="LTCG.8.LTCG_AfterThreshold">CG!$Q$274</definedName>
    <definedName name="LTCG.A9_StatusUnutilizedCG">CG!$P$316</definedName>
    <definedName name="LTCG.B.NRI">CG!$E$224:$E$283</definedName>
    <definedName name="LTCG.B_AcqDate1">CG!$Q$135</definedName>
    <definedName name="LTCG.B_SaleTrfDate1">CG!$Q$136</definedName>
    <definedName name="LTCG.B02.54EE_ExemptionAmount">CG!$Q$177</definedName>
    <definedName name="LTCG.B02a_FullConsideration">CG!$Q$173</definedName>
    <definedName name="LTCG.B02a_FullConsiderationUAEi">CG!$Q$171</definedName>
    <definedName name="LTCG.B02a_FullConsiderationUAEii">CG!$Q$172</definedName>
    <definedName name="LTCG.B02b_NetWorthOfDivision">CG!$Q$174</definedName>
    <definedName name="LTCG.B02c_SlumpBalance">CG!$Q$175</definedName>
    <definedName name="LTCG.B02d_ExemptionGrandTotal">CG!$Q$179</definedName>
    <definedName name="LTCG.B02di_ExemptionAmount">CG!$Q$176</definedName>
    <definedName name="LTCG.B02dii_ExemptionAmount">CG!$Q$178</definedName>
    <definedName name="LTCG.B02e_CapgainonAssets">CG!$S$180</definedName>
    <definedName name="LTCG.B03d_ExemptionGrandTotal">CG!$Q$191</definedName>
    <definedName name="LTCG.B04d_ExemptionGrandTotal">CG!$Q$204</definedName>
    <definedName name="LTCG.B04di_ExemptionGrandTotal">CG!$Q$217</definedName>
    <definedName name="LTCG.B06d_ExemptionGrandTotal">CG!$Q$226</definedName>
    <definedName name="LTCG.B07dii_ExemptionGrandTotal">CG!$Q$241</definedName>
    <definedName name="LTCG.B07div_ExemptionGrandTotal">CG!$Q$256</definedName>
    <definedName name="LTCG.B07dv_ExemptionGrandTotal">CG!$Q$271</definedName>
    <definedName name="LTCG.B08h_ExemptionGrandTotal">CG!$Q$275</definedName>
    <definedName name="LTCG.B10_ApplRate">CG!$P$329:$P$330</definedName>
    <definedName name="LTCG.B10_CertiStatus">CG!$M$329:$M$330</definedName>
    <definedName name="LTCG.B10_Country">CG!$J$329:$J$330</definedName>
    <definedName name="LTCG.B10_DTAA_Article">CG!$K$329:$K$330</definedName>
    <definedName name="LTCG.B10_ItemNo">CG!$I$329:$I$330</definedName>
    <definedName name="LTCG.B10_LtcgAmt">CG!$H$329:$H$330</definedName>
    <definedName name="LTCG.B10_ltcgDTAA">CG!$S$334</definedName>
    <definedName name="LTCG.B10_RatePITAct">CG!$O$329:$O$330</definedName>
    <definedName name="LTCG.B10_RatepTreaty">CG!$L$329:$L$330</definedName>
    <definedName name="LTCG.B10_SecIT">CG!$N$329:$N$330</definedName>
    <definedName name="LTCG.B10b_ltcgDTAA">CG!$S$335</definedName>
    <definedName name="LTCG.B12_PassThroughIncome">CG!$S$323</definedName>
    <definedName name="LTCG.B12_PassThroughIncome10">CG!$Q$325</definedName>
    <definedName name="LTCG.B12_PassThroughIncome10_112A">CG!$Q$324</definedName>
    <definedName name="LTCG.B12_PassThroughIncome20">CG!$Q$326</definedName>
    <definedName name="LTCG.B1dviii_ExemptionAmount">CG!$AG$15:$AG$16</definedName>
    <definedName name="LTCG.B1e_CapgainonAssets">CG!$AA$168</definedName>
    <definedName name="LTCG.B2.54EE_ExemptionAmount">CG!$Q$190</definedName>
    <definedName name="LTCG.B2a_FullConsideration">CG!$Q$182</definedName>
    <definedName name="LTCG.B2bi_AquisitCost">CG!$Q$184</definedName>
    <definedName name="LTCG.B2bii_ImproveCost">CG!$Q$185</definedName>
    <definedName name="LTCG.B2biii_ExpOnTrans">CG!$Q$186</definedName>
    <definedName name="LTCG.B2biv_TotalDedn">CG!$Q$187</definedName>
    <definedName name="LTCG.B2c_BalanceCG">CG!$Q$188</definedName>
    <definedName name="LTCG.B2di_ExemptionAmount">CG!$Q$189</definedName>
    <definedName name="LTCG.B2dii_ExemptionAmount">CG!$Q$191</definedName>
    <definedName name="LTCG.B2e_CapgainonAssets">CG!$S$193</definedName>
    <definedName name="LTCG.B3.54EE_ExemptionAmount">CG!$Q$203</definedName>
    <definedName name="LTCG.B3a_FullConsideration">CG!$Q$195</definedName>
    <definedName name="LTCG.B3bi_AquisitCost">CG!$Q$197</definedName>
    <definedName name="LTCG.B3bii_ImproveCost">CG!$Q$198</definedName>
    <definedName name="LTCG.B3biii_ExpOnTrans">CG!$Q$199</definedName>
    <definedName name="LTCG.B3biv_TotalDedn">CG!$Q$200</definedName>
    <definedName name="LTCG.B3c_BalanceCG">CG!$Q$201</definedName>
    <definedName name="LTCG.B3di_ExemptionAmount">CG!$Q$202</definedName>
    <definedName name="LTCG.B3dii_ExemptionAmount">CG!$Q$204</definedName>
    <definedName name="LTCG.B3e_CapgainonAssets">CG!$S$206</definedName>
    <definedName name="LTCG.B4a_LTCGWithoutBenefit">CG!$Q$225</definedName>
    <definedName name="LTCG.B4bii_ExemptionAmount">CG!$Q$226</definedName>
    <definedName name="LTCG.B4e_LTCGOnUnlistedSecurity">CG!$S$227</definedName>
    <definedName name="LTCG.B6a_SaleonSpecAsset">CG!$Q$278</definedName>
    <definedName name="LTCG.B6aia_FullConsideration">CG!$Q$230</definedName>
    <definedName name="LTCG.B6aib_FullMarketValue">CG!$Q$231</definedName>
    <definedName name="LTCG.B6aic_FullConsideration50CA">CG!$Q$232</definedName>
    <definedName name="LTCG.B6aii_FullConsiderationS">CG!$Q$233</definedName>
    <definedName name="LTCG.B6b_DednSpecAssetus115">CG!$Q$279</definedName>
    <definedName name="LTCG.B6c_BalonSpeciAsset">CG!$S$280</definedName>
    <definedName name="LTCG.B6d_SaleOtherSpecAsset">CG!$Q$281</definedName>
    <definedName name="LTCG.B6e_DednOtherSpecAssetus115">CG!$Q$282</definedName>
    <definedName name="LTCG.B6f_BalOtherthanSpecAsset">CG!$S$283</definedName>
    <definedName name="LTCG.B6ibia_FullConsideration">CG!$Q$245</definedName>
    <definedName name="LTCG.B6ibib_FullMarketValue">CG!$Q$246</definedName>
    <definedName name="LTCG.B6ibic_FullConsideration">CG!$Q$247</definedName>
    <definedName name="LTCG.B6ibii_FullConsideration50CA">CG!$Q$248</definedName>
    <definedName name="LTCG.B6iiiaia_FullConsideration">CG!$Q$260</definedName>
    <definedName name="LTCG.B6iiiaib_FullMarketValue">CG!$Q$261</definedName>
    <definedName name="LTCG.B6iiiaic_FullConsideration50CA">CG!$Q$262</definedName>
    <definedName name="LTCG.B6iiiaii_FullConsiderationS">CG!$Q$263</definedName>
    <definedName name="LTCG.B7.54EE_ExemptionAmount">CG!$Q$299</definedName>
    <definedName name="LTCG.B7a_FullConsideration">CG!$Q$290</definedName>
    <definedName name="LTCG.B7bi_AquisitCost">CG!$Q$292</definedName>
    <definedName name="LTCG.B7bii_ImproveCost">CG!$Q$293</definedName>
    <definedName name="LTCG.B7biii_ExpOnTrans">CG!$Q$294</definedName>
    <definedName name="LTCG.B7biv_TotalDedn">CG!$Q$295</definedName>
    <definedName name="LTCG.B7c_BalanceCG">CG!$Q$296</definedName>
    <definedName name="LTCG.B7d_ExemptionGrandTotal">CG!$Q$303</definedName>
    <definedName name="LTCG.B7di_ExemptionAmount">CG!$Q$298</definedName>
    <definedName name="LTCG.B7di_ExemptionAmount0">CG!$Q$297</definedName>
    <definedName name="LTCG.B7dii_ExemptionAmount">CG!$Q$300</definedName>
    <definedName name="LTCG.B7diii_ExemptionAmount">CG!$Q$301</definedName>
    <definedName name="LTCG.B7div_ExemptionAmount">CG!$Q$302</definedName>
    <definedName name="LTCG.B7e_CapgainonAssets">CG!$S$304</definedName>
    <definedName name="LTCG.B8_ExemptionGrandTotal">CG!$S$314</definedName>
    <definedName name="LTCG.B8aia_FullConsideration">CG!$Q$286</definedName>
    <definedName name="LTCG.B8aib_FullMarketValue">CG!$Q$287</definedName>
    <definedName name="LTCG.B8aic_FullConsideration50CA">CG!$Q$288</definedName>
    <definedName name="LTCG.B8aii_FullConsiderationO">CG!$Q$289</definedName>
    <definedName name="LTCG.B8i_ExemptionAmount">CG!$Q$305</definedName>
    <definedName name="LTCG.B8ii_ExemptionAmount">CG!$Q$306</definedName>
    <definedName name="LTCG.B8ii_ExemptionAmounta">CG!$Q$307</definedName>
    <definedName name="LTCG.B8iii_ExemptionAmount">CG!$Q$308</definedName>
    <definedName name="LTCG.B8iv_ExemptionAmount">CG!$Q$309</definedName>
    <definedName name="LTCG.B8iv_ExemptionAmounta">CG!$Q$310</definedName>
    <definedName name="LTCG.B8iv_ExemptionAmountb">CG!$Q$311</definedName>
    <definedName name="LTCG.B8v_ExemptionAmount">CG!$Q$312</definedName>
    <definedName name="LTCG.B8vi_ExemptionAmount">CG!$Q$313</definedName>
    <definedName name="LTCG.B9_AmountDeemedOth">CG!$Q$321</definedName>
    <definedName name="LTCG.B9_AmtDeemed">CG!$S$322</definedName>
    <definedName name="LTCG.B9_AmtNotUsed_1">CG!$L$319:$L$319</definedName>
    <definedName name="LTCG.B9_AmtUtilised_1">CG!$K$319:$K$319</definedName>
    <definedName name="LTCG.B9_AsstAcquiredYer_1">CG!$J$319:$J$319</definedName>
    <definedName name="LTCG.B9_DeductionSection_1">CG!$I$319:$I$319</definedName>
    <definedName name="LTCG.B9_PreviousYer_1">CG!$H$319:$H$319</definedName>
    <definedName name="LTCG.B9_Sl_1">CG!$G$319</definedName>
    <definedName name="LTCG.B9_StcgAmt">CG!$L$271:$L$271</definedName>
    <definedName name="LTCG.B9_TotalLTCG">CG!$S$341</definedName>
    <definedName name="LTCG.Bai_FullConsideration1">CG!$Q$137</definedName>
    <definedName name="LTCG.Bai_FullConsideration2">CG!#REF!</definedName>
    <definedName name="LTCG.Baii_PropertyValuation1">CG!$Q$138</definedName>
    <definedName name="LTCG.Baii_PropertyValuation2">CG!#REF!</definedName>
    <definedName name="LTCG.Baiii_FullConsiderationFiftyC_Temp">CG!$Z$139</definedName>
    <definedName name="LTCG.Baiii_FullConsiderationFiftyC1">CG!$Q$139</definedName>
    <definedName name="LTCG.Baiii_FullConsiderationFiftyC2">CG!#REF!</definedName>
    <definedName name="LTCG.Bbi_AquisitCost1">CG!$Q$142</definedName>
    <definedName name="LTCG.Bbi_AquisitCost2">CG!#REF!</definedName>
    <definedName name="LTCG.Bbi_AquisitCostNew1">CG!$Q$141</definedName>
    <definedName name="LTCG.Bbi_AquisitCostTot1">CG!$Q$143</definedName>
    <definedName name="LTCG.Bbia_ImproveCost1">CG!$H$145:$I$146</definedName>
    <definedName name="LTCG.Bbib_ImproveCostYear1">CG!$J$145:$K$146</definedName>
    <definedName name="LTCG.Bbii_ImproveCost1">CG!$L$145:$L$146</definedName>
    <definedName name="LTCG.Bbii_ImproveCost2">CG!#REF!</definedName>
    <definedName name="LTCG.Bbiii_ExpOnTrans1">CG!$Q$148</definedName>
    <definedName name="LTCG.Bbiii_ExpOnTrans2">CG!#REF!</definedName>
    <definedName name="LTCG.Bbiv_TotalDedn1">CG!$Q$149</definedName>
    <definedName name="LTCG.Bbiv_TotalDedn2">CG!#REF!</definedName>
    <definedName name="LTCG.Bc_BalanceCG1">CG!$Q$150</definedName>
    <definedName name="LTCG.Bc_BalanceCG2">CG!#REF!</definedName>
    <definedName name="LTCG.Bd_ExemptionGrandTotal1">CG!$Q$160</definedName>
    <definedName name="LTCG.Bd_ExemptionGrandTotal2">CG!#REF!</definedName>
    <definedName name="LTCG.Bdi_ExemptionAmount1">CG!$Q$151</definedName>
    <definedName name="LTCG.Bdi_ExemptionAmount2">CG!#REF!</definedName>
    <definedName name="LTCG.Bdii_ExemptionAmount1">CG!$Q$152</definedName>
    <definedName name="LTCG.Bdii_ExemptionAmount2">CG!#REF!</definedName>
    <definedName name="LTCG.Bdiii_ExemptionAmount1">CG!$Q$153</definedName>
    <definedName name="LTCG.Bdiii_ExemptionAmount2">CG!#REF!</definedName>
    <definedName name="LTCG.Bdiv_ExemptionAmount1">CG!$Q$154</definedName>
    <definedName name="LTCG.Bdiv_ExemptionAmount2">CG!#REF!</definedName>
    <definedName name="LTCG.Bdix_ExemptionAmount54EE1">CG!$Q$155</definedName>
    <definedName name="LTCG.Bdv_ExemptionAmount1">CG!$Q$156</definedName>
    <definedName name="LTCG.Bdv_ExemptionAmount2">CG!#REF!</definedName>
    <definedName name="LTCG.Bdvi_ExemptionAmount1">CG!$Q$157</definedName>
    <definedName name="LTCG.Bdvi_ExemptionAmount2">CG!#REF!</definedName>
    <definedName name="LTCG.Bdvii_ExemptionAmount1">CG!$Q$158</definedName>
    <definedName name="LTCG.Bdvii_ExemptionAmount2">CG!#REF!</definedName>
    <definedName name="LTCG.Bdviii_ExemptionAmount1">CG!$Q$159</definedName>
    <definedName name="LTCG.Bdviii_ExemptionAmount2">CG!#REF!</definedName>
    <definedName name="LTCG.Be_CapgainonAssets1">CG!$S$161</definedName>
    <definedName name="LTCG.Be_CapgainonAssets2">CG!#REF!</definedName>
    <definedName name="ltcg.BFAllUs35Cl4Setoff_DTAARates">'CYLA - BFLA'!$I$41</definedName>
    <definedName name="ltcg.BFAllUs35Cl4Setoff4">'CYLA - BFLA'!$I$39</definedName>
    <definedName name="ltcg.BFAllUs35Cl4Setoff4a">'CYLA - BFLA'!$I$40</definedName>
    <definedName name="ltcg.BFlossPrevYrUndSameHeadSetoff_DTAARates">'CYLA - BFLA'!$G$41</definedName>
    <definedName name="ltcg.BFlossPrevYrUndSameHeadSetoff4">'CYLA - BFLA'!$G$39</definedName>
    <definedName name="ltcg.BFlossPrevYrUndSameHeadSetoff4a">'CYLA - BFLA'!$G$40</definedName>
    <definedName name="ltcg.BFUnabsorbedDeprSetoff_DTAARates">'CYLA - BFLA'!$H$41</definedName>
    <definedName name="ltcg.BFUnabsorbedDeprSetoff4">'CYLA - BFLA'!$H$39</definedName>
    <definedName name="ltcg.BFUnabsorbedDeprSetoff4a">'CYLA - BFLA'!$H$40</definedName>
    <definedName name="LTCG.Bi5a_FullConsideration">CG!$Q$234</definedName>
    <definedName name="LTCG.Bi5bi_AquisitCost">CG!$Q$236</definedName>
    <definedName name="LTCG.Bi5bii_ImproveCost">CG!$Q$237</definedName>
    <definedName name="LTCG.Bi5biii_ExpOnTrans">CG!$Q$238</definedName>
    <definedName name="LTCG.Bi5biv_TotalDedn">CG!$Q$239</definedName>
    <definedName name="LTCG.Bi5c_BalanceCG">CG!$Q$240</definedName>
    <definedName name="LTCG.Bi5dii_ExemptionAmount">CG!$Q$241</definedName>
    <definedName name="LTCG.Bi5e_CapgainonAssets">CG!$S$242</definedName>
    <definedName name="LTCG.Bii3.54EE_ExemptionAmount">CG!$Q$216</definedName>
    <definedName name="LTCG.Bii3a_FullConsideration">CG!$Q$208</definedName>
    <definedName name="LTCG.Bii3bi_AquisitCost">CG!$Q$210</definedName>
    <definedName name="LTCG.Bii3bii_ImproveCost">CG!$Q$211</definedName>
    <definedName name="LTCG.Bii3biii_ExpOnTrans">CG!$Q$212</definedName>
    <definedName name="LTCG.Bii3biv_TotalDedn">CG!$Q$213</definedName>
    <definedName name="LTCG.Bii3c_BalanceCG">CG!$Q$214</definedName>
    <definedName name="LTCG.Bii3di_ExemptionAmount">CG!$Q$215</definedName>
    <definedName name="LTCG.Bii3dii_ExemptionAmount">CG!$Q$217</definedName>
    <definedName name="LTCG.Bii3e_CapgainonAssets">CG!$S$219</definedName>
    <definedName name="LTCG.Bii5a_FullConsideration">CG!$Q$249</definedName>
    <definedName name="LTCG.Bii5bi_AquisitCost">CG!$Q$251</definedName>
    <definedName name="LTCG.Bii5bii_ImproveCost">CG!$Q$252</definedName>
    <definedName name="LTCG.Bii5biii_ExpOnTrans">CG!$Q$253</definedName>
    <definedName name="LTCG.Bii5biv_TotalDedn">CG!$Q$254</definedName>
    <definedName name="LTCG.Bii5c_BalanceCG">CG!$Q$255</definedName>
    <definedName name="LTCG.Bii5dii_ExemptionAmount">CG!$Q$256</definedName>
    <definedName name="LTCG.Bii5e_CapgainonAssets">CG!$S$257</definedName>
    <definedName name="LTCG.Biii5a_FullConsideration">CG!$Q$264</definedName>
    <definedName name="LTCG.Biii5bi_AquisitCost">CG!$Q$266</definedName>
    <definedName name="LTCG.Biii5bii_ImproveCost">CG!$Q$267</definedName>
    <definedName name="LTCG.Biii5biii_ExpOnTrans">CG!$Q$268</definedName>
    <definedName name="LTCG.Biii5biv_TotalDedn">CG!$Q$269</definedName>
    <definedName name="LTCG.Biii5c_BalanceCG">CG!$Q$270</definedName>
    <definedName name="LTCG.Biii5dii_ExemptionAmount">CG!$Q$271</definedName>
    <definedName name="LTCG.Biii5e_CapgainonAssets">CG!$S$272</definedName>
    <definedName name="ltcg.BusLossSetoff_DTAARates">'CYLA - BFLA'!$H$19</definedName>
    <definedName name="ltcg.BusLossSetoff2">'CYLA - BFLA'!$H$17</definedName>
    <definedName name="ltcg.BusLossSetoff2a">'CYLA - BFLA'!$H$18</definedName>
    <definedName name="LTCG.DTAA">CG!$E$327:$E$340</definedName>
    <definedName name="ltcg.HPlossCurYrSetoff_DTAARates">'CYLA - BFLA'!$G$19</definedName>
    <definedName name="ltcg.HPlossCurYrSetoff2">'CYLA - BFLA'!$G$17</definedName>
    <definedName name="ltcg.HPlossCurYrSetoff2a">'CYLA - BFLA'!$G$18</definedName>
    <definedName name="ltcg.IncOfCurYrAfterSetOff_DTAARates">'CYLA - BFLA'!$J$19</definedName>
    <definedName name="ltcg.IncOfCurYrAfterSetOff2">'CYLA - BFLA'!$J$17</definedName>
    <definedName name="ltcg.IncOfCurYrAfterSetOff2a">'CYLA - BFLA'!$J$18</definedName>
    <definedName name="ltcg.IncOfCurYrAfterSetOffBFLosses_DTAARates">'CYLA - BFLA'!$J$41</definedName>
    <definedName name="ltcg.IncOfCurYrAfterSetOffBFLosses4">'CYLA - BFLA'!$J$39</definedName>
    <definedName name="ltcg.IncOfCurYrAfterSetOffBFLosses4a">'CYLA - BFLA'!$J$40</definedName>
    <definedName name="ltcg.IncOfCurYrUnderThatHead_DTAARates">'CYLA - BFLA'!$F$19</definedName>
    <definedName name="ltcg.IncOfCurYrUnderThatHead2">'CYLA - BFLA'!$F$17</definedName>
    <definedName name="ltcg.IncOfCurYrUnderThatHead2a">'CYLA - BFLA'!$F$18</definedName>
    <definedName name="ltcg.IncOfCurYrUndHeadFromCYLA4">'CYLA - BFLA'!$F$39</definedName>
    <definedName name="ltcg.IncOfCurYrUndHeadFromCYLA4a">'CYLA - BFLA'!$F$40</definedName>
    <definedName name="ltcg.IncOfCurYrUndHeadFromCYLA4a_DTAARates">'CYLA - BFLA'!$F$41</definedName>
    <definedName name="LTCG.LastCell">CG!$E$168</definedName>
    <definedName name="ltcg.OthSrcLossNoRaceHorseSetoff_DTAARates">'CYLA - BFLA'!$I$19</definedName>
    <definedName name="ltcg.OthSrcLossNoRaceHorseSetoff2">'CYLA - BFLA'!$I$17</definedName>
    <definedName name="ltcg.OthSrcLossNoRaceHorseSetoff2a">'CYLA - BFLA'!$I$18</definedName>
    <definedName name="LTCG_DropDown">DropDownValues!$BK$3:$BK$21</definedName>
    <definedName name="LTCG_DropDown2">DropDownValues!$BL$3:$BL$14</definedName>
    <definedName name="LTCG_DTAA_B10e">CG!$AT$329</definedName>
    <definedName name="LTCG_DTAA_B11">CG!$AV$329</definedName>
    <definedName name="LTCG_DTAA_B12a">CG!$AV$331</definedName>
    <definedName name="LTCG_DTAA_B12a1">CG!$AN$330</definedName>
    <definedName name="LTCG_DTAA_B12a2">CG!$AP$330</definedName>
    <definedName name="LTCG_DTAA_B12aii">CG!$AV$332</definedName>
    <definedName name="LTCG_DTAA_B12b">CG!$AR$330</definedName>
    <definedName name="LTCG_DTAA_B1e">CG!$AD$329</definedName>
    <definedName name="LTCG_DTAA_B2e">CG!$AF$329</definedName>
    <definedName name="LTCG_DTAA_B3e">CG!$AH$329</definedName>
    <definedName name="LTCG_DTAA_B4ie">CG!$AJ$329</definedName>
    <definedName name="LTCG_DTAA_B4iie">CG!$AL$329</definedName>
    <definedName name="LTCG_DTAA_B5c">CG!$AD$330</definedName>
    <definedName name="LTCG_DTAA_B5e">CG!#REF!</definedName>
    <definedName name="LTCG_DTAA_B5f">CG!#REF!</definedName>
    <definedName name="LTCG_DTAA_B6c">CG!$AF$330</definedName>
    <definedName name="LTCG_DTAA_B6ie">CG!#REF!</definedName>
    <definedName name="LTCG_DTAA_B6iie">CG!#REF!</definedName>
    <definedName name="LTCG_DTAA_B6iiie">CG!#REF!</definedName>
    <definedName name="LTCG_DTAA_B7c">CG!#REF!</definedName>
    <definedName name="LTCG_DTAA_B7f">CG!#REF!</definedName>
    <definedName name="LTCG_DTAA_B7ie">CG!$AH$330</definedName>
    <definedName name="LTCG_DTAA_B7iie">CG!$AJ$330</definedName>
    <definedName name="LTCG_DTAA_B7iiie">CG!$AL$330</definedName>
    <definedName name="LTCG_DTAA_B8c">CG!$AN$329</definedName>
    <definedName name="LTCG_DTAA_B8e">CG!#REF!</definedName>
    <definedName name="LTCG_DTAA_B8f">CG!#REF!</definedName>
    <definedName name="LTCG_DTAA_B9">CG!#REF!</definedName>
    <definedName name="LTCG_DTAA_B9c">CG!$AP$329</definedName>
    <definedName name="LTCG_DTAA_B9f">CG!$AR$329</definedName>
    <definedName name="LTCG_SectionCodes">CG!$AA$134:$AA$154</definedName>
    <definedName name="LTCG_SectionValues">CG!$AB$134:$AB$154</definedName>
    <definedName name="LTCG_SLNo1">CG!$E$134</definedName>
    <definedName name="LTCG_SLNo2">CG!#REF!</definedName>
    <definedName name="LTCG_Temp54GB">CG!$AB$159</definedName>
    <definedName name="LTCGAssetAcquired_112A">'Schedule 112A'!$M$6:$M$9</definedName>
    <definedName name="LTCGAssetAcquired_115AD">'Schedule 115AD(1)(iii) proviso'!$M$6:$M$9</definedName>
    <definedName name="ltcgloss.bfftnp">'CYLA - BFLA'!$AG$45</definedName>
    <definedName name="ltcgloss.bfftp">'CYLA - BFLA'!$AG$48</definedName>
    <definedName name="ltcgnonprovisoincome.bp">'CYLA - BFLA'!$AE$26</definedName>
    <definedName name="ltcgnonprovisoincome.ltcladj">'CYLA - BFLA'!$AG$43</definedName>
    <definedName name="ltcgnonprovisoloss.stcladj">'CYLA - BFLA'!$AH$45</definedName>
    <definedName name="ltcgprovisoincome.ltcladj">'CYLA - BFLA'!$AG$47</definedName>
    <definedName name="ltcgprovisoloss.stcladj">'CYLA - BFLA'!$AH$49</definedName>
    <definedName name="LTCGTot">CG!$AU$335</definedName>
    <definedName name="ltcla1">'CYLA - BFLA'!$AG$42</definedName>
    <definedName name="ltcla2">'CYLA - BFLA'!$AG$46</definedName>
    <definedName name="Manfacture1">'Manufacturing Account'!$R$6,'Manufacturing Account'!$R$7,'Manufacturing Account'!$R$9,'Manufacturing Account'!$R$10,'Manufacturing Account'!$R$12,'Manufacturing Account'!$R$13,'Manufacturing Account'!$R$14,'Manufacturing Account'!$R$16,'Manufacturing Account'!$R$17,'Manufacturing Account'!$R$18,'Manufacturing Account'!$R$19,'Manufacturing Account'!$R$20,'Manufacturing Account'!$R$21,'Manufacturing Account'!$R$25,'Manufacturing Account'!$R$26</definedName>
    <definedName name="ManuFactureAcc_CarriageInward">'Manufacturing Account'!$R$12</definedName>
    <definedName name="ManuFactureAcc_CostOfGoodsProduced">'Manufacturing Account'!$R$28</definedName>
    <definedName name="ManuFactureAcc_DepreciationOfFactoryMachinary">'Manufacturing Account'!$R$21</definedName>
    <definedName name="ManuFactureAcc_DirectWages">'Manufacturing Account'!$R$10</definedName>
    <definedName name="ManuFactureAcc_FactoryFuelAndPower">'Manufacturing Account'!$R$19</definedName>
    <definedName name="ManuFactureAcc_FactoryGeneralExpenses">'Manufacturing Account'!$R$20</definedName>
    <definedName name="ManuFactureAcc_FactoryInsurance">'Manufacturing Account'!$R$18</definedName>
    <definedName name="ManuFactureAcc_FactoryRentRates">'Manufacturing Account'!$R$17</definedName>
    <definedName name="ManuFactureAcc_IndirectWages">'Manufacturing Account'!$R$16</definedName>
    <definedName name="ManuFactureAcc_OpenStockRawMaterial">'Manufacturing Account'!$R$6</definedName>
    <definedName name="ManuFactureAcc_OpenStockWorkProgress">'Manufacturing Account'!$R$7</definedName>
    <definedName name="ManuFactureAcc_OtherDirectExpenses">'Manufacturing Account'!$R$14</definedName>
    <definedName name="ManuFactureAcc_PowerAndFuel">'Manufacturing Account'!$R$13</definedName>
    <definedName name="ManuFactureAcc_Purchases">'Manufacturing Account'!$R$9</definedName>
    <definedName name="ManuFactureAcc_RawMaterial">'Manufacturing Account'!$R$25</definedName>
    <definedName name="ManuFactureAcc_TotalClosingClock">'Manufacturing Account'!$R$27</definedName>
    <definedName name="ManuFactureAcc_TotalFactoryOverheads">'Manufacturing Account'!$R$22</definedName>
    <definedName name="ManuFactureAcc_TotalOfDebitstoManuFacturingAcc">'Manufacturing Account'!$R$23</definedName>
    <definedName name="ManuFactureAcc_TotalOfDirectExpenses">'Manufacturing Account'!$R$11</definedName>
    <definedName name="ManuFactureAcc_TotalOpeningInventary">'Manufacturing Account'!$R$8</definedName>
    <definedName name="ManuFactureAcc_WorkInProgress">'Manufacturing Account'!$R$26</definedName>
    <definedName name="marginal_Relief">'Part B - TI TTI'!$S$73</definedName>
    <definedName name="MarginalRelief">'Tax Calculated'!$B$99</definedName>
    <definedName name="matchedSAT">'Tax Calculated'!$D$3</definedName>
    <definedName name="MatchedVAlue">'SPI - SI - IF'!$K$127:$K$146</definedName>
    <definedName name="MAtchFUnction">'SPI - SI - IF'!$J$127:$J$146</definedName>
    <definedName name="MAtchVAlue">'SPI - SI - IF'!$K$127:$K$146</definedName>
    <definedName name="Max_Amount">'VI-A'!$AI$13</definedName>
    <definedName name="Medical_Expenditure_SC_80D">'80D'!$L$11</definedName>
    <definedName name="Medical_Expenditure2_80D">'80D'!$L$19</definedName>
    <definedName name="Method_of_Acct">DropDownValues!$AK$3:$AK$4</definedName>
    <definedName name="MR_D">'Part B - TI TTI'!$W$79</definedName>
    <definedName name="MR_N">'Tax Calculated'!$H$301</definedName>
    <definedName name="MR_ND">'Part B - TI TTI'!$X$79</definedName>
    <definedName name="Name_1">BP!$G$38:$G$40</definedName>
    <definedName name="Name_of_district">EI!$F$16:$F$19</definedName>
    <definedName name="Name_of_Donee_80GGA">RA!$E$7:$E$10</definedName>
    <definedName name="Name_of_Donee_80GGANew">'80GGA'!$F$7:$F$10</definedName>
    <definedName name="NameofShare_112A">'Schedule 112A'!$G$6:$G$9</definedName>
    <definedName name="NameofShare_115AD">'Schedule 115AD(1)(iii) proviso'!$G$6:$G$9</definedName>
    <definedName name="Nature_Amt2">'Profit and Loss'!$J$18:$J$21</definedName>
    <definedName name="Nature_Amt3">'Profit and Loss'!$J$95:$J$98</definedName>
    <definedName name="Nature_Name2">'Profit and Loss'!$H$18:$H$21</definedName>
    <definedName name="Nature_Name3">'Profit and Loss'!$H$95:$H$98</definedName>
    <definedName name="Nature_of_Business">DropDownValues!$CE$3:$CE$355</definedName>
    <definedName name="NatureButton2">'Profit and Loss'!$F$23</definedName>
    <definedName name="NatureButton3">'Profit and Loss'!$G$100</definedName>
    <definedName name="Net44AD">'Tax Calculated'!$C$100</definedName>
    <definedName name="NetTaxLiability">Sheet1!$I$2</definedName>
    <definedName name="NoAccount_PL1">'Profit and Loss'!#REF!,'Profit and Loss'!#REF!,'Profit and Loss'!#REF!,'Profit and Loss'!#REF!</definedName>
    <definedName name="NoAccountsCase">'Part A - BS'!$L$87:$L$90</definedName>
    <definedName name="NOB">DropDownValues!$CA$3:$CA$10</definedName>
    <definedName name="NOB.Code">'Nature Of Business'!$E$5:$E$7</definedName>
    <definedName name="NOB.TradeNameOrDescription">'Nature Of Business'!$F$5:$F$7</definedName>
    <definedName name="NOB.TradeNameOrDescription2">'Nature Of Business'!$G$5:$G$7</definedName>
    <definedName name="NOB.TradeNameOrDescription3">'Nature Of Business'!$H$5:$H$7</definedName>
    <definedName name="NOB44AD">DropDownValues!$CB$3:$CB$314</definedName>
    <definedName name="NOB44ADA">DropDownValues!$CD$3:$CD$41</definedName>
    <definedName name="NOBCODE00001">DropDownValues!$CY$3</definedName>
    <definedName name="noOfMonth">'Tax Calculated'!$B$13</definedName>
    <definedName name="NoofShare_112A">'Schedule 112A'!$H$6:$H$9</definedName>
    <definedName name="NoofShare_115AD">'Schedule 115AD(1)(iii) proviso'!$H$6:$H$9</definedName>
    <definedName name="NOR_Dropdown">DropDownValues!$U$3:$U$7</definedName>
    <definedName name="normalBalIncm">'Tax Calculated'!$B$100</definedName>
    <definedName name="NRI_Dropdown">DropDownValues!$V$3:$V$4</definedName>
    <definedName name="NRI_Hidden">'PART A - General'!$C$25:$D$32</definedName>
    <definedName name="NRI_Juridiction">'PART A - General'!$F$27:$Z$28</definedName>
    <definedName name="NRI_Taxpayer">'PART A - General'!$AA$27:$AT$28</definedName>
    <definedName name="NRI_TotPeriodofStay_PrecedingYear">'PART A - General'!$AH$32</definedName>
    <definedName name="NRI_TotPeriodofStay_PreviousYear">'PART A - General'!$AH$31</definedName>
    <definedName name="NumBankAccountsHeld">BA!$G$2</definedName>
    <definedName name="NumRowsPropertyBlock">'House Property'!$N$7</definedName>
    <definedName name="NumRowsPropertyBlock_LTCG">CG!$AE$3</definedName>
    <definedName name="NumRowsPropertyBlock_STCG">CG!$AE$1</definedName>
    <definedName name="oldbacValue">DropDownValues!$DA$3</definedName>
    <definedName name="OneFrthofTI">'VI-A'!$W$18</definedName>
    <definedName name="OptingNewTaxRegime">'PART A - General'!$AK$35</definedName>
    <definedName name="OriginalRevised">DropDownValues!$N$3:$N$7</definedName>
    <definedName name="Os.1a">OS!$AC$37</definedName>
    <definedName name="Os.1b">OS!$AC$52</definedName>
    <definedName name="os.Amount_income">OS!$G$70:$G$74</definedName>
    <definedName name="os.amountinterestexpenditure">OS!$J$82</definedName>
    <definedName name="os.amountinterestexpenditure1">OS!$U$85</definedName>
    <definedName name="os.AmountnotDed58">OS!$J$84</definedName>
    <definedName name="os.ApplRate">OS!$O$70:$O$74</definedName>
    <definedName name="os.Article_DTAA">OS!$J$70:$J$74</definedName>
    <definedName name="os.AssYear">OS!$G$47:$G$49</definedName>
    <definedName name="OS.AssYearUnit">DropDownValues!$AR$3:$AR$22</definedName>
    <definedName name="os.BalanceNoRaceHorse">OS!$L$87</definedName>
    <definedName name="os.BalanceOwnRaceHorse">OS!$L$94</definedName>
    <definedName name="os.check">OS!$AB$54:$AB$58</definedName>
    <definedName name="os.Country">OS!$I$70:$I$74</definedName>
    <definedName name="os.DeductSec57">OS!$J$91</definedName>
    <definedName name="os.Depreciation">OS!$J$79</definedName>
    <definedName name="os.DividendGross">OS!$J$5</definedName>
    <definedName name="os.DividendGrossai">OS!$J$6</definedName>
    <definedName name="os.DividendGrossaii">OS!$J$7</definedName>
    <definedName name="os.Divident1">OS!#REF!</definedName>
    <definedName name="os.Divident2">OS!#REF!</definedName>
    <definedName name="os.Divident3">OS!#REF!</definedName>
    <definedName name="os.Divident4">OS!#REF!</definedName>
    <definedName name="os.Divident5">OS!#REF!</definedName>
    <definedName name="os.DTAA_Amt">OS!$N$68</definedName>
    <definedName name="os.DTAA_AmtChk">OS!$AB$70:$AB$74</definedName>
    <definedName name="os.DTAA_Sec">[1]OS!$P$50:$P$52</definedName>
    <definedName name="os.DTAAcheck">OS!$AA$70:$AA$74</definedName>
    <definedName name="os.expenditureClaimed">OS!$J$81</definedName>
    <definedName name="os.expenditureClaimed1">OS!$T$85</definedName>
    <definedName name="os.Expenses">OS!$J$77</definedName>
    <definedName name="os.GrossIncomeChargeableToTax">OS!$J$4</definedName>
    <definedName name="os.IncChargeable">OS!$L$95</definedName>
    <definedName name="os.IncomeBenefit">OS!$H$47:$H$49</definedName>
    <definedName name="os.IncomeBenefitTotal">OS!$J$45</definedName>
    <definedName name="os.IncomeChargeableSpecialRates">OS!$J$36</definedName>
    <definedName name="os.IncomeTaxRefund">OS!$J$11</definedName>
    <definedName name="os.InterestGross">OS!$J$8</definedName>
    <definedName name="os.NatureOfIncome">OS!$H$70:$H$74</definedName>
    <definedName name="os.notDeductSec58">OS!$J$92</definedName>
    <definedName name="os.othDesc">OS!$G$33:$H$34</definedName>
    <definedName name="os.Others">OS!$J$17</definedName>
    <definedName name="os.OtherSections">OS!$J$33:$J$34</definedName>
    <definedName name="os.PassThroughIncome">OS!$J$12</definedName>
    <definedName name="os.Profit59">OS!$J$85</definedName>
    <definedName name="os.ProfitSec59">OS!$J$93</definedName>
    <definedName name="os.PTIAmount">OS!$H$63:$H$66</definedName>
    <definedName name="os.PTIDescription">OS!$G$63:$G$66</definedName>
    <definedName name="os.Rate_DTAA">OS!$K$70:$K$74</definedName>
    <definedName name="os.Rate_ITAct">OS!$N$70:$N$74</definedName>
    <definedName name="os.Receipts">OS!$J$90</definedName>
    <definedName name="os.RentFromMachPlantBldgs">OS!$J$18</definedName>
    <definedName name="os.SavingBank">OS!$J$9</definedName>
    <definedName name="os.sec56Aggr">OS!$J$20</definedName>
    <definedName name="os.sec56immov">OS!$J$21</definedName>
    <definedName name="os.sec56immovCons">OS!$J$22</definedName>
    <definedName name="os.sec56property">OS!$J$23</definedName>
    <definedName name="os.sec56propertyCons">OS!$J$24</definedName>
    <definedName name="os.SectionAct">OS!$M$70:$M$74</definedName>
    <definedName name="os.SourceAmount">OS!$H$54:$H$58</definedName>
    <definedName name="os.SourceDescription">OS!$G$54:$G$58</definedName>
    <definedName name="os.TaxBenefit">OS!$J$47:$J$49</definedName>
    <definedName name="os.TaxBenefitTotal">OS!$J$51</definedName>
    <definedName name="Os.taxthereon.111">'SPI - SI - IF'!$I$18</definedName>
    <definedName name="os.TermDeposit">OS!$J$10</definedName>
    <definedName name="os.Total115BE">OS!$J$38</definedName>
    <definedName name="os.TotalAnyOtherIncome">OS!$J$25</definedName>
    <definedName name="os.TotalChargeableSpecialRate">OS!$J$52</definedName>
    <definedName name="os.TotalPassThroughIncome">OS!$J$61</definedName>
    <definedName name="os.Totalsec56">OS!$J$19</definedName>
    <definedName name="os.TotDeductions">OS!$J$83</definedName>
    <definedName name="os.TotOthSrcNoRaceHorse">OS!$L$88</definedName>
    <definedName name="os.TRC">OS!$L$70:$L$74</definedName>
    <definedName name="os.us68">OS!$J$39</definedName>
    <definedName name="os.us69">OS!$J$40</definedName>
    <definedName name="os.us69A">OS!$J$41</definedName>
    <definedName name="os.us69B">OS!$J$42</definedName>
    <definedName name="os.us69C">OS!$J$43</definedName>
    <definedName name="os.us69D">OS!$J$44</definedName>
    <definedName name="os.WinLottRacePuzz">OS!$J$37</definedName>
    <definedName name="OS_ALL">DropDownValues!$BA$3:$BA$22</definedName>
    <definedName name="os_Deduction57iia">OS!$J$78</definedName>
    <definedName name="OS_DTAA_115H">DropDownValues!$AO$3:$AO$25</definedName>
    <definedName name="OS_DTAA_Drpdown">DropDownValues!$AQ$3:$AQ$23</definedName>
    <definedName name="OS_DTAA_hiding">OS!$C$68:$C$75</definedName>
    <definedName name="OS_DTAA_lookup">DropDownValues!$BF$3:$BG$49</definedName>
    <definedName name="OS_DTAA_lookup1">OS!$Z$70</definedName>
    <definedName name="OS_DTAA_NRI">DropDownValues!$AT$3:$AT$26</definedName>
    <definedName name="OS_DTAA_RES">DropDownValues!$AU$3:$AU$15</definedName>
    <definedName name="OS_DTAASectionCode">OS!$Z$70:$Z$74</definedName>
    <definedName name="os_FamilyPension">OS!$J$27</definedName>
    <definedName name="OS_lookup1">DropDownValues!$BD$3:$BE$24</definedName>
    <definedName name="OS_NRI">DropDownValues!$BH$3:$BH$20</definedName>
    <definedName name="OS_PTI_1">OS!$BA$4</definedName>
    <definedName name="Os_PTI_1_DTAA">OS!$BA$17</definedName>
    <definedName name="OS_PTI_115H">DropDownValues!$AS$3:$AS$22</definedName>
    <definedName name="Os_PTI_5A1ai">OS!$AS$3</definedName>
    <definedName name="Os_PTI_5A1ai_DTAA">OS!$AS$12</definedName>
    <definedName name="Os_PTI_5A1aibA_DTAA">OS!$AU$18</definedName>
    <definedName name="Os_PTI_5A1aibB_DTAA">OS!$AU$19</definedName>
    <definedName name="Os_PTI_5A1aii">OS!$AS$4</definedName>
    <definedName name="Os_PTI_5A1aii_DTAA">OS!$AS$17</definedName>
    <definedName name="Os_PTI_5A1aiia">OS!$AS$5</definedName>
    <definedName name="Os_PTI_5A1aiia_DTAA">OS!$AS$18</definedName>
    <definedName name="Os_PTI_5A1aiiaa">OS!$AS$8</definedName>
    <definedName name="Os_PTI_5A1aiiaa_DTAA">OS!$AS$19</definedName>
    <definedName name="Os_PTI_5A1aiiaaP">OS!$AS$7</definedName>
    <definedName name="Os_PTI_5A1aiiaaP_DTAA">OS!$AS$11</definedName>
    <definedName name="Os_PTI_5A1aiiab">OS!$AS$9</definedName>
    <definedName name="Os_PTI_5A1aiiab_DTAA">OS!$AS$20</definedName>
    <definedName name="Os_PTI_5A1aiiac">OS!$AU$3</definedName>
    <definedName name="Os_PTI_5A1aiiac_DTAA">OS!$AU$12</definedName>
    <definedName name="Os_PTI_5A1aiiaci">OS!$AU$6</definedName>
    <definedName name="Os_PTI_5A1aiiaci_DTAA">OS!$AU$11</definedName>
    <definedName name="Os_PTI_5A1aiii">OS!$AU$4</definedName>
    <definedName name="Os_PTI_5A1aiii_DTAA">OS!$AU$17</definedName>
    <definedName name="Os_PTI_5A1bA">OS!$AU$5</definedName>
    <definedName name="Os_PTI_5A1bB">OS!$AU$8</definedName>
    <definedName name="OS_PTI_5AC1ab">OS!$AU$9</definedName>
    <definedName name="Os_PTI_5AC1ab_DTAA">OS!$AU$20</definedName>
    <definedName name="OS_PTI_5AC1b">OS!$AY$6</definedName>
    <definedName name="Os_PTI_5AC1b_DTAA">OS!$AY$11</definedName>
    <definedName name="OS_PTI_5ACA1a">OS!$AW$5</definedName>
    <definedName name="Os_PTI_5ACA1a_DTAA">OS!$AW$18</definedName>
    <definedName name="OS_PTI_5AD1i">OS!$AW$3</definedName>
    <definedName name="Os_PTI_5AD1i_DTAA">OS!$AW$12</definedName>
    <definedName name="OS_PTI_5AD1iDiv">OS!$AW$6</definedName>
    <definedName name="Os_PTI_5AD1iDiv_DTAA">OS!$AW$11</definedName>
    <definedName name="OS_PTI_5AD1iP">OS!$AW$4</definedName>
    <definedName name="Os_PTI_5AD1iP_DTAA">OS!$AW$17</definedName>
    <definedName name="OS_PTI_5BB">OS!$AY$9</definedName>
    <definedName name="Os_PTI_5BB_DTAA">OS!$AY$20</definedName>
    <definedName name="OS_PTI_5BBA">OS!$AW$8</definedName>
    <definedName name="Os_PTI_5BBA_DTAA">OS!$AW$19</definedName>
    <definedName name="OS_PTI_5BBC">OS!$AW$9</definedName>
    <definedName name="Os_PTI_5BBC_DTAA">OS!$AW$20</definedName>
    <definedName name="OS_PTI_5BBDA">OS!$AY$3</definedName>
    <definedName name="Os_PTI_5BBDA_DTAA">OS!$AY$12</definedName>
    <definedName name="OS_PTI_5BBE">OS!$BA$3</definedName>
    <definedName name="Os_PTI_5BBE_DTAA">OS!$BA$12</definedName>
    <definedName name="OS_PTI_5BBF">OS!$AY$4</definedName>
    <definedName name="Os_PTI_5BBF_DTAA">OS!$AY$17</definedName>
    <definedName name="OS_PTI_5BBG">OS!$AY$5</definedName>
    <definedName name="Os_PTI_5BBG_DTAA">OS!$AY$18</definedName>
    <definedName name="OS_PTI_5Ea">OS!$AY$8</definedName>
    <definedName name="Os_PTI_5Ea_DTAA">OS!$AY$19</definedName>
    <definedName name="OS_PTI_Amount">OS!$AC$63:$AC$66</definedName>
    <definedName name="os_PTI_check">OS!$AB$63:$AB$66</definedName>
    <definedName name="OS_PTI_LookUp1">DropDownValues!$BB$3:$BC$24</definedName>
    <definedName name="OS_PTI_NRI">DropDownValues!$AW$3:$AW$20</definedName>
    <definedName name="OS_PTI_RES">DropDownValues!$AV$3:$AV$9</definedName>
    <definedName name="OS_PTI_TotalOS">OS!$BC$3</definedName>
    <definedName name="OS_PTI_TotalOS_DTAA">OS!$BC$12</definedName>
    <definedName name="OS_PTISectionCode">OS!$AD$63:$AD$66</definedName>
    <definedName name="OS_RESandNOR">DropDownValues!$AP$3:$AP$9</definedName>
    <definedName name="OS_Section.Validate">OS!$X$54:$X$58</definedName>
    <definedName name="OS_SourceDescription_RESandNOR">DropDownValues!$CK$4:$CK$11</definedName>
    <definedName name="Os_Value.Validate">OS!$Y$54:$Y$58</definedName>
    <definedName name="osBFLA">OS!$T$89</definedName>
    <definedName name="OSDTAA_Section_115H">DropDownValues!$AY$3:$AY$44</definedName>
    <definedName name="OSDTAA_Section_NRI">DropDownValues!$AX$3:$AX$40</definedName>
    <definedName name="OSDTAA_Section_RES">DropDownValues!$AZ$3:$AZ$20</definedName>
    <definedName name="OSIncomeNotified89A">OS!$J$28</definedName>
    <definedName name="OSIncomeNotified89A_AmountCan">OS!$J$31</definedName>
    <definedName name="OSIncomeNotified89A_AmountUK">OS!$J$30</definedName>
    <definedName name="OSIncomeNotified89A_AmountUS">OS!$J$29</definedName>
    <definedName name="OSIncomeNotifiedOther89A">OS!$J$32</definedName>
    <definedName name="OSIncreliefus89A">OS!$J$86</definedName>
    <definedName name="OSSW1">OS!$T$88</definedName>
    <definedName name="otherosincome.bf">'CYLA - BFLA'!$AI$23</definedName>
    <definedName name="otherosloss.ih">'CYLA - BFLA'!$U$23</definedName>
    <definedName name="othSecinclnlhrs.BusLossSetoff3">'CYLA - BFLA'!$H$20</definedName>
    <definedName name="othSecinclnlhrs.HPlossCurYrSetoff3">'CYLA - BFLA'!$G$20</definedName>
    <definedName name="othSecinclnlhrs.IncOfCurYrAfterSetOff3">'CYLA - BFLA'!$J$20</definedName>
    <definedName name="othSecinclnlhrs.IncOfCurYrUnderThatHead3">'CYLA - BFLA'!$F$20</definedName>
    <definedName name="othsrcincl.BFAllUs35Cl4Setoff5">'CYLA - BFLA'!$I$42</definedName>
    <definedName name="othsrcincl.BFlossPrevYrUndSameHeadSetoff5">'CYLA - BFLA'!$G$42</definedName>
    <definedName name="othsrcincl.BFUnabsorbedDeprSetoff5">'CYLA - BFLA'!$H$42</definedName>
    <definedName name="othsrcincl.IncOfCurYrAfterSetOffBFLosses5">'CYLA - BFLA'!$J$42</definedName>
    <definedName name="othsrcincl.IncOfCurYrUndHeadFromCYLA5">'CYLA - BFLA'!$F$42</definedName>
    <definedName name="Owed">DropDownValues!$R$3:$R$5</definedName>
    <definedName name="Pan">'Tax Calculated'!$B$24</definedName>
    <definedName name="PAN_of_donee_80GGA">RA!$J$7:$J$10</definedName>
    <definedName name="PAN_of_donee_80GGANew">'80GGA'!$K$7:$K$10</definedName>
    <definedName name="PANButton1">'Profit and Loss'!$F$111</definedName>
    <definedName name="Parents_80D">'80D'!$L$13</definedName>
    <definedName name="Parents_SC_80D">'80D'!$L$16</definedName>
    <definedName name="PartB.Button1">'Part B - TI TTI'!$G$118</definedName>
    <definedName name="PartB.Button2">'Part B - TI TTI'!$G$123</definedName>
    <definedName name="Per10080G.AddrDetail">'80G'!$F$7:$F$11</definedName>
    <definedName name="Per10080G.CityOrTownOrDistrict">'80G'!$G$7:$G$11</definedName>
    <definedName name="Per10080G.DonationAmt">'80G'!$L$7:$L$11</definedName>
    <definedName name="Per10080G.DonationInCash">'80G'!$K$7:$K$11</definedName>
    <definedName name="Per10080G.DoneeName">'80G'!$E$7:$E$11</definedName>
    <definedName name="Per10080G.DoneePAN">'80G'!$J$7:$J$11</definedName>
    <definedName name="Per10080G.EligibleAmt">'80G'!$N$7:$N$11</definedName>
    <definedName name="Per10080G.PinCode">'80G'!$I$7:$I$11</definedName>
    <definedName name="Per10080G.StateCode">'80G'!$H$7:$H$11</definedName>
    <definedName name="Per10080G.TotalDonationAmt">'80G'!$M$7:$M$11</definedName>
    <definedName name="Per10080G.TotDon100Percent">'80G'!$L$13</definedName>
    <definedName name="Per10080G.TotDon100Percent_InCash">'80G'!$K$13</definedName>
    <definedName name="Per10080G.TotDon100Percent_Total">'80G'!$M$13</definedName>
    <definedName name="Per10080G.TotElig100Percent">'80G'!$N$13</definedName>
    <definedName name="Per5080G.AddrDetail">'80G'!$F$47:$F$51</definedName>
    <definedName name="Per5080G.CityOrTownOrDistrict">'80G'!$G$47:$G$51</definedName>
    <definedName name="Per5080G.DonationAmt">'80G'!$L$47:$L$51</definedName>
    <definedName name="Per5080G.DonationInCash">'80G'!$K$47:$K$51</definedName>
    <definedName name="Per5080G.DonationInCash1">'80G'!$R$47:$R$51</definedName>
    <definedName name="Per5080G.DoneePAN">'80G'!$J$47:$J$51</definedName>
    <definedName name="Per5080G.DoneeWithPanName">'80G'!$E$47:$E$51</definedName>
    <definedName name="Per5080G.EligibleAmt">'80G'!$N$47:$N$51</definedName>
    <definedName name="Per5080G.PinCode">'80G'!$I$47:$I$51</definedName>
    <definedName name="Per5080G.StateCode">'80G'!$H$47:$H$51</definedName>
    <definedName name="Per5080G.TotalDonationAmt">'80G'!$M$47:$M$51</definedName>
    <definedName name="Per5080G.TotalDonationsUs80G">'80G'!$L$58</definedName>
    <definedName name="Per5080G.TotalDonationsUs80G_InCash">'80G'!$K$58</definedName>
    <definedName name="Per5080G.TotalDonationsUs80G_Total">'80G'!$M$58</definedName>
    <definedName name="Per5080G.TotalEligibleDonationsUs80G">'80G'!$N$58</definedName>
    <definedName name="Per5080G.TotDon100Percent">'80G'!$L$53</definedName>
    <definedName name="Per5080G.TotDon100Percent_InCash">'80G'!$K$53</definedName>
    <definedName name="Per5080G.TotDon100Percent_Total">'80G'!$M$53</definedName>
    <definedName name="Per5080G.TotElig100Percent">'80G'!$N$53</definedName>
    <definedName name="PerNO5080G.AddrDetail">'80G'!$F$20:$F$24</definedName>
    <definedName name="PerNO5080G.CityOrTownOrDistrict">'80G'!$G$20:$G$24</definedName>
    <definedName name="PerNO5080G.DonationAmt">'80G'!$L$20:$L$24</definedName>
    <definedName name="PerNO5080G.DonationInCash">'80G'!$K$20:$K$24</definedName>
    <definedName name="PerNO5080G.DoneeName">'80G'!$E$20:$E$24</definedName>
    <definedName name="PerNO5080G.DoneePAN">'80G'!$J$20:$J$24</definedName>
    <definedName name="PerNO5080G.EligibleAmt">'80G'!$N$20:$N$24</definedName>
    <definedName name="PerNO5080G.PinCode">'80G'!$I$20:$I$24</definedName>
    <definedName name="PerNO5080G.StateCode">'80G'!$H$20:$H$24</definedName>
    <definedName name="PerNO5080G.TotalDonationAmt">'80G'!$M$20:$M$24</definedName>
    <definedName name="PerNO5080G.TotDon100Percent">'80G'!$L$26</definedName>
    <definedName name="PerNO5080G.TotDon100Percent_InCash">'80G'!$K$26</definedName>
    <definedName name="PerNO5080G.TotDon100Percent_Total">'80G'!$M$26</definedName>
    <definedName name="PerNO5080G.TotElig100Percent">'80G'!$N$26</definedName>
    <definedName name="PerYES10080G.AddrDetail">'80G'!$F$34:$F$38</definedName>
    <definedName name="PerYES10080G.CityOrTownOrDistrict">'80G'!$G$34:$G$38</definedName>
    <definedName name="PerYES10080G.DonationAmt">'80G'!$L$34:$L$38</definedName>
    <definedName name="PerYES10080G.DonationInCash">'80G'!$K$34:$K$38</definedName>
    <definedName name="PerYES10080G.DoneePAN">'80G'!$J$34:$J$38</definedName>
    <definedName name="PerYES10080G.DoneeWithPanName">'80G'!$E$34:$E$38</definedName>
    <definedName name="PerYES10080G.EligibleAmt">'80G'!$N$34:$N$38</definedName>
    <definedName name="PerYES10080G.PinCode">'80G'!$I$34:$I$38</definedName>
    <definedName name="PerYES10080G.StateCode">'80G'!$H$34:$H$38</definedName>
    <definedName name="PerYES10080G.TotalDonationAmt">'80G'!$M$34:$M$38</definedName>
    <definedName name="PerYES10080G.TotDon100Percent">'80G'!$L$40</definedName>
    <definedName name="PerYES10080G.TotDon100Percent_InCash">'80G'!$K$40</definedName>
    <definedName name="PerYES10080G.TotDon100Percent_Total">'80G'!$M$40</definedName>
    <definedName name="PerYES10080G.TotElig100Percent">'80G'!$N$40</definedName>
    <definedName name="Pincode_80GGA">RA!$I$7:$I$10</definedName>
    <definedName name="Pincode_80GGANew">'80GGA'!$J$7:$J$10</definedName>
    <definedName name="PincodeList">DropDownValues!$CW$3:$CX$405</definedName>
    <definedName name="PL.Advertisement">'Profit and Loss'!$L$57</definedName>
    <definedName name="PL.Amount_a">'Profit and Loss'!$J$18</definedName>
    <definedName name="PL.Amount_b">'Profit and Loss'!$J$19</definedName>
    <definedName name="PL.Amount_c">'Profit and Loss'!$J$20</definedName>
    <definedName name="PL.Amount_d">'Profit and Loss'!$J$21</definedName>
    <definedName name="PL.AmtAvlAppr">'Profit and Loss'!$L$135</definedName>
    <definedName name="PL.AmtPaidToNonRes">'Profit and Loss'!$J$45</definedName>
    <definedName name="PL.AnyCompPaidToNonRes">'Profit and Loss'!$J$44</definedName>
    <definedName name="PL.AuditFee">'Profit and Loss'!$L$92</definedName>
    <definedName name="PL.BadDebt">'Profit and Loss'!$L$121</definedName>
    <definedName name="PL.BalBFPrevYr">'Profit and Loss'!$L$134</definedName>
    <definedName name="PL.Bonus">'Profit and Loss'!$J$34</definedName>
    <definedName name="PL.Button1">'Profit and Loss'!$E$118</definedName>
    <definedName name="PL.ClubExp">'Profit and Loss'!$L$76</definedName>
    <definedName name="PL.Comissions">'Profit and Loss'!$J$7</definedName>
    <definedName name="PL.CommissionExpdr">'Profit and Loss'!$L$61</definedName>
    <definedName name="PL.Conference">'Profit and Loss'!$L$55</definedName>
    <definedName name="PL.ConsumptionOfStores">'Profit and Loss'!$L$27</definedName>
    <definedName name="PL.ContToGratFund">'Profit and Loss'!$J$40</definedName>
    <definedName name="PL.ContToOthFund">'Profit and Loss'!$J$41</definedName>
    <definedName name="PL.ContToPF">'Profit and Loss'!$J$39</definedName>
    <definedName name="PL.ContToSuperAnnFund">'Profit and Loss'!$J$38</definedName>
    <definedName name="PL.ConveyanceExp">'Profit and Loss'!$L$73</definedName>
    <definedName name="PL.DepreciationAmort">'Profit and Loss'!$L$129</definedName>
    <definedName name="PL.Dividends">'Profit and Loss'!$J$8</definedName>
    <definedName name="PL.Donation">'Profit and Loss'!$L$80</definedName>
    <definedName name="PL.Entertainment">'Profit and Loss'!$L$53</definedName>
    <definedName name="PL.FestivalCelebExp">'Profit and Loss'!$L$77</definedName>
    <definedName name="PL.ForeignTravelExp">'Profit and Loss'!$L$72</definedName>
    <definedName name="PL.Freight">'Profit and Loss'!$L$26</definedName>
    <definedName name="PL.Gift">'Profit and Loss'!$L$79</definedName>
    <definedName name="PL.GuestHouseExp">'Profit and Loss'!$L$75</definedName>
    <definedName name="PL.Hospitality">'Profit and Loss'!$L$54</definedName>
    <definedName name="PL.HotelBoardLodge">'Profit and Loss'!$L$70</definedName>
    <definedName name="PL.InterestExpdr">'Profit and Loss'!$L$128</definedName>
    <definedName name="PL.InterestInc">'Profit and Loss'!$J$9</definedName>
    <definedName name="PL.KeyManInsur">'Profit and Loss'!$J$49</definedName>
    <definedName name="PL.LeaveEncash">'Profit and Loss'!$J$36</definedName>
    <definedName name="PL.LeaveTravelBenft">'Profit and Loss'!$J$37</definedName>
    <definedName name="PL.LifeInsur">'Profit and Loss'!$J$48</definedName>
    <definedName name="PL.MedExpReimb">'Profit and Loss'!$J$35</definedName>
    <definedName name="PL.MedInsur">'Profit and Loss'!$J$47</definedName>
    <definedName name="PL.MiscOthIncome">'Profit and Loss'!$J$22</definedName>
    <definedName name="PL.NatureOfIncome_a">'Profit and Loss'!$H$18</definedName>
    <definedName name="PL.NatureOfIncome_b">'Profit and Loss'!$H$19</definedName>
    <definedName name="PL.NatureOfIncome_c">'Profit and Loss'!$H$20</definedName>
    <definedName name="PL.NatureOfIncome_d">'Profit and Loss'!$H$21</definedName>
    <definedName name="PL.OthEmpBenftExpdr">'Profit and Loss'!$J$42</definedName>
    <definedName name="PL.OtherExpenses">'Profit and Loss'!$L$99</definedName>
    <definedName name="PL.OthersAmtLt1Lakh">'Profit and Loss'!$J$120</definedName>
    <definedName name="PL.OthInsur">'Profit and Loss'!$J$50</definedName>
    <definedName name="PL.OthProvisionsExpdr">'Profit and Loss'!$L$123</definedName>
    <definedName name="PL.PartnerAccBalTrf">'Profit and Loss'!$L$137</definedName>
    <definedName name="PL.PBIDTA">'Profit and Loss'!$L$124</definedName>
    <definedName name="PL.PBT">'Profit and Loss'!$L$130</definedName>
    <definedName name="PL.PowerFuel">'Profit and Loss'!$L$28</definedName>
    <definedName name="PL.ProfitAfterTax">'Profit and Loss'!$L$133</definedName>
    <definedName name="PL.ProfitOnAgriIncome">'Profit and Loss'!$J$15</definedName>
    <definedName name="PL.ProfitOnConvOfInventary">'Profit and Loss'!$J$14</definedName>
    <definedName name="PL.ProfitOnCurrFluct">'Profit and Loss'!$J$13</definedName>
    <definedName name="PL.ProfitOnInvChrSTT">'Profit and Loss'!$J$11</definedName>
    <definedName name="PL.ProfitOnOthInv">'Profit and Loss'!$J$12</definedName>
    <definedName name="PL.ProfitOnSaleFixedAsset">'Profit and Loss'!$J$10</definedName>
    <definedName name="PL.ProvDefTax">'Profit and Loss'!$L$132</definedName>
    <definedName name="PL.ProvForBadDoubtDebt">'Profit and Loss'!$L$122</definedName>
    <definedName name="PL.ProvForCurrTax">'Profit and Loss'!$L$131</definedName>
    <definedName name="PL.RentExpdr">'Profit and Loss'!$L$29</definedName>
    <definedName name="PL.RentInc">'Profit and Loss'!$J$6</definedName>
    <definedName name="PL.RepairMach">'Profit and Loss'!$L$31</definedName>
    <definedName name="PL.RepairsBldg">'Profit and Loss'!$L$30</definedName>
    <definedName name="PL.SalePromoExp">'Profit and Loss'!$L$56</definedName>
    <definedName name="PL.SalsWages">'Profit and Loss'!$J$33</definedName>
    <definedName name="PL.Scholarship">'Profit and Loss'!$L$78</definedName>
    <definedName name="PL.StaffWelfareExp">'Profit and Loss'!$L$52</definedName>
    <definedName name="PL.sum">'Profit and Loss'!$W$51</definedName>
    <definedName name="PL.TelephoneExp">'Profit and Loss'!$L$74</definedName>
    <definedName name="PL.TotEmployeeComp">'Profit and Loss'!$L$43</definedName>
    <definedName name="PL.TotInsurances">'Profit and Loss'!$L$51</definedName>
    <definedName name="PL.TotOthIncome">'Profit and Loss'!$L$24</definedName>
    <definedName name="PL.TravelExp">'Profit and Loss'!$L$71</definedName>
    <definedName name="PL.TrfToReserves">'Profit and Loss'!$L$136</definedName>
    <definedName name="PL_61a">'Profit and Loss'!$K$144</definedName>
    <definedName name="PL_61b">'Profit and Loss'!$K$145</definedName>
    <definedName name="PL_61i">'Profit and Loss'!$K$143</definedName>
    <definedName name="PL_61ii">'Profit and Loss'!$K$146</definedName>
    <definedName name="PL_61iia">'Profit and Loss'!$K$147</definedName>
    <definedName name="PL_61iib">'Profit and Loss'!$K$148</definedName>
    <definedName name="PL_62i">'Profit and Loss'!$K$155</definedName>
    <definedName name="PL_62ii">'Profit and Loss'!$K$156</definedName>
    <definedName name="PL_63ii">'Profit and Loss'!$K$177</definedName>
    <definedName name="PL_64GrossTurnOver">'Profit and Loss'!$L$181</definedName>
    <definedName name="PL_64ia1">'Profit and Loss'!$L$182</definedName>
    <definedName name="PL_64ia2">'Profit and Loss'!$L$183</definedName>
    <definedName name="PL_64ib">'Profit and Loss'!$L$184</definedName>
    <definedName name="PL_64ic">'Profit and Loss'!$L$185</definedName>
    <definedName name="PL_64id">'Profit and Loss'!$L$186</definedName>
    <definedName name="PL_64iia">'Profit and Loss'!$L$188</definedName>
    <definedName name="PL_64iia_i">'Profit and Loss'!$L$189</definedName>
    <definedName name="PL_64iia_ii">'Profit and Loss'!$L$190</definedName>
    <definedName name="PL_64iib">'Profit and Loss'!$L$191</definedName>
    <definedName name="PL_64iic">'Profit and Loss'!$L$192</definedName>
    <definedName name="PL_64iid">'Profit and Loss'!$L$193</definedName>
    <definedName name="PL_64iii">'Profit and Loss'!$L$194</definedName>
    <definedName name="PL_65i">'Profit and Loss'!$L$195</definedName>
    <definedName name="PL_65ii">'Profit and Loss'!$L$196</definedName>
    <definedName name="PL_65iii">'Profit and Loss'!$L$197</definedName>
    <definedName name="PL_65iv">'Profit and Loss'!$L$198</definedName>
    <definedName name="PL_Address_Area">'Profit and Loss'!$K$114:$K$117</definedName>
    <definedName name="PL_Address_City">'Profit and Loss'!$L$114:$L$117</definedName>
    <definedName name="PL_Address_Country">'Profit and Loss'!$N$114:$N$117</definedName>
    <definedName name="PL_Address_Flat">'Profit and Loss'!$H$114:$H$117</definedName>
    <definedName name="PL_Address_Pin">'Profit and Loss'!$O$114:$O$117</definedName>
    <definedName name="PL_Address_Road">'Profit and Loss'!$J$114:$J$117</definedName>
    <definedName name="PL_Address_State">'Profit and Loss'!$M$114:$M$117</definedName>
    <definedName name="PL_Address_Village">'Profit and Loss'!$I$114:$I$117</definedName>
    <definedName name="PL_Address_Zip">'Profit and Loss'!$P$114:$P$117</definedName>
    <definedName name="PL_Amount">'Profit and Loss'!$Q$114:$Q$117</definedName>
    <definedName name="PL_GrossProfitLoss">'Profit and Loss'!$L$4</definedName>
    <definedName name="PL_Name">'Profit and Loss'!$F$114:$G$117</definedName>
    <definedName name="PL_TotalMonths">'Profit and Loss'!$J$176</definedName>
    <definedName name="PL_TotalOfCreditsToProfit">'Profit and Loss'!$L$25</definedName>
    <definedName name="PL_TotalPresumtiveIncome">'Profit and Loss'!$K$176</definedName>
    <definedName name="PLBaddebts">'Profit and Loss'!$L$110</definedName>
    <definedName name="PLBD.Aadhar">'Profit and Loss'!$I$103:$I$109</definedName>
    <definedName name="PLBD.Amount">'Profit and Loss'!$J$103:$J$109</definedName>
    <definedName name="PLBD.Amount_a">'Profit and Loss'!$J$103</definedName>
    <definedName name="PLBD.Amount_b">'Profit and Loss'!$J$104</definedName>
    <definedName name="PLBD.Amount_c">'Profit and Loss'!$J$105</definedName>
    <definedName name="PLBD.Amount_d">'Profit and Loss'!$J$106</definedName>
    <definedName name="PLBD.Amount_e">'Profit and Loss'!$J$107</definedName>
    <definedName name="PLBD.PAN">'Profit and Loss'!$H$103:$H$109</definedName>
    <definedName name="PLBD.PAN_a">'Profit and Loss'!$H$103</definedName>
    <definedName name="PLBD.PAN_b">'Profit and Loss'!$H$104</definedName>
    <definedName name="PLBD.PAN_c">'Profit and Loss'!$H$105</definedName>
    <definedName name="PLBD.PAN_d">'Profit and Loss'!$H$106</definedName>
    <definedName name="PLBD.PAN_e">'Profit and Loss'!$H$107</definedName>
    <definedName name="PLCE.NonResOtherCompany">'Profit and Loss'!$J$59</definedName>
    <definedName name="PLCE.Others">'Profit and Loss'!$J$60</definedName>
    <definedName name="PLCrEx.UTGST">'Profit and Loss'!$Q$114:$Q$115</definedName>
    <definedName name="PLI.NonResOtherCompany">'Profit and Loss'!$J$126</definedName>
    <definedName name="PLI.Others">'Profit and Loss'!$J$127</definedName>
    <definedName name="PLOE.ExpenseAmt_a">'Profit and Loss'!$J$95</definedName>
    <definedName name="PLOE.ExpenseAmt_b">'Profit and Loss'!$J$96</definedName>
    <definedName name="PLOE.ExpenseAmt_c">'Profit and Loss'!$J$97</definedName>
    <definedName name="PLOE.ExpenseAmt_d">'Profit and Loss'!$J$98</definedName>
    <definedName name="PLOE.ExpenseNature_a">'Profit and Loss'!$H$95</definedName>
    <definedName name="PLOE.ExpenseNature_b">'Profit and Loss'!$H$96</definedName>
    <definedName name="PLOE.ExpenseNature_c">'Profit and Loss'!$H$97</definedName>
    <definedName name="PLOE.ExpenseNature_d">'Profit and Loss'!$H$98</definedName>
    <definedName name="PLOS.FinishedGoods">'Profit and Loss'!#REF!</definedName>
    <definedName name="PLOS.RawMaterial">'Profit and Loss'!#REF!</definedName>
    <definedName name="PLOS.WorkInProgress">'Profit and Loss'!#REF!</definedName>
    <definedName name="PLOthers">'Profit and Loss'!$Q$119</definedName>
    <definedName name="PLPC.NonResOtherCompany">'Profit and Loss'!$J$67</definedName>
    <definedName name="PLPC.Others">'Profit and Loss'!$J$68</definedName>
    <definedName name="PLPC.Total">'Profit and Loss'!$L$69</definedName>
    <definedName name="PLRateEx.Cess">'Profit and Loss'!$J$85</definedName>
    <definedName name="PLRateEx.CGST">'Profit and Loss'!$J$86</definedName>
    <definedName name="PLRateEx.IGST">'Profit and Loss'!$J$88</definedName>
    <definedName name="PLRateEx.OthDutyTaxCess">'Profit and Loss'!$J$90</definedName>
    <definedName name="PLRateEx.ServiceTax">'Profit and Loss'!$J$83</definedName>
    <definedName name="PLRateEx.SGST">'Profit and Loss'!$J$87</definedName>
    <definedName name="PLRateEx.TotExciseCustomsVAT">'Profit and Loss'!$L$91</definedName>
    <definedName name="PLRateEx.UnionExciseDuty">'Profit and Loss'!$J$82</definedName>
    <definedName name="PLRateEx.UTGST">'Profit and Loss'!$J$89</definedName>
    <definedName name="PLRateEx.VATorSaleTax">'Profit and Loss'!$J$84</definedName>
    <definedName name="PLRY.NonResOtherCompany">'Profit and Loss'!$J$63</definedName>
    <definedName name="PLRY.Others">'Profit and Loss'!$J$64</definedName>
    <definedName name="PLRY.Total">'Profit and Loss'!$L$65</definedName>
    <definedName name="PortugueseCode">DropDownValues!$L$3:$L$5</definedName>
    <definedName name="PortugueseCodeNew">DropDownValues!$L$8:$L$11</definedName>
    <definedName name="Preventive_Health_80D">'80D'!$L$7</definedName>
    <definedName name="Preventive_Health_SC_80D">'80D'!$L$10</definedName>
    <definedName name="Preventive_Health2_80D">'80D'!$L$15</definedName>
    <definedName name="Preventive_Health3_80D">'80D'!$L$18</definedName>
    <definedName name="PreXML_QD_A">SUMMARY!$C$13</definedName>
    <definedName name="PreXML_QD_B">SUMMARY!$C$14</definedName>
    <definedName name="PreXML_QD_C">SUMMARY!$C$15</definedName>
    <definedName name="PreXML_SCH10A">SUMMARY!$C$18</definedName>
    <definedName name="PreXML_SCH10AA">SUMMARY!$C$19</definedName>
    <definedName name="PreXML_SCH80GA">SUMMARY!$C$23</definedName>
    <definedName name="PreXML_SCH80GB">SUMMARY!$C$24</definedName>
    <definedName name="PreXML_SCH80GC">SUMMARY!$C$25</definedName>
    <definedName name="PreXML_SCH80GD">SUMMARY!$C$26</definedName>
    <definedName name="PreXML_SCHIF">SUMMARY!$C$28</definedName>
    <definedName name="PreXML_SCHIT">SUMMARY!$C$29</definedName>
    <definedName name="PreXML_SCHP">SUMMARY!$C$17</definedName>
    <definedName name="PreXML_SCHS">SUMMARY!$C$16</definedName>
    <definedName name="PreXML_SCHSI">SUMMARY!$C$27</definedName>
    <definedName name="PreXML_SCHSPI">SUMMARY!$C$31</definedName>
    <definedName name="PreXML_SCHTCS">SUMMARY!$C$30</definedName>
    <definedName name="PreXML_SCHTDS2">SUMMARY!$C$21</definedName>
    <definedName name="PreXML_SCHTDS3">SUMMARY!$C$22</definedName>
    <definedName name="PreXML_TDS1">SUMMARY!$C$20</definedName>
    <definedName name="PropertySectionCOunt">'House Property'!$N$8</definedName>
    <definedName name="PropertySectionCount_LTCG">CG!$AE$4</definedName>
    <definedName name="PropertySectionCount_STCG">CG!$AE$2</definedName>
    <definedName name="PropertySectionCount1_LTCG">CG!$AE$6</definedName>
    <definedName name="PTI.Button2">PTI!$D$52</definedName>
    <definedName name="PTI.LastCell">PTI!$C$50</definedName>
    <definedName name="PTI_CG_LTCG_NetAmt1">PTI!$N$10</definedName>
    <definedName name="PTI_CG_LTCG_NetAmt2">PTI!$N$25</definedName>
    <definedName name="PTI_CG_LTCG_NetAmt3">PTI!$N$40</definedName>
    <definedName name="PTI_CG_LTCG_Others_IncomeAmt1">PTI!$L$12</definedName>
    <definedName name="PTI_CG_LTCG_Others_IncomeAmt2">PTI!$L$27</definedName>
    <definedName name="PTI_CG_LTCG_Others_IncomeAmt3">PTI!$L$42</definedName>
    <definedName name="PTI_CG_LTCG_Others_NetAmt1">PTI!$N$12</definedName>
    <definedName name="PTI_CG_LTCG_Others_NetAmt2">PTI!$N$27</definedName>
    <definedName name="PTI_CG_LTCG_Others_NetAmt3">PTI!$N$42</definedName>
    <definedName name="PTI_CG_LTCG_Others_ShareAmt1">PTI!$M$12</definedName>
    <definedName name="PTI_CG_LTCG_Others_ShareAmt2">PTI!$M$27</definedName>
    <definedName name="PTI_CG_LTCG_Others_ShareAmt3">PTI!$M$42</definedName>
    <definedName name="PTI_CG_LTCG_Others_TdsAmt1">PTI!$O$12</definedName>
    <definedName name="PTI_CG_LTCG_Others_TdsAmt2">PTI!$O$27</definedName>
    <definedName name="PTI_CG_LTCG_Others_TdsAmt3">PTI!$O$42</definedName>
    <definedName name="PTI_CG_LTCG_SectionA_IncomeAmt1">PTI!$L$11</definedName>
    <definedName name="PTI_CG_LTCG_SectionA_IncomeAmt2">PTI!$L$26</definedName>
    <definedName name="PTI_CG_LTCG_SectionA_IncomeAmt3">PTI!$L$41</definedName>
    <definedName name="PTI_CG_LTCG_SectionA_NetAmt1">PTI!$N$11</definedName>
    <definedName name="PTI_CG_LTCG_SectionA_NetAmt2">PTI!$N$26</definedName>
    <definedName name="PTI_CG_LTCG_SectionA_NetAmt3">PTI!$N$41</definedName>
    <definedName name="PTI_CG_LTCG_SectionA_ShareAmt1">PTI!$M$11</definedName>
    <definedName name="PTI_CG_LTCG_SectionA_ShareAmt2">PTI!$M$26</definedName>
    <definedName name="PTI_CG_LTCG_SectionA_ShareAmt3">PTI!$M$41</definedName>
    <definedName name="PTI_CG_LTCG_SectionA_TdsAmt1">PTI!$O$11</definedName>
    <definedName name="PTI_CG_LTCG_SectionA_TdsAmt2">PTI!$O$26</definedName>
    <definedName name="PTI_CG_LTCG_SectionA_TdsAmt3">PTI!$O$41</definedName>
    <definedName name="PTI_CG_LTCG_ShareAmt1">PTI!$M$10</definedName>
    <definedName name="PTI_CG_LTCG_ShareAmt2">PTI!$M$25</definedName>
    <definedName name="PTI_CG_LTCG_ShareAmt3">PTI!$M$40</definedName>
    <definedName name="PTI_CG_LTCGIncomeAmt1">PTI!$L$10</definedName>
    <definedName name="PTI_CG_LTCGIncomeAmt2">PTI!$L$25</definedName>
    <definedName name="PTI_CG_LTCGIncomeAmt3">PTI!$L$40</definedName>
    <definedName name="PTI_CG_LTCGTDSAmt1">PTI!$O$10</definedName>
    <definedName name="PTI_CG_LTCGTDSAmt2">PTI!$O$25</definedName>
    <definedName name="PTI_CG_LTCGTDSAmt3">PTI!$O$40</definedName>
    <definedName name="PTI_CG_STCG_NetAmt1">PTI!$N$7</definedName>
    <definedName name="PTI_CG_STCG_NetAmt2">PTI!$N$22</definedName>
    <definedName name="PTI_CG_STCG_NetAmt3">PTI!$N$37</definedName>
    <definedName name="PTI_CG_STCG_Others_IncomeAmt1">PTI!$L$9</definedName>
    <definedName name="PTI_CG_STCG_Others_IncomeAmt2">PTI!$L$24</definedName>
    <definedName name="PTI_CG_STCG_Others_IncomeAmt3">PTI!$L$39</definedName>
    <definedName name="PTI_CG_STCG_Others_NetAmt1">PTI!$N$9</definedName>
    <definedName name="PTI_CG_STCG_Others_NetAmt2">PTI!$N$24</definedName>
    <definedName name="PTI_CG_STCG_Others_NetAmt3">PTI!$N$39</definedName>
    <definedName name="PTI_CG_STCG_Others_ShareAmt1">PTI!$M$9</definedName>
    <definedName name="PTI_CG_STCG_Others_ShareAmt2">PTI!$M$24</definedName>
    <definedName name="PTI_CG_STCG_Others_ShareAmt3">PTI!$M$39</definedName>
    <definedName name="PTI_CG_STCG_Others_TdsAmt1">PTI!$O$9</definedName>
    <definedName name="PTI_CG_STCG_Others_TdsAmt2">PTI!$O$24</definedName>
    <definedName name="PTI_CG_STCG_Others_TdsAmt3">PTI!$O$39</definedName>
    <definedName name="PTI_CG_STCG_SectionA_IncomeAmt1">PTI!$L$8</definedName>
    <definedName name="PTI_CG_STCG_SectionA_IncomeAmt2">PTI!$L$23</definedName>
    <definedName name="PTI_CG_STCG_SectionA_IncomeAmt3">PTI!$L$38</definedName>
    <definedName name="PTI_CG_STCG_SectionA_NetAmt1">PTI!$N$8</definedName>
    <definedName name="PTI_CG_STCG_SectionA_NetAmt2">PTI!$N$23</definedName>
    <definedName name="PTI_CG_STCG_SectionA_NetAmt3">PTI!$N$38</definedName>
    <definedName name="PTI_CG_STCG_SectionA_ShareAmt1">PTI!$M$8</definedName>
    <definedName name="PTI_CG_STCG_SectionA_ShareAmt2">PTI!$M$23</definedName>
    <definedName name="PTI_CG_STCG_SectionA_ShareAmt3">PTI!$M$38</definedName>
    <definedName name="PTI_CG_STCG_SectionA_TdsAmt1">PTI!$O$8</definedName>
    <definedName name="PTI_CG_STCG_SectionA_TdsAmt2">PTI!$O$23</definedName>
    <definedName name="PTI_CG_STCG_SectionA_TdsAmt3">PTI!$O$38</definedName>
    <definedName name="PTI_CG_STCG_ShareAmt1">PTI!$M$7</definedName>
    <definedName name="PTI_CG_STCG_ShareAmt2">PTI!$M$22</definedName>
    <definedName name="PTI_CG_STCG_ShareAmt3">PTI!$M$37</definedName>
    <definedName name="PTI_CG_STCGIncomeAmt1">PTI!$L$7</definedName>
    <definedName name="PTI_CG_STCGIncomeAmt2">PTI!$L$22</definedName>
    <definedName name="PTI_CG_STCGIncomeAmt3">PTI!$L$37</definedName>
    <definedName name="PTI_CG_STCGTDSAmt1">PTI!$O$7</definedName>
    <definedName name="PTI_CG_STCGTDSAmt2">PTI!$O$22</definedName>
    <definedName name="PTI_CG_STCGTDSAmt3">PTI!$O$37</definedName>
    <definedName name="PTI_HP_NetAmt1">PTI!$N$5</definedName>
    <definedName name="PTI_HP_NetAmt2">PTI!$N$20</definedName>
    <definedName name="PTI_HP_NetAmt3">PTI!$N$35</definedName>
    <definedName name="PTI_HP_ShareAmt1">PTI!$M$5</definedName>
    <definedName name="PTI_HP_ShareAmt2">PTI!$M$20</definedName>
    <definedName name="PTI_HP_ShareAmt3">PTI!$M$35</definedName>
    <definedName name="PTI_HPIncomeAmt1">PTI!$L$5</definedName>
    <definedName name="PTI_HPIncomeAmt2">PTI!$L$20</definedName>
    <definedName name="PTI_HPIncomeAmt3">PTI!$L$35</definedName>
    <definedName name="PTI_HPTDSAmt1">PTI!$O$5</definedName>
    <definedName name="PTI_HPTDSAmt2">PTI!$O$20</definedName>
    <definedName name="PTI_HPTDSAmt3">PTI!$O$35</definedName>
    <definedName name="PTI_Investment_UA_UB1">PTI!$E$5</definedName>
    <definedName name="PTI_Investment_UA_UB2">PTI!$E$20</definedName>
    <definedName name="PTI_Investment_UA_UB3">PTI!$E$35</definedName>
    <definedName name="PTI_NameOfBusiness1">PTI!$F$5</definedName>
    <definedName name="PTI_NameOfBusiness2">PTI!$F$20</definedName>
    <definedName name="PTI_NameOfBusiness3">PTI!$F$35</definedName>
    <definedName name="PTI_OS_Dividend_IncomeAmt1">PTI!$L$14</definedName>
    <definedName name="PTI_OS_Dividend_IncomeAmt2">PTI!$L$29</definedName>
    <definedName name="PTI_OS_Dividend_IncomeAmt3">PTI!$L$44</definedName>
    <definedName name="PTI_OS_Dividend_NetAmt1">PTI!$N$14</definedName>
    <definedName name="PTI_OS_Dividend_NetAmt2">PTI!$N$29</definedName>
    <definedName name="PTI_OS_Dividend_NetAmt3">PTI!$N$44</definedName>
    <definedName name="PTI_OS_Dividend_TdsAmt1">PTI!$O$14</definedName>
    <definedName name="PTI_OS_Dividend_TdsAmt2">PTI!$O$29</definedName>
    <definedName name="PTI_OS_Dividend_TdsAmt3">PTI!$O$44</definedName>
    <definedName name="PTI_OS_NetAmt1">PTI!$N$13</definedName>
    <definedName name="PTI_OS_NetAmt2">PTI!$N$28</definedName>
    <definedName name="PTI_OS_NetAmt3">PTI!$N$43</definedName>
    <definedName name="PTI_OS_Others_IncomeAmt1">PTI!$L$15</definedName>
    <definedName name="PTI_OS_Others_IncomeAmt2">PTI!$L$30</definedName>
    <definedName name="PTI_OS_Others_IncomeAmt3">PTI!$L$45</definedName>
    <definedName name="PTI_OS_Others_NetAmt1">PTI!$N$15</definedName>
    <definedName name="PTI_OS_Others_NetAmt2">PTI!$N$30</definedName>
    <definedName name="PTI_OS_Others_NetAmt3">PTI!$N$45</definedName>
    <definedName name="PTI_OS_Others_TdsAmt1">PTI!$O$15</definedName>
    <definedName name="PTI_OS_Others_TdsAmt2">PTI!$O$30</definedName>
    <definedName name="PTI_OS_Others_TdsAmt3">PTI!$O$45</definedName>
    <definedName name="PTI_OS_ShareAmt1">PTI!$M$13</definedName>
    <definedName name="PTI_OSIncomeAmt1">PTI!$L$13</definedName>
    <definedName name="PTI_OSIncomeAmt2">PTI!$L$28</definedName>
    <definedName name="PTI_OSIncomeAmt3">PTI!$L$43</definedName>
    <definedName name="PTI_OSTDSAmt1">PTI!$O$13</definedName>
    <definedName name="PTI_OSTDSAmt2">PTI!$O$28</definedName>
    <definedName name="PTI_OSTDSAmt3">PTI!$O$43</definedName>
    <definedName name="PTI_PAN1">PTI!$G$5</definedName>
    <definedName name="PTI_PAN2">PTI!$G$20</definedName>
    <definedName name="PTI_PAN3">PTI!$G$35</definedName>
    <definedName name="PTI_Total_NetIncome">PTI!$V$4</definedName>
    <definedName name="PTI_Us_iv_IncomeAmta1">PTI!$L$16</definedName>
    <definedName name="PTI_Us_iv_IncomeAmta2">PTI!$L$31</definedName>
    <definedName name="PTI_Us_iv_IncomeAmta3">PTI!$L$46</definedName>
    <definedName name="PTI_Us_iv_NetAmta1">PTI!$N$16</definedName>
    <definedName name="PTI_Us_iv_NetAmta2">PTI!$N$31</definedName>
    <definedName name="PTI_Us_iv_NetAmta3">PTI!$N$46</definedName>
    <definedName name="PTI_Us_iv_TdsAmta1">PTI!$O$16</definedName>
    <definedName name="PTI_Us_iv_TdsAmta2">PTI!$O$31</definedName>
    <definedName name="PTI_Us_iv_TdsAmta3">PTI!$O$46</definedName>
    <definedName name="PTI_Us_NetAmta1">PTI!$N$17</definedName>
    <definedName name="PTI_Us_NetAmta2">PTI!$N$32</definedName>
    <definedName name="PTI_Us_NetAmta3">PTI!$N$47</definedName>
    <definedName name="PTI_Us_NetAmtb1">PTI!$N$18</definedName>
    <definedName name="PTI_Us_NetAmtb2">PTI!$N$33</definedName>
    <definedName name="PTI_Us_NetAmtb3">PTI!$N$48</definedName>
    <definedName name="PTI_Us_NetAmtc1">PTI!$N$19</definedName>
    <definedName name="PTI_Us_NetAmtc2">PTI!$N$34</definedName>
    <definedName name="PTI_Us_NetAmtc3">PTI!$N$49</definedName>
    <definedName name="PTI_Usa1">PTI!$K$17</definedName>
    <definedName name="PTI_Usa2">PTI!$K$32</definedName>
    <definedName name="PTI_Usa3">PTI!$K$47</definedName>
    <definedName name="PTI_Usb1">PTI!$K$18</definedName>
    <definedName name="PTI_Usb2">PTI!$K$33</definedName>
    <definedName name="PTI_Usb3">PTI!$K$48</definedName>
    <definedName name="PTI_Usc1">PTI!$K$19</definedName>
    <definedName name="PTI_Usc2">PTI!$K$34</definedName>
    <definedName name="PTI_Usc3">PTI!$K$49</definedName>
    <definedName name="PTI_UsIncomeAmta1">PTI!$L$17</definedName>
    <definedName name="PTI_UsIncomeAmta2">PTI!$L$32</definedName>
    <definedName name="PTI_UsIncomeAmta3">PTI!$L$47</definedName>
    <definedName name="PTI_UsIncomeAmtb1">PTI!$L$18</definedName>
    <definedName name="PTI_UsIncomeAmtb2">PTI!$L$33</definedName>
    <definedName name="PTI_UsIncomeAmtb3">PTI!$L$48</definedName>
    <definedName name="PTI_UsIncomeAmtc1">PTI!$L$19</definedName>
    <definedName name="PTI_UsIncomeAmtc2">PTI!$L$34</definedName>
    <definedName name="PTI_UsIncomeAmtc3">PTI!$L$49</definedName>
    <definedName name="PTI_UsTDSAmta1">PTI!$O$17</definedName>
    <definedName name="PTI_UsTDSAmta2">PTI!$O$32</definedName>
    <definedName name="PTI_UsTDSAmta3">PTI!$O$47</definedName>
    <definedName name="PTI_UsTDSAmtb1">PTI!$O$18</definedName>
    <definedName name="PTI_UsTDSAmtb2">PTI!$O$33</definedName>
    <definedName name="PTI_UsTDSAmtb3">PTI!$O$48</definedName>
    <definedName name="PTI_UsTDSAmtc1">PTI!$O$19</definedName>
    <definedName name="PTI_UsTDSAmtc2">PTI!$O$34</definedName>
    <definedName name="PTI_UsTDSAmtc3">PTI!$O$49</definedName>
    <definedName name="Ptirptfrm.size">PTI!$S$5</definedName>
    <definedName name="Ptirptfrm1">PTI!$C$5:$O$19</definedName>
    <definedName name="Ptirptfrm2">PTI!$C$20:$O$34</definedName>
    <definedName name="Ptirptfrm3">PTI!$C$35:$O$49</definedName>
    <definedName name="pwd">DropDownValues!$B$4</definedName>
    <definedName name="QD_A">'Quantitative Details'!$D$4</definedName>
    <definedName name="QD_B">'Quantitative Details'!$D$29</definedName>
    <definedName name="QD_C">'Quantitative Details'!$D$55</definedName>
    <definedName name="QDFinishrByProd.AnyShortExces">'Quantitative Details'!$K$58:$K$77</definedName>
    <definedName name="QDFinishrByProd.ClgStock">'Quantitative Details'!$J$58:$J$77</definedName>
    <definedName name="QDFinishrByProd.ItemName">'Quantitative Details'!$D$58:$D$77</definedName>
    <definedName name="QDFinishrByProd.OpeningStock">'Quantitative Details'!$F$58:$F$77</definedName>
    <definedName name="QDFinishrByProd.PrevYrConsum">'Quantitative Details'!$H$58:$H$77</definedName>
    <definedName name="QDFinishrByProd.PurchaseQty">'Quantitative Details'!$G$58:$G$77</definedName>
    <definedName name="QDFinishrByProd.SaleQty">'Quantitative Details'!$I$58:$I$77</definedName>
    <definedName name="QDFinishrByProd.UnitOfMeasure">'Quantitative Details'!$E$58:$E$77</definedName>
    <definedName name="QDRawMaterial.AnyShortExces">'Quantitative Details'!$M$32:$M$51</definedName>
    <definedName name="QDRawMaterial.ClgStock">'Quantitative Details'!$J$32:$J$51</definedName>
    <definedName name="QDRawMaterial.ItemName">'Quantitative Details'!$D$32:$D$51</definedName>
    <definedName name="QDRawMaterial.OpeningStock">'Quantitative Details'!$F$32:$F$51</definedName>
    <definedName name="QDRawMaterial.PercentYld">'Quantitative Details'!$L$32:$L$51</definedName>
    <definedName name="QDRawMaterial.PrevYrConsum">'Quantitative Details'!$H$32:$H$51</definedName>
    <definedName name="QDRawMaterial.PurchaseQty">'Quantitative Details'!$G$32:$G$51</definedName>
    <definedName name="QDRawMaterial.SaleQty">'Quantitative Details'!$I$32:$I$51</definedName>
    <definedName name="QDRawMaterial.UnitOfMeasure">'Quantitative Details'!$E$32:$E$51</definedName>
    <definedName name="QDRawMaterial.yldFinisProd">'Quantitative Details'!$K$32:$K$51</definedName>
    <definedName name="QDTradingConcern.AnyShortExces">'Quantitative Details'!$J$7:$J$25</definedName>
    <definedName name="QDTradingConcern.ClgStock">'Quantitative Details'!$I$7:$I$25</definedName>
    <definedName name="QDTradingConcern.ItemName">'Quantitative Details'!$D$7:$D$25</definedName>
    <definedName name="QDTradingConcern.OpeningStock">'Quantitative Details'!$F$7:$F$25</definedName>
    <definedName name="QDTradingConcern.PurchaseQty">'Quantitative Details'!$G$7:$G$25</definedName>
    <definedName name="QDTradingConcern.SaleQty">'Quantitative Details'!$H$7:$H$25</definedName>
    <definedName name="QDTradingConcern.UnitOfMeasure">'Quantitative Details'!$E$7:$E$25</definedName>
    <definedName name="Qtr_1">IT!$U$31</definedName>
    <definedName name="Qtr_2">IT!$U$30</definedName>
    <definedName name="Qtr_3">IT!$U$29</definedName>
    <definedName name="Qtr_4">IT!$U$28</definedName>
    <definedName name="Qtr_5">IT!$U$27</definedName>
    <definedName name="QualifyingAmount80G">'80G'!$U$4</definedName>
    <definedName name="qualifyingLimit">'80G'!$U$23</definedName>
    <definedName name="Raw_Material">DropDownValues!$AL$3:$AL$6</definedName>
    <definedName name="RealizationTotalPeriod">'DPM - DOA'!$F$10</definedName>
    <definedName name="RebateOnAgrIncm">'Tax Calculated'!$F$25</definedName>
    <definedName name="RelevantClause_80GGA">'[2]DropDown List'!$A$808:$A$816</definedName>
    <definedName name="RelevantClause_80GGA1">DropDownValues!$X$3:$X$11</definedName>
    <definedName name="RelevantClauseClaimed_80GGANew">'80GGA'!$E$7:$E$10</definedName>
    <definedName name="RentDTAA">OS!$T$91</definedName>
    <definedName name="RES_Dropdown">DropDownValues!$T$3:$T$7</definedName>
    <definedName name="Resident_Button">'PART A - General'!$E$29</definedName>
    <definedName name="Residentialstatuscheck">OS!$AM$69</definedName>
    <definedName name="residue">'80G'!$T$25</definedName>
    <definedName name="residue50Perc">'80G'!$U$26</definedName>
    <definedName name="ResiStatus">DropDownValues!$K$3:$K$6</definedName>
    <definedName name="resStatus">'Tax Calculated'!$B$21</definedName>
    <definedName name="ReturnFileUnderSection">DropDownValues!$F$3:$G$13</definedName>
    <definedName name="ReturnFileUnderSection1">DropDownValues!$H$3:$H$8</definedName>
    <definedName name="ReturnFileUnderSection2">DropDownValues!$I$3:$I$6</definedName>
    <definedName name="rh.BFAllUs35Cl4Setoff_DTAARates">'CYLA - BFLA'!$I$44</definedName>
    <definedName name="rh.BFAllUs35Cl4Setoff6">'CYLA - BFLA'!$I$43</definedName>
    <definedName name="rh.BFlossPrevYrUndSameHeadSetoff_DTAARates">'CYLA - BFLA'!$G$44</definedName>
    <definedName name="rh.BFlossPrevYrUndSameHeadSetoff6">'CYLA - BFLA'!$G$43</definedName>
    <definedName name="rh.BFUnabsorbedDeprSetoff_DTAARates">'CYLA - BFLA'!$H$44</definedName>
    <definedName name="rh.BFUnabsorbedDeprSetoff6">'CYLA - BFLA'!$H$43</definedName>
    <definedName name="rh.BusLossSetoff4">'CYLA - BFLA'!$H$21</definedName>
    <definedName name="rh.BusLossSetoff4_DTAARates">'CYLA - BFLA'!$H$22</definedName>
    <definedName name="rh.HPlossCurYrSetoff4">'CYLA - BFLA'!$G$21</definedName>
    <definedName name="rh.HPlossCurYrSetoff4_DTAARates">'CYLA - BFLA'!$G$22</definedName>
    <definedName name="rh.IncOfCurYrAfterSetOff4">'CYLA - BFLA'!$J$21</definedName>
    <definedName name="rh.IncOfCurYrAfterSetOff4_DTAARates">'CYLA - BFLA'!$J$22</definedName>
    <definedName name="rh.IncOfCurYrAfterSetOffBFLosses_DTAARates">'CYLA - BFLA'!$J$44</definedName>
    <definedName name="rh.IncOfCurYrAfterSetOffBFLosses6">'CYLA - BFLA'!$J$43</definedName>
    <definedName name="rh.IncOfCurYrUnderThatHead4">'CYLA - BFLA'!$F$21</definedName>
    <definedName name="rh.IncOfCurYrUnderThatHead4_DTAARates">'CYLA - BFLA'!$F$22</definedName>
    <definedName name="rh.IncOfCurYrUndHeadFromCYLA_DTAARates">'CYLA - BFLA'!$F$44</definedName>
    <definedName name="rh.IncOfCurYrUndHeadFromCYLA6">'CYLA - BFLA'!$F$43</definedName>
    <definedName name="rh.OthSrcLossNoRaceHorseSetoff4">'CYLA - BFLA'!$I$21</definedName>
    <definedName name="rh.OthSrcLossNoRaceHorseSetoff4_DTAARates">'CYLA - BFLA'!$I$22</definedName>
    <definedName name="RngBacNo">DropDownValues!$A$11:$A$13</definedName>
    <definedName name="RngBacYes">DropDownValues!$A$6:$A$8</definedName>
    <definedName name="RngNone">DropDownValues!$A$16</definedName>
    <definedName name="RoundDown_Value_frm_AMT">'Part B - TI TTI'!$S$53</definedName>
    <definedName name="S5A_AadhaarOfSpouse">'Sch 5A'!$G$6</definedName>
    <definedName name="S5A_AmtTDSDeductedBP">'Sch 5A'!$K$11</definedName>
    <definedName name="S5A_AmtTDSDeductedCG">'Sch 5A'!$K$12</definedName>
    <definedName name="S5A_AmtTDSDeductedHP">'Sch 5A'!$K$10</definedName>
    <definedName name="S5A_AmtTDSDeductedOS">'Sch 5A'!$K$13</definedName>
    <definedName name="S5A_AmtTDSDeductedTotal">'Sch 5A'!$K$14</definedName>
    <definedName name="S5A_BusHeadIncome">'Sch 5A'!$J$11</definedName>
    <definedName name="S5A_CapGainHeadIncome">'Sch 5A'!$J$12</definedName>
    <definedName name="S5A_HPHeadIncome">'Sch 5A'!$J$10</definedName>
    <definedName name="S5A_IncRecvdUndHeadBP">'Sch 5A'!$I$11</definedName>
    <definedName name="S5A_IncRecvdUndHeadCG">'Sch 5A'!$I$12</definedName>
    <definedName name="S5A_IncRecvdUndHeadHP">'Sch 5A'!$I$10</definedName>
    <definedName name="S5A_IncRecvdUndHeadOS">'Sch 5A'!$I$13</definedName>
    <definedName name="S5A_IncRecvdUndHeadTotal">'Sch 5A'!$I$14</definedName>
    <definedName name="S5A_NameOfSpouse">'Sch 5A'!$G$4</definedName>
    <definedName name="S5A_OtherSourcesHeadIncome">'Sch 5A'!$J$13</definedName>
    <definedName name="S5A_PANOfSpouse">'Sch 5A'!$G$5</definedName>
    <definedName name="S5A_TDSApprndOfSpouseBP">'Sch 5A'!$L$11</definedName>
    <definedName name="S5A_TDSApprndOfSpouseCG">'Sch 5A'!$L$12</definedName>
    <definedName name="S5A_TDSApprndOfSpouseHP">'Sch 5A'!$L$10</definedName>
    <definedName name="S5A_TDSApprndOfSpouseOS">'Sch 5A'!$L$13</definedName>
    <definedName name="S5A_TDSApprndOfSpouseTotal">'Sch 5A'!$L$14</definedName>
    <definedName name="S5A_TotalHeadIncome">'Sch 5A'!$J$14</definedName>
    <definedName name="S5AR">'Sch 5A'!$I$10:$L$13</definedName>
    <definedName name="SAL.AddrDetail1">'Schedule S'!$H$5</definedName>
    <definedName name="SAL.AddrDetail2">'Schedule S'!$H$29</definedName>
    <definedName name="SAL.AllowancesNotExempt1">'Schedule S'!$J$8</definedName>
    <definedName name="SAL.AllowancesNotExempt2">'Schedule S'!$J$32</definedName>
    <definedName name="SAL.CityOrTownOrDistrict1">'Schedule S'!$J$6</definedName>
    <definedName name="SAL.CityOrTownOrDistrict2">'Schedule S'!$J$30</definedName>
    <definedName name="SAL.Deduction1">'Schedule S'!$L$63</definedName>
    <definedName name="SAL.DeductionUnder6Section1">'Schedule S'!$J$64</definedName>
    <definedName name="SAL.DeductionUnderSection1">'Schedule S'!$J$66</definedName>
    <definedName name="SAL.Entertainment_allowance_1">'Schedule S'!$J$65</definedName>
    <definedName name="SAL.ExemptUSectionOth1">'Schedule S'!$L$55</definedName>
    <definedName name="SAL.IncomeFromSalary1">'Schedule S'!$L$67</definedName>
    <definedName name="SAL.NameOfEmployer1">'Schedule S'!$G$4</definedName>
    <definedName name="SAL.NameOfEmployer2">'Schedule S'!$G$28</definedName>
    <definedName name="SAL.Netsalary1">'Schedule S'!$L$62</definedName>
    <definedName name="SAL.PANofEmployer1">'Schedule S'!$L$4</definedName>
    <definedName name="SAL.PANofEmployer2">'Schedule S'!$L$28</definedName>
    <definedName name="SAL.PinCode1">'Schedule S'!$K$6</definedName>
    <definedName name="SAL.PinCode2">'Schedule S'!$K$30</definedName>
    <definedName name="SAL.ProfitsinLieuOfSalary1">'Schedule S'!$J$17</definedName>
    <definedName name="SAL.ProfitsinLieuOfSalary2">'Schedule S'!$J$41</definedName>
    <definedName name="Sal.Relief89A">'Schedule S'!#REF!</definedName>
    <definedName name="SAL.Salary1">'Schedule S'!$L$7</definedName>
    <definedName name="SAL.Salary1_Temp">'Schedule S'!$U$1</definedName>
    <definedName name="SAL.Salary2">'Schedule S'!$L$31</definedName>
    <definedName name="SAL.StateCode1">'Schedule S'!$H$6</definedName>
    <definedName name="SAL.StateCode2">'Schedule S'!$H$30</definedName>
    <definedName name="SAL.TotalGrossSalary">'Schedule S'!$L$53</definedName>
    <definedName name="SAL.TotESOP">'Schedule S'!$Q$8</definedName>
    <definedName name="SAL.TotIncUnderHeadSalaries1">'CYLA - BFLA'!$F$8</definedName>
    <definedName name="SAL.TotIncUnderHeadSalariesWithExemption1">[3]SALARY!$L$25</definedName>
    <definedName name="SAL.ValueOfPerquisites1">'Schedule S'!$J$12</definedName>
    <definedName name="SAL.ValueOfPerquisites2">'Schedule S'!$J$36</definedName>
    <definedName name="SAL.ValueOfPerquisitesA1">'Schedule S'!$Q$7</definedName>
    <definedName name="SAL.ValueOfPerquisitesA2">'Schedule S'!$Q$31</definedName>
    <definedName name="SAL.ZipCode1">'Schedule S'!$L$6</definedName>
    <definedName name="SAL.ZipCode2">'Schedule S'!$L$30</definedName>
    <definedName name="Salary.Amount1">'Schedule S'!$J$57:$J$60</definedName>
    <definedName name="Salary.Description1">'Schedule S'!$H$57:$H$60</definedName>
    <definedName name="salary.HPlossCurYrSetoff1">'CYLA - BFLA'!$G$8</definedName>
    <definedName name="salary.IncOfCurYrAfterSetOff1">'CYLA - BFLA'!$J$8</definedName>
    <definedName name="salary.IncOfCurYrAfterSetOffBFLosses">'CYLA - BFLA'!$J$30</definedName>
    <definedName name="salary.IncOfCurYrUnderThatHead1">'CYLA - BFLA'!$F$8</definedName>
    <definedName name="salary.IncOfCurYrUndHeadFromCYLA">'CYLA - BFLA'!$F$30</definedName>
    <definedName name="Salary.Nature1">'Schedule S'!$G$57:$G$60</definedName>
    <definedName name="Salary.OthersAllowance">DropDownValues!$P$3:$P$18</definedName>
    <definedName name="Salary.OthersAllowance1">DropDownValues!$P$20:$P$33</definedName>
    <definedName name="Salary.OthersAllowance1XCS">DropDownValues!$P$52:$P$64</definedName>
    <definedName name="Salary.OthersAllowanceXCS">DropDownValues!$P$35:$P$49</definedName>
    <definedName name="salary.OthSrcLossNoRaceHorseSetoff1">'CYLA - BFLA'!$I$8</definedName>
    <definedName name="Salary.ProfitAmount1">'Schedule S'!$J$19:$J$20</definedName>
    <definedName name="Salary.ProfitAmount2">'Schedule S'!$J$43:$J$44</definedName>
    <definedName name="Salary.ProfitDescription1">'Schedule S'!$H$19:$H$20</definedName>
    <definedName name="Salary.ProfitDescription2">'Schedule S'!$H$43:$H$44</definedName>
    <definedName name="Salary.ProfitSection1">'Schedule S'!$G$19:$G$20</definedName>
    <definedName name="Salary.ProfitSection2">'Schedule S'!$G$43:$G$44</definedName>
    <definedName name="Salary.SalaryAmount1">'Schedule S'!$J$10:$J$11</definedName>
    <definedName name="Salary.SalaryAmount2">'Schedule S'!$J$34:$J$35</definedName>
    <definedName name="Salary.salaryDescription1">'Schedule S'!$H$10:$H$11</definedName>
    <definedName name="Salary.salaryDescription2">'Schedule S'!$H$34:$H$35</definedName>
    <definedName name="Salary.Section1">'Schedule S'!$G$10:$G$11</definedName>
    <definedName name="Salary.Section2">'Schedule S'!$G$34:$G$35</definedName>
    <definedName name="Salary.ValueAmount1">'Schedule S'!$J$14:$J$16</definedName>
    <definedName name="Salary.ValueAmount2">'Schedule S'!$J$38:$J$40</definedName>
    <definedName name="Salary.ValueDescription1">'Schedule S'!$H$14:$H$16</definedName>
    <definedName name="Salary.ValueDescription2">'Schedule S'!$H$38:$H$40</definedName>
    <definedName name="Salary.ValueSection1">'Schedule S'!$G$14:$G$16</definedName>
    <definedName name="Salary.ValueSection2">'Schedule S'!$G$38:$G$40</definedName>
    <definedName name="Salaryded">'VI-A'!$R$8</definedName>
    <definedName name="salarydropdown1">DropDownValues!$Z$3:$Z$20</definedName>
    <definedName name="salarydropdown2">DropDownValues!$AA$3:$AA$24</definedName>
    <definedName name="salarydropdown3">DropDownValues!$AB$3:$AB$7</definedName>
    <definedName name="salaryincome.bf">'CYLA - BFLA'!$AI$10</definedName>
    <definedName name="salaryincome.bp">'CYLA - BFLA'!$AE$10</definedName>
    <definedName name="salaryincome.hp">'CYLA - BFLA'!$AA$10</definedName>
    <definedName name="salaryincome.os">'CYLA - BFLA'!$W$10</definedName>
    <definedName name="salaryloss.bf">'CYLA - BFLA'!$AH$10</definedName>
    <definedName name="SalarySectionCount">'Schedule S'!$Q$6</definedName>
    <definedName name="SalarySectionItem">'Schedule S'!$Q$5</definedName>
    <definedName name="SalePriceperShare_112A">'Schedule 112A'!$I$6:$I$9</definedName>
    <definedName name="SalePriceperShare_115AD">'Schedule 115AD(1)(iii) proviso'!$I$6:$I$9</definedName>
    <definedName name="salrptfrm1">'Schedule S'!$D$4:$L$27</definedName>
    <definedName name="salrptfrm2">'Schedule S'!$D$28:$L$51</definedName>
    <definedName name="SCH_80A">'80G'!$C$4</definedName>
    <definedName name="SCH_80B">'80G'!$C$17</definedName>
    <definedName name="SCH_80C">'80G'!$C$31</definedName>
    <definedName name="SCH_80D">'80G'!$C$44</definedName>
    <definedName name="SCH_HP">'House Property'!$C$3</definedName>
    <definedName name="SCH_IF">'SPI - SI - IF'!$C$97</definedName>
    <definedName name="SCH_IT">ITold!$A$1</definedName>
    <definedName name="SCH_S">'Schedule S'!$C$3</definedName>
    <definedName name="SCH_SI">'SPI - SI - IF'!$C$16</definedName>
    <definedName name="SCH_SPI">'SPI - SI - IF'!$C$3</definedName>
    <definedName name="SCH_TCS">TDS!$C$49</definedName>
    <definedName name="SCH_TDS1">TDS!$C$4</definedName>
    <definedName name="SCH_TDS2">TDS!$C$19</definedName>
    <definedName name="SCH_TDS3">TDS!$C$35</definedName>
    <definedName name="SchAL.A.Address_Area">AL!$I$8:$I$11</definedName>
    <definedName name="SchAL.A.Address_City">AL!$J$8:$J$11</definedName>
    <definedName name="SchAL.A.Address_Country">AL!$L$8:$L$11</definedName>
    <definedName name="SchAL.A.Address_Flat">AL!$F$8:$F$11</definedName>
    <definedName name="SchAL.A.Address_Pin">AL!$M$8:$M$11</definedName>
    <definedName name="SchAL.A.Address_Road">AL!$H$8:$H$11</definedName>
    <definedName name="SchAL.A.Address_State">AL!$K$8:$K$11</definedName>
    <definedName name="SchAL.A.Address_Village">AL!$G$8:$G$11</definedName>
    <definedName name="SchAL.A.Address_Zip">AL!$N$8:$N$11</definedName>
    <definedName name="SchAL.A.Amount">AL!$O$8:$O$11</definedName>
    <definedName name="SchAL.A.Description">AL!$E$8:$E$11</definedName>
    <definedName name="SchAL.B.Art">AL!$N$17</definedName>
    <definedName name="SchAL.B.Bank">AL!$N$20</definedName>
    <definedName name="SchAL.B.Cash">AL!$N$24</definedName>
    <definedName name="SchAL.B.Insurance">AL!$N$22</definedName>
    <definedName name="SchAL.B.Jwellery">AL!$N$16</definedName>
    <definedName name="SchAL.B.Loans">AL!$N$23</definedName>
    <definedName name="SchAL.B.Share">AL!$N$21</definedName>
    <definedName name="SchAL.B.Vehicles">AL!$N$18</definedName>
    <definedName name="SchAL.Button1">AL!$D$13</definedName>
    <definedName name="SchAL.Button3">AL!$D$33</definedName>
    <definedName name="SchAL.C.Address_Area">AL!$I$28:$I$31</definedName>
    <definedName name="SchAL.C.Address_City">AL!$J$28:$J$31</definedName>
    <definedName name="SchAL.C.Address_Country">AL!$L$28:$L$31</definedName>
    <definedName name="SchAL.C.Address_Flat">AL!$F$28:$F$31</definedName>
    <definedName name="SchAL.C.Address_Pin">AL!$M$28:$M$31</definedName>
    <definedName name="SchAL.C.Address_Road">AL!$H$28:$H$31</definedName>
    <definedName name="SchAL.C.Address_State">AL!$K$28:$K$31</definedName>
    <definedName name="SchAL.C.Address_Village">AL!$G$28:$G$31</definedName>
    <definedName name="SchAL.C.Address_Zip">AL!$N$28:$N$31</definedName>
    <definedName name="SchAL.C.Investment">AL!$P$28:$P$31</definedName>
    <definedName name="SchAL.C.Name">AL!$E$28:$E$31</definedName>
    <definedName name="SchAL.C.PAN">AL!$O$28:$O$31</definedName>
    <definedName name="SchAL.Liability">AL!$O$34</definedName>
    <definedName name="SchBA.AccntBalance">BA!$G$6:$G$8</definedName>
    <definedName name="SchBA.AcntNo">BA!$E$6:$E$8</definedName>
    <definedName name="SchBA.AcntStatus">BA!$F$6:$F$8</definedName>
    <definedName name="SchBA.BankName">BA!$C$6:$C$8</definedName>
    <definedName name="SchBA.IFSC">BA!$B$6:$B$8</definedName>
    <definedName name="SchBA.JointHoderName">BA!$D$6:$D$8</definedName>
    <definedName name="SchButton.act">'PART A - General'!$E$116</definedName>
    <definedName name="ScheduleEI_Button1">EI!$E$28</definedName>
    <definedName name="ScheduleEI_Button2">EI!$E$20</definedName>
    <definedName name="ScheduleEI_Button3">EI!$E$36</definedName>
    <definedName name="SchEI_AgriculturalLand">EI!$H$16:$H$19</definedName>
    <definedName name="SCHEI_DTAA_AmountOfIncome">EI!$E$32:$E$35</definedName>
    <definedName name="SCHEI_DTAA_Article">EI!$H$32:$H$35</definedName>
    <definedName name="SCHEI_DTAA_CountryCode">EI!$G$32:$G$35</definedName>
    <definedName name="SCHEI_DTAA_HeadOfIncome">EI!$I$32:$I$35</definedName>
    <definedName name="SCHEI_DTAA_NatureOfIncome">EI!$F$32:$F$35</definedName>
    <definedName name="SchEI_IrrigatedOrRainFed">EI!$J$16:$J$19</definedName>
    <definedName name="SchEI_OwedOrLease">EI!$I$16:$I$19</definedName>
    <definedName name="SCHEI_Pass_Through_Income">EI!$J$38</definedName>
    <definedName name="SchEI_Pincode">EI!$G$16:$G$19</definedName>
    <definedName name="SchEI_TotalIncomeDTAA">EI!$J$37</definedName>
    <definedName name="SCHEI_TRCObtained">EI!$J$32:$J$35</definedName>
    <definedName name="SchFA_Nature">DropDownValues!$Q$3:$Q$8</definedName>
    <definedName name="scvia.Section80C">'VI-A'!$I$6</definedName>
    <definedName name="scvia.Section80C_Calc">'VI-A'!$K$6</definedName>
    <definedName name="scvia.Section80CCC">'VI-A'!$I$7</definedName>
    <definedName name="scvia.Section80CCC_Calc">'VI-A'!$K$7</definedName>
    <definedName name="scvia.Section80CCD">'VI-A'!$I$10</definedName>
    <definedName name="scvia.Section80CCD_Calc">'VI-A'!$K$10</definedName>
    <definedName name="scvia.Section80CCD_SE">'VI-A'!$I$8</definedName>
    <definedName name="scvia.Section80CCD_SE_Calc">'VI-A'!$K$8</definedName>
    <definedName name="scvia.Section80CCD1B_SE">'VI-A'!$I$9</definedName>
    <definedName name="scvia.Section80CCD1B_SE_Calc">'VI-A'!$K$9</definedName>
    <definedName name="scvia.Section80CCG">'VI-A'!$I$11</definedName>
    <definedName name="scvia.Section80CCG_Calc">'VI-A'!$K$11</definedName>
    <definedName name="scvia.Section80D">'VI-A'!$I$14</definedName>
    <definedName name="scvia.Section80D_Calc">'VI-A'!$K$15</definedName>
    <definedName name="scvia.Section80DD">'VI-A'!$I$17</definedName>
    <definedName name="scvia.Section80DD_Calc">'VI-A'!$K$17</definedName>
    <definedName name="scvia.Section80DDB">'VI-A'!$I$18</definedName>
    <definedName name="scvia.Section80DDB_Calc">'VI-A'!$K$18</definedName>
    <definedName name="scvia.Section80DValue">'VI-A'!$I$13</definedName>
    <definedName name="scvia.Section80DValue_Calc">'VI-A'!$K$13</definedName>
    <definedName name="scvia.Section80E">'VI-A'!$I$19</definedName>
    <definedName name="scvia.Section80E_Calc">'VI-A'!$K$19</definedName>
    <definedName name="scvia.Section80EE">'VI-A'!$I$20</definedName>
    <definedName name="scvia.Section80EE_Calc">'VI-A'!$K$20</definedName>
    <definedName name="scvia.Section80EEA">'VI-A'!$I$21</definedName>
    <definedName name="scvia.Section80EEA_Calc">'VI-A'!$K$21</definedName>
    <definedName name="scvia.Section80EEB">'VI-A'!$I$22</definedName>
    <definedName name="scvia.Section80EEB_Calc">'VI-A'!$K$22</definedName>
    <definedName name="scvia.Section80G">'VI-A'!$I$23</definedName>
    <definedName name="scvia.Section80G_Calc">'VI-A'!$K$23</definedName>
    <definedName name="scvia.Section80GG">'VI-A'!$I$24</definedName>
    <definedName name="scvia.Section80GG_Calc">'VI-A'!$K$24</definedName>
    <definedName name="scvia.Section80GG_CalcNew">'VI-A'!$K$25</definedName>
    <definedName name="scvia.Section80GGC">'VI-A'!$I$26</definedName>
    <definedName name="scvia.Section80GGC_Calc">'VI-A'!$K$26</definedName>
    <definedName name="scvia.Section80GGNew">'VI-A'!$I$25</definedName>
    <definedName name="scvia.Section80IA">'VI-A'!$I$29</definedName>
    <definedName name="scvia.Section80IA_Calc">'VI-A'!$K$29</definedName>
    <definedName name="scvia.Section80IAB">'VI-A'!$I$30</definedName>
    <definedName name="scvia.Section80IAB_Calc">'VI-A'!$K$30</definedName>
    <definedName name="scvia.Section80IB">'VI-A'!$I$31</definedName>
    <definedName name="scvia.Section80IB_Calc">'VI-A'!$K$31</definedName>
    <definedName name="scvia.Section80IBA">'VI-A'!$I$32</definedName>
    <definedName name="scvia.Section80IBA_Calc">'VI-A'!$K$32</definedName>
    <definedName name="scvia.Section80IC">'VI-A'!$I$33</definedName>
    <definedName name="scvia.Section80IC_Calc">'VI-A'!$K$33</definedName>
    <definedName name="scvia.Section80ID">'VI-A'!$I$34</definedName>
    <definedName name="scvia.Section80ID_Calc">'VI-A'!$K$34</definedName>
    <definedName name="scvia.Section80JJA">'VI-A'!$I$35</definedName>
    <definedName name="scvia.Section80JJA_Calc">'VI-A'!$K$35</definedName>
    <definedName name="scvia.Section80JJAA">'VI-A'!$I$36</definedName>
    <definedName name="scvia.Section80JJAA_Calc">'VI-A'!$K$36</definedName>
    <definedName name="scvia.Section80QQB">'VI-A'!$I$37</definedName>
    <definedName name="scvia.Section80QQB_Calc">'VI-A'!$K$37</definedName>
    <definedName name="scvia.Section80RRB">'VI-A'!$I$38</definedName>
    <definedName name="scvia.Section80RRB_Calc">'VI-A'!$K$38</definedName>
    <definedName name="scvia.Section80TTA">'VI-A'!$I$41</definedName>
    <definedName name="scvia.Section80TTA_Calc">'VI-A'!$K$41</definedName>
    <definedName name="scvia.Section80TTB">'VI-A'!$I$42</definedName>
    <definedName name="scvia.Section80TTB_Calc">'VI-A'!$K$42</definedName>
    <definedName name="scvia.Section80U">'VI-A'!$I$43</definedName>
    <definedName name="scvia.Section80U_Calc">'VI-A'!$K$43</definedName>
    <definedName name="scvia.TotalChapVIADeductions">'VI-A'!$K$45</definedName>
    <definedName name="scvia.TotPartBchapterVIA">'VI-A'!$I$27</definedName>
    <definedName name="scvia.TotPartBchapterVIA_Calc">'VI-A'!$K$27</definedName>
    <definedName name="scvia.TotPartCAandDchapterVIA">'VI-A'!$I$44</definedName>
    <definedName name="scvia.TotPartCAandDchapterVIA_Calc">'VI-A'!$K$44</definedName>
    <definedName name="scvia.TotPartCchapterVIA">'VI-A'!$I$39</definedName>
    <definedName name="scvia.TotPartCchapterVIA_Calc">'VI-A'!$K$39</definedName>
    <definedName name="scvia.UsrTotalChapVIADeductions">'VI-A'!$I$45</definedName>
    <definedName name="Sec44AD.NOBCode">'Profit and Loss'!$H$140:$J$142</definedName>
    <definedName name="Sec44AD.NOBCode1">'Profit and Loss'!$H$152:$J$154</definedName>
    <definedName name="Sec44AD.NOBCode2">'Profit and Loss'!$H$160:$J$162</definedName>
    <definedName name="Sec44AD.NOBDescription">'Profit and Loss'!$K$140:$L$142</definedName>
    <definedName name="Sec44AD.NOBDescription1">'Profit and Loss'!$K$152:$L$154</definedName>
    <definedName name="Sec44AD.NOBDescription2">'Profit and Loss'!$K$160:$L$162</definedName>
    <definedName name="Sec44AD.NOBName">'Profit and Loss'!$E$140:$G$142</definedName>
    <definedName name="Sec44AD.NOBName1">'Profit and Loss'!$E$152:$G$154</definedName>
    <definedName name="Sec44AD.NOBName2">'Profit and Loss'!$E$160:$G$162</definedName>
    <definedName name="Sec44AE.OLH">'Profit and Loss'!$H$165:$H$174</definedName>
    <definedName name="Sec44AE.RegNo">'Profit and Loss'!$E$165:$G$174</definedName>
    <definedName name="Sec44AE.TonnageCpct">'Profit and Loss'!$I$165:$I$174</definedName>
    <definedName name="Sec56DTAA">OS!$T$92</definedName>
    <definedName name="Sec80DDBref">'VI-A'!$AY$18</definedName>
    <definedName name="Sec80DDref">'VI-A'!$AY$17</definedName>
    <definedName name="Sec80Uref">'VI-A'!$AY$43</definedName>
    <definedName name="Section_AmountLtcgB10">CG!$AA$329:$AA$330</definedName>
    <definedName name="Section_AmountLtcgB9">CG!$AD$271:$AD$271</definedName>
    <definedName name="Section_AmountStcgA8">CG!$AA$112:$AA$113</definedName>
    <definedName name="Section_code">DropDownValues!$O$3:$O$15</definedName>
    <definedName name="Section_CodeSLtcgB10">CG!$Z$329:$Z$330</definedName>
    <definedName name="Section_CodeSLtcgB9">CG!$AC$271:$AC$271</definedName>
    <definedName name="Section_CodeStcgA8">CG!$Z$112:$Z$113</definedName>
    <definedName name="Section_LTCGbreakup">CG!$AB$329:$AB$330</definedName>
    <definedName name="Section_STCGbreakup">CG!$AB$112:$AB$113</definedName>
    <definedName name="section234A">'Tax Calculated'!$B$15</definedName>
    <definedName name="Section80DD">DropDownValues!$BN$3:$BN$5</definedName>
    <definedName name="Section80DDB">DropDownValues!$BO$3:$BO$5</definedName>
    <definedName name="Section80U">DropDownValues!$BP$3:$BP$5</definedName>
    <definedName name="SectionAmountDtaaOS">OS!$V$73:$V$75</definedName>
    <definedName name="SectionAmountPTIOS">OS!$V$62:$V$65</definedName>
    <definedName name="Select">'PART A - General'!$BD$11:$BD$15</definedName>
    <definedName name="Select1">'PART A - General'!$BD$18</definedName>
    <definedName name="SELECT80D">'VI-A'!$F$14</definedName>
    <definedName name="SELECT80DB">'VI-A'!$F$15</definedName>
    <definedName name="SELECT80DC">'VI-A'!$F$16</definedName>
    <definedName name="SELECT80DD">'VI-A'!$F$17</definedName>
    <definedName name="SELECT80DDB">'VI-A'!$F$18</definedName>
    <definedName name="SELECT80U">'VI-A'!$F$43</definedName>
    <definedName name="Selection80D">DropDownValues!$BM$3:$BM$10</definedName>
    <definedName name="Selection80D_B">DropDownValues!$BQ$3:$BQ$6</definedName>
    <definedName name="Selection80D_C">DropDownValues!$BR$3:$BR$6</definedName>
    <definedName name="Self_And_Family_80D">'80D'!$L$5</definedName>
    <definedName name="Senior_Citizen_80D">'80D'!$L$8</definedName>
    <definedName name="SEZA10.AssmtYrUnit">'10AA'!$H$4:$H$4</definedName>
    <definedName name="SEZA10.DedFromUndertaking">'10AA'!$I$4:$I$4</definedName>
    <definedName name="SEZA10.TotalDedUs10A">'10AA'!#REF!</definedName>
    <definedName name="SEZA10.TotalDedUs10Sub">'10AA'!$I$5</definedName>
    <definedName name="Share_Acquired_Cost">'PART A - General'!$AH$72:$AI$74</definedName>
    <definedName name="Share_Acquired_Count">'PART A - General'!$X$72:$Y$74</definedName>
    <definedName name="Share_Acquired_Date">'PART A - General'!$Z$72:$AB$74</definedName>
    <definedName name="Share_Acquired_FaceValue">'PART A - General'!$AC$72:$AD$74</definedName>
    <definedName name="Share_Acquired_Issue">'PART A - General'!$AE$72:$AG$74</definedName>
    <definedName name="Share_CB_Cost">'PART A - General'!$AR$72:$AT$74</definedName>
    <definedName name="Share_CB_Count">'PART A - General'!$AN$72:$AQ$74</definedName>
    <definedName name="Share_NameofCompany">'PART A - General'!$F$72:$F$74</definedName>
    <definedName name="Share_OP_Cost">'PART A - General'!$T$72:$W$74</definedName>
    <definedName name="Share_OP_Count">'PART A - General'!$P$72:$S$74</definedName>
    <definedName name="Share_PAN">'PART A - General'!$O$72:$O$74</definedName>
    <definedName name="Share_Transferred_Count">'PART A - General'!$AJ$72:$AK$74</definedName>
    <definedName name="Share_Transferred_Sale">'PART A - General'!$AL$72:$AM$74</definedName>
    <definedName name="Share_TypeofCompany">'PART A - General'!$N$72:$N$74</definedName>
    <definedName name="ShareAcq_112A">'Schedule 112A'!$E$6:$E$9</definedName>
    <definedName name="ShareAcq_115AD_1">'Schedule 115AD(1)(iii) proviso'!$E$6:$E$9</definedName>
    <definedName name="shee6.NonComp40aiiChapXVIIBAmt">'Part A - OI'!$J$54</definedName>
    <definedName name="Sheet.Code3">'Nature Of Business'!$E$7</definedName>
    <definedName name="sheet.EmployerCategory1">'Schedule S'!$J$4</definedName>
    <definedName name="sheet.EmployerCategory2">'Schedule S'!$J$28</definedName>
    <definedName name="Sheet1.115H">'PART A - General'!$Z$50</definedName>
    <definedName name="sheet1.adhaarenrol">'PART A - General'!$AF$49</definedName>
    <definedName name="sheet1.adhaarflag">'PART A - General'!$Z$48</definedName>
    <definedName name="sheet1.adhaarno">'PART A - General'!$AF$48</definedName>
    <definedName name="Sheet1.AggrigateAmount">'PART A - General'!$AM$41</definedName>
    <definedName name="Sheet1.AggrigateAmount1">'PART A - General'!$AM$42</definedName>
    <definedName name="Sheet1.AggrigateAmountFlag">'PART A - General'!$AK$41</definedName>
    <definedName name="Sheet1.AggrigateAmountFlag1">'PART A - General'!$AK$42</definedName>
    <definedName name="sheet1.AsseseeRepFlg">'PART A - General'!$AM$52</definedName>
    <definedName name="sheet1.AudFrmAadhaar">'PART A - General'!$AF$94</definedName>
    <definedName name="sheet1.AudFrmName">'PART A - General'!$Y$91</definedName>
    <definedName name="sheet1.AudFrmPAN">'PART A - General'!$AF$93</definedName>
    <definedName name="sheet1.AudFrmRegNo">'PART A - General'!$Y$92</definedName>
    <definedName name="sheet1.AuditAccountantFlg">'PART A - General'!$AP$87</definedName>
    <definedName name="sheet1.AuditDate">'PART A - General'!$P$95</definedName>
    <definedName name="sheet1.AuditDateSec92E">'PART A - General'!$P$97</definedName>
    <definedName name="sheet1.AuditedSection">'PART A - General'!$F$100:$F$106</definedName>
    <definedName name="sheet1.AuditorMemNo">'PART A - General'!$T$90</definedName>
    <definedName name="sheet1.AuditorName">'PART A - General'!$AA$89</definedName>
    <definedName name="sheet1.AuditReportFurnishDate">'PART A - General'!$P$88</definedName>
    <definedName name="sheet1.AuditYN">'PART A - General'!$N$100:$N$106</definedName>
    <definedName name="sheet1.capacityassessee">'PART A - General'!$AK$37</definedName>
    <definedName name="sheet1.CityOrTownOrDistrict">'PART A - General'!$E$15</definedName>
    <definedName name="Sheet1.CompanyName">'PART A - General'!$F$60:$N$62</definedName>
    <definedName name="Sheet1.CompanyType">'PART A - General'!$O$60:$W$62</definedName>
    <definedName name="Sheet1.CompPAN">'PART A - General'!$X$60:$AF$62</definedName>
    <definedName name="sheet1.CountryCode">'PART A - General'!$AE$15</definedName>
    <definedName name="sheet1.DateOfAudit">'PART A - General'!$O$100:$O$106</definedName>
    <definedName name="Sheet1.DepositAmount">'PART A - General'!$AM$40</definedName>
    <definedName name="Sheet1.DepositAmountFlag">'PART A - General'!$AK$40</definedName>
    <definedName name="Sheet1.DIN">'PART A - General'!$AK$60:$AT$62</definedName>
    <definedName name="sheet1.DOB">'PART A - General'!$AK$12</definedName>
    <definedName name="sheet1.DOC">'PART A - General'!$AE$12</definedName>
    <definedName name="sheet1.DOCOB">'[4]PART A - GENERAL'!$T$18</definedName>
    <definedName name="sheet1.EmailAddress">'PART A - General'!$E$18</definedName>
    <definedName name="sheet1.EmailAddressSec">'PART A - General'!$N$18</definedName>
    <definedName name="Sheet1.FirmPAN">'PART A - General'!$W$66:$AB$67</definedName>
    <definedName name="sheet1.FirstName">'PART A - General'!$E$8</definedName>
    <definedName name="sheet1.Foreign_Exchange">'PART A - General'!$AE$80</definedName>
    <definedName name="sheet1.Gender1">'PART A - General'!$AR$15</definedName>
    <definedName name="sheet1.LiableSec44AAflg">'PART A - General'!$AF$81</definedName>
    <definedName name="sheet1.LiableSec44ABflg">'PART A - General'!$AP$86</definedName>
    <definedName name="sheet1.LiableSec44AEflg">'PART A - General'!$AF$82</definedName>
    <definedName name="sheet1.LiableSec5cflg">'PART A - General'!$AF$83</definedName>
    <definedName name="sheet1.LiableSec92Eflg">'PART A - General'!$Q$96</definedName>
    <definedName name="sheet1.LiableSec92Eflgdia">'PART A - General'!$AH$96</definedName>
    <definedName name="sheet1.LiableSecAggrigate1flg">'PART A - General'!$AF$85</definedName>
    <definedName name="sheet1.LiableSecAggrigateflg">'PART A - General'!$AF$84</definedName>
    <definedName name="sheet1.LocalityOrArea">'PART A - General'!$W$12</definedName>
    <definedName name="sheet1.MiddleName">'PART A - General'!$O$8</definedName>
    <definedName name="sheet1.MobileNo">'PART A - General'!$X$18</definedName>
    <definedName name="sheet1.MobileNoSec">'PART A - General'!$AL$18</definedName>
    <definedName name="Sheet1.NameOfFirm">'PART A - General'!$F$66:$V$67</definedName>
    <definedName name="sheet1.NoticeDate">'PART A - General'!$AM$23</definedName>
    <definedName name="sheet1.NotifiedUs94AFlg">'PART A - General'!#REF!</definedName>
    <definedName name="sheet1.NRI_PE">'PART A - General'!$AE$76</definedName>
    <definedName name="sheet1.NRI_SEP">'PART A - General'!$AE$77</definedName>
    <definedName name="sheet1.NRI_SEP_AggrPayment">'PART A - General'!$AE$78</definedName>
    <definedName name="sheet1.NRI_SEP_Usr">'PART A - General'!$AE$79</definedName>
    <definedName name="sheet1.OrigRetFiledDate">'PART A - General'!$AM$20</definedName>
    <definedName name="sheet1.PAN">'PART A - General'!$AK$8</definedName>
    <definedName name="sheet1.PassportNo">'PART A - General'!$Z$51</definedName>
    <definedName name="sheet1.PhoneNo">'PART A - General'!$AE$18</definedName>
    <definedName name="sheet1.PinCode">'PART A - General'!$AO$15</definedName>
    <definedName name="sheet1.PortugeseCC5A">'PART A - General'!$AR$50</definedName>
    <definedName name="sheet1.ReceiptNo">'PART A - General'!$W$20</definedName>
    <definedName name="sheet1.RepAadhar">'PART A - General'!$AE$57</definedName>
    <definedName name="sheet1.RepAddress">'PART A - General'!$AE$55</definedName>
    <definedName name="sheet1.RepCapacity">'PART A - General'!$AE$54</definedName>
    <definedName name="sheet1.RepName">'PART A - General'!$AE$53</definedName>
    <definedName name="sheet1.RepPAN">'PART A - General'!$AE$56</definedName>
    <definedName name="sheet1.ResidenceName">'PART A - General'!$W$10</definedName>
    <definedName name="sheet1.ResidenceNo">'PART A - General'!$E$10</definedName>
    <definedName name="sheet1.ResidentialStatus1">'PART A - General'!$AK$19</definedName>
    <definedName name="sheet1.ResidentialStatus1_Condition">'PART A - General'!$W$24</definedName>
    <definedName name="sheet1.ReturnFileSec">'PART A - General'!$X$19</definedName>
    <definedName name="sheet1.ReturnFileSec1">'PART A - General'!$BB$19</definedName>
    <definedName name="sheet1.RoadOrStreet">'PART A - General'!$E$12</definedName>
    <definedName name="sheet1.SeventhProvisoFlag">'PART A - General'!$AK$39</definedName>
    <definedName name="Sheet1.Shares">'PART A - General'!$AG$60:$AJ$62</definedName>
    <definedName name="sheet1.StateCode1">'PART A - General'!$W$15</definedName>
    <definedName name="sheet1.Status">'PART A - General'!$AK$10</definedName>
    <definedName name="sheet1.STDcode">'PART A - General'!$AA$18</definedName>
    <definedName name="sheet1.SurNameOrOrgName">'PART A - General'!$W$8</definedName>
    <definedName name="Sheet1.UniqueNo">'PART A - General'!$W$23</definedName>
    <definedName name="sheet1.ZipCode">'PART A - General'!$AK$16</definedName>
    <definedName name="sheet10.Inc115BBF">BP!$I$15</definedName>
    <definedName name="sheet10.Inc115BBG">BP!$I$16</definedName>
    <definedName name="sheet10.IncRecCredPLOthHeads1">BP!$I$9</definedName>
    <definedName name="sheet10.IncRecCredPLOthHeads2">BP!$I$10</definedName>
    <definedName name="sheet10.IncRecCredPLOthHeads3">BP!$I$11</definedName>
    <definedName name="sheet10.IncRecCredPLOthHeads4">BP!$I$12</definedName>
    <definedName name="sheet10.IncRecCredPLOthHeads4Div">BP!$I$13</definedName>
    <definedName name="sheet10.IncRecCredPLOthHeads4OthDiv">BP!$I$14</definedName>
    <definedName name="sheet10.NetPLFromSpecBus">BP!$I$6</definedName>
    <definedName name="sheet10.NetPLFromSpecifiedBus">BP!$I$7</definedName>
    <definedName name="sheet10.PLUs44sChapXIIG">BP!$I$17</definedName>
    <definedName name="sheet10.ProfBfrTaxPL">BP!$K$5</definedName>
    <definedName name="sheet11.AdjustedPLOthThanSpecBus">BP!$K$55</definedName>
    <definedName name="sheet11.AdjustPLAfterDeprOthSpecInc">BP!$K$61</definedName>
    <definedName name="sheet11.AmtAllowUs35ACt">BP!$I$96</definedName>
    <definedName name="sheet11.AmtDebPLDisallowUs36">BP!$I$62</definedName>
    <definedName name="sheet11.AmtDebPLDisallowUs37">BP!$I$63</definedName>
    <definedName name="sheet11.AmtDebPLDisallowUs40">BP!$I$64</definedName>
    <definedName name="sheet11.AmtDebPLDisallowUs40A">BP!$I$65</definedName>
    <definedName name="sheet11.AmtDebPLDisallowUs43B">BP!$I$66</definedName>
    <definedName name="sheet11.AmtDisallUs40NowAllow">BP!$I$92</definedName>
    <definedName name="sheet11.AmtDisallUs43BNowAllow">BP!$I$93</definedName>
    <definedName name="sheet11.AnyOthAmtAllDeduct">BP!$I$98</definedName>
    <definedName name="sheet11.AnyOthIncNotInclInExpDisallowPL">BP!$I$81</definedName>
    <definedName name="sheet11.AOPBOISharInc">BP!$I$35</definedName>
    <definedName name="sheet11.BalancePLOthThanSpecBus">BP!$K$44</definedName>
    <definedName name="sheet11.DebPL35ACAmt">BP!$I$95</definedName>
    <definedName name="sheet11.DebPLUs35ExcessAmt">BP!$I$91</definedName>
    <definedName name="sheet11.DeductUs32_1_iii">BP!$I$89</definedName>
    <definedName name="sheet11.DeductUs32AD">BP!$I$90</definedName>
    <definedName name="sheet11.DeemIncUs32AD">BP!$I$70</definedName>
    <definedName name="sheet11.DeemIncUs3380HHD80IA">BP!$I$69</definedName>
    <definedName name="sheet11.DeemIncUs33AB">BP!$I$71</definedName>
    <definedName name="sheet11.DeemIncUs33ABA">BP!$I$72</definedName>
    <definedName name="sheet11.DeemIncUs35ABA">BP!$I$73</definedName>
    <definedName name="sheet11.DeemIncUs35ABB">BP!$I$74</definedName>
    <definedName name="sheet11.DeemIncUs40A">BP!$I$75</definedName>
    <definedName name="sheet11.DeemIncUs41">BP!$I$68</definedName>
    <definedName name="sheet11.DeemIncUs43CA">BP!$I$79</definedName>
    <definedName name="sheet11.DeemIncUs72A">BP!$I$76</definedName>
    <definedName name="sheet11.DeemIncUs80HHD">BP!$I$77</definedName>
    <definedName name="sheet11.DeemIncUs80IA">BP!$I$78</definedName>
    <definedName name="sheet11.DepreciationAllowUs32_1_i">BP!$I$59</definedName>
    <definedName name="sheet11.DepreciationAllowUs32_1_ii">BP!$I$58</definedName>
    <definedName name="sheet11.DepreciationDebPLCosAct">BP!$K$56</definedName>
    <definedName name="sheet11.ExcessAmtDeduct35AC">BP!$I$97</definedName>
    <definedName name="sheet11.ExpDebToPLDisAllowed">BP!$I$53</definedName>
    <definedName name="sheet11.ExpDebToPLExemptInc">BP!$I$52</definedName>
    <definedName name="sheet11.ExpDebToPLOth115BF">BP!$I$50</definedName>
    <definedName name="sheet11.ExpDebToPLOth115BG">BP!$I$51</definedName>
    <definedName name="sheet11.ExpDebToPLOthHeads1">BP!$I$46</definedName>
    <definedName name="sheet11.ExpDebToPLOthHeads2">BP!$I$47</definedName>
    <definedName name="sheet11.ExpDebToPLOthHeads3">BP!$I$48</definedName>
    <definedName name="sheet11.ExpDebToPLOthHeads4">BP!$I$49</definedName>
    <definedName name="sheet11.FirmShareInc">BP!$I$34</definedName>
    <definedName name="sheet11.InterestDisAllowUs23SMEAct">BP!$I$67</definedName>
    <definedName name="sheet11.OthExempInc">BP!$I$42</definedName>
    <definedName name="sheet11.OthExempInca">BP!$I$38</definedName>
    <definedName name="sheet11.OthExempIncan">BP!$G$38</definedName>
    <definedName name="sheet11.OthExempIncb">BP!$I$39</definedName>
    <definedName name="sheet11.OthExempIncbn">BP!$G$39</definedName>
    <definedName name="sheet11.OthExempIncc">BP!$I$40</definedName>
    <definedName name="sheet11.OthExempInccn">BP!$G$40</definedName>
    <definedName name="sheet11.OthItemDisallowUs28To44DA">BP!$I$80</definedName>
    <definedName name="sheet11.PLAftAdjDedBusOthThanSpec">BP!$K$101</definedName>
    <definedName name="Sheet11.Salaries80CCD2">'VI-A'!$AC$10</definedName>
    <definedName name="sheet11.Section44AD">BP!$I$103</definedName>
    <definedName name="sheet11.Section44ADA">BP!$I$104</definedName>
    <definedName name="sheet11.Section44AE">BP!$I$105</definedName>
    <definedName name="sheet11.Section44B">BP!$I$106</definedName>
    <definedName name="Sheet11.Section44BB">BP!$I$107</definedName>
    <definedName name="sheet11.Section44BBA">BP!$I$108</definedName>
    <definedName name="sheet11.TotAfterAddToPLDeprOthSpecInc">BP!$K$88</definedName>
    <definedName name="sheet11.TotDeductionAmts">BP!$K$100</definedName>
    <definedName name="sheet11.TotDeprAllowITAct">BP!$K$60</definedName>
    <definedName name="sheet11.TotExempIncPL">BP!$I$43</definedName>
    <definedName name="sheet11.TotExpDebPL">BP!$I$54</definedName>
    <definedName name="sheet12.AdditionUs28to44DA">BP!$K$132</definedName>
    <definedName name="sheet12.AddSec2844DA">BP!$K$137</definedName>
    <definedName name="sheet12.AdjustedPLFrmSpecifiedBus">BP!$K$143</definedName>
    <definedName name="sheet12.AdjustedPLFrmSpecuBus">BP!$K$134</definedName>
    <definedName name="sheet12.BusLossSetoffa">BP!$I$158</definedName>
    <definedName name="sheet12.BusLossSetoffb">BP!$I$159</definedName>
    <definedName name="sheet12.ChapterXIIG">BP!$I$112</definedName>
    <definedName name="sheet12.DedSec2844DA">BP!$K$138</definedName>
    <definedName name="sheet12.DeductUs28to44DA">BP!$K$133</definedName>
    <definedName name="sheet12.DeductUs35AD">BP!$K$140</definedName>
    <definedName name="sheet12.DeductUs35AD1">BP!$K$141</definedName>
    <definedName name="sheet12.DeductUs35AD1A">BP!$K$142</definedName>
    <definedName name="sheet12.IncChrgUnHdProftGain">BP!$K$148</definedName>
    <definedName name="sheet12.IncOfCurYrAfterSetOffa">BP!$K$158</definedName>
    <definedName name="sheet12.IncOfCurYrAfterSetOffb">BP!$K$159</definedName>
    <definedName name="sheet12.IncOfCurYrUnderThatHeada">BP!$G$158</definedName>
    <definedName name="sheet12.IncOfCurYrUnderThatHeadb">BP!$G$159</definedName>
    <definedName name="sheet12.LossRemainSetOffOnBus">BP!$I$161</definedName>
    <definedName name="sheet12.LossSetOffOnBusLoss">BP!$I$157</definedName>
    <definedName name="sheet12.NetPLAftAdjBusOthThanSpec">BP!$K$121</definedName>
    <definedName name="sheet12.NetPLBusOthThanSpec7A7B7C">BP!$K$122</definedName>
    <definedName name="sheet12.NetPLFrmSpecBus">BP!$K$131</definedName>
    <definedName name="sheet12.NetPLFrmSpecifiedBus">BP!$K$136</definedName>
    <definedName name="sheet12.ProfLossFromSpecifiedBus">BP!$K$139</definedName>
    <definedName name="sheet12.Section44BBB">BP!$I$109</definedName>
    <definedName name="sheet12.Section44D">BP!$I$110</definedName>
    <definedName name="sheet12.Section44DA">BP!$I$111</definedName>
    <definedName name="sheet12.TotDeemedProfitBusUs">BP!$K$113</definedName>
    <definedName name="sheet12.TotLossSetOffOnBus">BP!$I$160</definedName>
    <definedName name="sheet16.BalBusLossAftSetoff">'CYLA - BFLA'!$H$24</definedName>
    <definedName name="sheet16.BalHPlossCurYrAftSetoff">'CYLA - BFLA'!$G$24</definedName>
    <definedName name="sheet16.BalOthSrcLossNoRaceHorseAftSetoff">'CYLA - BFLA'!$I$24</definedName>
    <definedName name="sheet16.IncomeOfCurrYrAftCYLABFLA">'CYLA - BFLA'!$J$46</definedName>
    <definedName name="sheet16.TotAllUs35cl4Setoff">'CYLA - BFLA'!$I$45</definedName>
    <definedName name="sheet16.TotBFLossSetoff">'CYLA - BFLA'!$G$45</definedName>
    <definedName name="sheet16.TotBusLossSetoff">'CYLA - BFLA'!$H$23</definedName>
    <definedName name="sheet16.TotHPlossCurYrSetoff">'CYLA - BFLA'!$G$23</definedName>
    <definedName name="sheet16.TotOthSrcLossNoRaceHorseSetoff">'CYLA - BFLA'!$I$23</definedName>
    <definedName name="sheet16.TotUnabsorbedDeprSetoff">'CYLA - BFLA'!$H$45</definedName>
    <definedName name="sheet2.CapResr">'Part A - BS'!$J$8</definedName>
    <definedName name="sheet2.CapWrkProg">'Part A - BS'!$J$32</definedName>
    <definedName name="Sheet2.Code1">'Nature Of Business'!$E$5</definedName>
    <definedName name="Sheet2.Code2">'Nature Of Business'!$E$6</definedName>
    <definedName name="sheet2.Debenture">'Part A - BS'!$J$42</definedName>
    <definedName name="sheet2.DeferredTax">'Part A - BS'!$L$26</definedName>
    <definedName name="sheet2.Depreciation">'Part A - BS'!$J$30</definedName>
    <definedName name="sheet2.EquityShares">'Part A - BS'!$J$40</definedName>
    <definedName name="sheet2.ForeignCurrLoan">'Part A - BS'!$J$15</definedName>
    <definedName name="sheet2.FrmBank">'Part A - BS'!$J$17</definedName>
    <definedName name="sheet2.FrmBank1">'Part A - BS'!$J$22</definedName>
    <definedName name="sheet2.FrmOthrs">'Part A - BS'!$J$18</definedName>
    <definedName name="sheet2.FrmOthrs1">'Part A - BS'!$J$23</definedName>
    <definedName name="sheet2.GovOthSecUnQoted">'Part A - BS'!$J$37</definedName>
    <definedName name="sheet2.GovtOthSecQuoted">'Part A - BS'!$J$36</definedName>
    <definedName name="sheet2.GrossBlock">'Part A - BS'!$J$29</definedName>
    <definedName name="sheet2.NetBlock">'Part A - BS'!$J$31</definedName>
    <definedName name="sheet2.OthResr">'Part A - BS'!$J$10</definedName>
    <definedName name="sheet2.PreferShares">'Part A - BS'!$J$41</definedName>
    <definedName name="sheet2.PropCap">'Part A - BS'!$L$5</definedName>
    <definedName name="sheet2.RevResr">'Part A - BS'!$J$7</definedName>
    <definedName name="sheet2.StatResr">'Part A - BS'!$J$9</definedName>
    <definedName name="sheet2.TotFixedAsset">'Part A - BS'!$L$33</definedName>
    <definedName name="sheet2.TotFundSrc">'Part A - BS'!$L$27</definedName>
    <definedName name="sheet2.TotInvestments">'Part A - BS'!$L$44</definedName>
    <definedName name="sheet2.TotLoanFund">'Part A - BS'!$L$25</definedName>
    <definedName name="sheet2.TotLongTermInv">'Part A - BS'!$L$38</definedName>
    <definedName name="sheet2.TotPropFund">'Part A - BS'!$L$12</definedName>
    <definedName name="sheet2.TotResrNSurp">'Part A - BS'!$L$11</definedName>
    <definedName name="sheet2.TotRupeeLoan">'Part A - BS'!$J$19</definedName>
    <definedName name="sheet2.TotSecrLoan">'Part A - BS'!$L$20</definedName>
    <definedName name="sheet2.TotTradeInv">'Part A - BS'!$L$43</definedName>
    <definedName name="sheet2.TotUnSecrLoan">'Part A - BS'!$L$24</definedName>
    <definedName name="Sheet20.Agriculturalinc">EI!$J$10</definedName>
    <definedName name="Sheet20.ExpenditureOnAgriculture">EI!$I$8</definedName>
    <definedName name="Sheet20.NetAgriculturalIncome">EI!$J$11</definedName>
    <definedName name="Sheet20.scei.DividendInc">EI!$J$5</definedName>
    <definedName name="Sheet20.scei.InterestInc">EI!$J$4</definedName>
    <definedName name="Sheet20.scei.LTCGWhereSTTPaid">EI!$J$6</definedName>
    <definedName name="Sheet20.scei.NetAgriIncOrOthrIncRule7">EI!$I$7</definedName>
    <definedName name="Sheet20.scei.Others">EI!$H$27</definedName>
    <definedName name="Sheet20.scei.ShareOfProfitFirmAOP">EI!$J$12</definedName>
    <definedName name="Sheet20.scei.TotalExemptInc">EI!$J$39</definedName>
    <definedName name="Sheet20.UnabsorbedAgriculturalloss">EI!$I$9</definedName>
    <definedName name="sheet3.AccrIntNotDue">'Part A - BS'!$J$71</definedName>
    <definedName name="sheet3.AccrIntonLeasedAsset">'Part A - BS'!$J$70</definedName>
    <definedName name="sheet3.AccumaltedLosses">'Part A - BS'!$J$83</definedName>
    <definedName name="sheet3.AdvRecoverable">'Part A - BS'!$J$61</definedName>
    <definedName name="sheet3.BalWithRevAuth">'Part A - BS'!$J$63</definedName>
    <definedName name="sheet3.BankBal">'Part A - BS'!$J$56</definedName>
    <definedName name="sheet3.CashBalAmt">'Part A - BS'!$L$90</definedName>
    <definedName name="sheet3.CashinHand">'Part A - BS'!$J$55</definedName>
    <definedName name="sheet3.DefTaxAsset">'Part A - BS'!$J$82</definedName>
    <definedName name="sheet3.Deposits">'Part A - BS'!$J$62</definedName>
    <definedName name="sheet3.ELSuperAnnGratProvision">'Part A - BS'!$J$76</definedName>
    <definedName name="sheet3.FinOrTradGood">'Part A - BS'!$J$51</definedName>
    <definedName name="sheet3.ITProvision">'Part A - BS'!$J$74</definedName>
    <definedName name="sheet3.LiabForLeasedAsset">'Part A - BS'!$J$69</definedName>
    <definedName name="sheet3.MiscExpndr">'Part A - BS'!$J$81</definedName>
    <definedName name="sheet3.NetCurrAsset">'Part A - BS'!$L$80</definedName>
    <definedName name="sheet3.OthCurrAsset">'Part A - BS'!$L$58</definedName>
    <definedName name="sheet3.OthProvision">'Part A - BS'!$J$77</definedName>
    <definedName name="sheet3.RawMatl">'Part A - BS'!$J$49</definedName>
    <definedName name="sheet3.SndryDebtors">'Part A - BS'!$L$53</definedName>
    <definedName name="sheet3.StkInProcess">'Part A - BS'!$J$50</definedName>
    <definedName name="sheet3.StoresConsumables">'Part A - BS'!$J$48</definedName>
    <definedName name="sheet3.SundryCred">'Part A - BS'!$J$68</definedName>
    <definedName name="sheet3.TotCashOrBankBal">'Part A - BS'!$L$57</definedName>
    <definedName name="sheet3.TotCurrAsset">'Part A - BS'!$L$59</definedName>
    <definedName name="sheet3.TotCurrAssetLoanAdv">'Part A - BS'!$L$65</definedName>
    <definedName name="sheet3.TotCurrLiabilities">'Part A - BS'!$L$72</definedName>
    <definedName name="sheet3.TotCurrLiabilitiesProvision">'Part A - BS'!$L$79</definedName>
    <definedName name="sheet3.TotFundApply">'Part A - BS'!$L$85</definedName>
    <definedName name="sheet3.TotInventries">'Part A - BS'!$L$52</definedName>
    <definedName name="sheet3.TotLoanAdv">'Part A - BS'!$L$64</definedName>
    <definedName name="sheet3.TotMiscAdjust">'Part A - BS'!$L$84</definedName>
    <definedName name="sheet3.TotProvisions">'Part A - BS'!$L$78</definedName>
    <definedName name="sheet3.TotStkInTradAmt">'Part A - BS'!$L$89</definedName>
    <definedName name="sheet3.TotSundryCrdAmt">'Part A - BS'!$L$88</definedName>
    <definedName name="sheet3.TotSundryDbtAmt">'Part A - BS'!$L$87</definedName>
    <definedName name="sheet3.WTProvision">'Part A - BS'!$J$75</definedName>
    <definedName name="Sheet44AE.NoOfMonths">'Profit and Loss'!$J$165:$J$174</definedName>
    <definedName name="Sheet44AE.PresumptiveIncome">'Profit and Loss'!$K$165:$L$174</definedName>
    <definedName name="sheet5.ChangeInAcctMethFlg">'Part A - OI'!$L$5</definedName>
    <definedName name="sheet5.MethodOfAcct">'Part A - OI'!$L$4</definedName>
    <definedName name="sheet5.ProfDeviatDueAcctMeth">'Part A - OI'!$L$6</definedName>
    <definedName name="sheet5.ProfDeviatDueAcctMethb">'Part A - OI'!$L$7</definedName>
    <definedName name="sheet5.ValFinishedGoods">'Part A - OI'!$L$10</definedName>
    <definedName name="sheet5.ValRawMaterial">'Part A - OI'!$L$9</definedName>
    <definedName name="sheet6.AppGratFundAmt">'Part A - OI'!$J$30</definedName>
    <definedName name="sheet6.AppSuperAnnFundAmt">'Part A - OI'!$J$28</definedName>
    <definedName name="sheet6.BadDebtDoubtAmt">'Part A - OI'!$J$33</definedName>
    <definedName name="sheet6.BadDebtDoubtProvn">'Part A - OI'!$J$34</definedName>
    <definedName name="sheet6.BusOrProfessnExp">'Part A - OI'!$J$44</definedName>
    <definedName name="sheet6.CapitalNatureExp">'Part A - OI'!$J$42</definedName>
    <definedName name="sheet6.CapReceipt">'Part A - OI'!$J$19</definedName>
    <definedName name="sheet6.ChngStockValMetFlg">'Part A - OI'!$L$11</definedName>
    <definedName name="sheet6.ContigentLiability">'Part A - OI'!$J$49</definedName>
    <definedName name="sheet6.EffectOnPL">'Part A - OI'!$L$12</definedName>
    <definedName name="sheet6.EffectOnPL4e">'Part A - OI'!$L$13</definedName>
    <definedName name="sheet6.EmpBonusCommSum">'Part A - OI'!$J$24</definedName>
    <definedName name="sheet6.EmpContributionCredits">'Part A - OI'!$J$32</definedName>
    <definedName name="sheet6.EmpHealthInsurPrem">'Part A - OI'!$J$23</definedName>
    <definedName name="sheet6.FamPlanPromoExp">'Part A - OI'!$J$36</definedName>
    <definedName name="sheet6.IntOnBorrCap">'Part A - OI'!$J$25</definedName>
    <definedName name="sheet6.LawVoilatPenalExp">'Part A - OI'!$J$46</definedName>
    <definedName name="sheet6.MarketLoss">'Part A - OI'!$J$38</definedName>
    <definedName name="sheet6.NonComp40aibChapXVIIBAmt">'Part A - OI'!$J$55</definedName>
    <definedName name="sheet6.NonComp40aiiiChapXVIIBAmt">'Part A - OI'!$J$56</definedName>
    <definedName name="sheet6.NonCompChapXVIIBAmt">'Part A - OI'!$J$53</definedName>
    <definedName name="sheet6.OffenceExp">'Part A - OI'!$J$48</definedName>
    <definedName name="sheet6.OthAmtNotAllowUs37">'Part A - OI'!$J$50</definedName>
    <definedName name="sheet6.OthDisallowances">'Part A - OI'!$J$39</definedName>
    <definedName name="sheet6.OthFundAmt">'Part A - OI'!$J$31</definedName>
    <definedName name="sheet6.OthItemInc">'Part A - OI'!$J$18</definedName>
    <definedName name="sheet6.OthPenalFineExp">'Part A - OI'!$J$47</definedName>
    <definedName name="sheet6.PensionSchemeSec80CCD">'Part A - OI'!$J$29</definedName>
    <definedName name="sheet6.PersonalExp">'Part A - OI'!$J$43</definedName>
    <definedName name="sheet6.PoliticPartyExp">'Part A - OI'!$J$45</definedName>
    <definedName name="sheet6.PrevYrEscalClaim">'Part A - OI'!$J$17</definedName>
    <definedName name="sheet6.ProformaCreditsDue">'Part A - OI'!$J$16</definedName>
    <definedName name="sheet6.RecogPFContribAmt">'Part A - OI'!$J$27</definedName>
    <definedName name="sheet6.Section28Items">'Part A - OI'!$J$15</definedName>
    <definedName name="sheet6.SecuritiesPaidAmt">'Part A - OI'!$J$37</definedName>
    <definedName name="sheet6.SpecResrvTranfr">'Part A - OI'!$J$35</definedName>
    <definedName name="sheet6.StkInsurPrem">'Part A - OI'!$J$22</definedName>
    <definedName name="sheet6.TaxAmtOnProfits">'Part A - OI'!$J$57</definedName>
    <definedName name="sheet6.TotAmtDisallUs36">'Part A - OI'!$L$40</definedName>
    <definedName name="sheet6.TotAmtDisallUs37">'Part A - OI'!$L$51</definedName>
    <definedName name="sheet6.TotNoCredToPLAmt">'Part A - OI'!$L$20</definedName>
    <definedName name="sheet6.ZeroCoupBondDisc">'Part A - OI'!$J$26</definedName>
    <definedName name="sheet7.AmountOfExpenditure14A">'Part A - OI'!$L$106</definedName>
    <definedName name="sheet7.AmtDisallUs40PyNowAll">'Part A - OI'!$L$63</definedName>
    <definedName name="sheet7.AmtGT20kCash">'Part A - OI'!$J$66</definedName>
    <definedName name="sheet7.AmtPaidUs40A2b">'Part A - OI'!$J$65</definedName>
    <definedName name="sheet7.CGST">'Part A - OI'!$J$95</definedName>
    <definedName name="sheet7.ContToEmpPFSFGF">'Part A - OI'!$J$73</definedName>
    <definedName name="sheet7.ContToEmpPFSFGF1">'Part A - OI'!$J$83</definedName>
    <definedName name="sheet7.ContToSetupTrust">'Part A - OI'!$J$68</definedName>
    <definedName name="sheet7.DeemedProfUs33AB">'Part A - OI'!$L$102</definedName>
    <definedName name="sheet7.DeemedProfUs33ABA">'Part A - OI'!$L$103</definedName>
    <definedName name="sheet7.DeemedProfUs33ABs">'Part A - OI'!$L$101</definedName>
    <definedName name="sheet7.EmpBonusComm">'Part A - OI'!$J$74</definedName>
    <definedName name="sheet7.EmpBonusComm1">'Part A - OI'!$J$84</definedName>
    <definedName name="sheet7.IGST">'Part A - OI'!$J$97</definedName>
    <definedName name="sheet7.IntPayaleToFI">'Part A - OI'!$J$75</definedName>
    <definedName name="sheet7.IntPayaleToFI1">'Part A - OI'!$J$85</definedName>
    <definedName name="sheet7.IntPayaleToFI1_11da">'Part A - OI'!$J$86</definedName>
    <definedName name="sheet7.IntPayaleToFISchBank">'Part A - OI'!$J$77</definedName>
    <definedName name="sheet7.IntPayaleToFISchBank1">'Part A - OI'!$J$87</definedName>
    <definedName name="sheet7.IntSalBonPartner">'Part A - OI'!$J$60</definedName>
    <definedName name="sheet7.LeaveEncashPayable">'Part A - OI'!$J$78</definedName>
    <definedName name="sheet7.LeaveEncashPayable1">'Part A - OI'!$J$88</definedName>
    <definedName name="sheet7.OthDisallow">'Part A - OI'!$J$61</definedName>
    <definedName name="sheet7.OthDisallow1">'Part A - OI'!$J$69</definedName>
    <definedName name="sheet7.OthDutyTaxCess">'Part A - OI'!$J$99</definedName>
    <definedName name="sheet7.PriorAmtIncCrDrPL">'Part A - OI'!$L$105</definedName>
    <definedName name="sheet7.ProfTaxAmtUs41">'Part A - OI'!$L$104</definedName>
    <definedName name="sheet7.ProvPmtGrat">'Part A - OI'!$J$67</definedName>
    <definedName name="sheet7.RailwayAssets">'Part A - OI'!$J$79</definedName>
    <definedName name="sheet7.RailwayAssetsPayable">'Part A - OI'!$J$89</definedName>
    <definedName name="sheet7.RolyatyOrServiceFee">'Part A - OI'!$J$59</definedName>
    <definedName name="sheet7.Section92CE_Flag">'Part A - OI'!$L$109</definedName>
    <definedName name="sheet7.ServiceTax">'Part A - OI'!$J$93</definedName>
    <definedName name="sheet7.SGST">'Part A - OI'!$J$96</definedName>
    <definedName name="sheet7.TaxDutyCesAmt">'Part A - OI'!$J$72</definedName>
    <definedName name="sheet7.TaxDutyCesAmt1">'Part A - OI'!$J$82</definedName>
    <definedName name="sheet7.TotAmtDisallUs40">'Part A - OI'!$L$62</definedName>
    <definedName name="sheet7.TotAmtDisallUs40A">'Part A - OI'!$L$70</definedName>
    <definedName name="sheet7.TotAmtUs43b">'Part A - OI'!$L$80</definedName>
    <definedName name="sheet7.TotAmtUs43b1">'Part A - OI'!$L$90</definedName>
    <definedName name="sheet7.TotExciseCustomsVAT">'Part A - OI'!$L$100</definedName>
    <definedName name="sheet7.UnionExciseDuty">'Part A - OI'!$J$92</definedName>
    <definedName name="sheet7.UTGST">'Part A - OI'!$J$98</definedName>
    <definedName name="sheet7.VATorSaleTax">'Part A - OI'!$J$94</definedName>
    <definedName name="sheet7.WTAmt">'Part A - OI'!$J$58</definedName>
    <definedName name="Sheet8b.AggregateIncome">'Part B - TI TTI'!$L$44</definedName>
    <definedName name="Sheet8b.AggregateIncomeNew">'Part B - TI TTI'!$O$44</definedName>
    <definedName name="Sheet8b.BalanceAfterSetoffLosses">'Part B - TI TTI'!$L$32</definedName>
    <definedName name="Sheet8b.BroughtFwdLossesSetoff">'Part B - TI TTI'!$L$33</definedName>
    <definedName name="Sheet8b.CurrentYearLoss">'Part B - TI TTI'!$L$31</definedName>
    <definedName name="Sheet8b.DeductionsUnder10Aor10AA">'Part B - TI TTI'!$L$40</definedName>
    <definedName name="Sheet8b.DeductionsUnderScheduleVIA">'Part B - TI TTI'!$L$39</definedName>
    <definedName name="Sheet8b.Deemed115JC">'Part B - TI TTI'!$L$46</definedName>
    <definedName name="Sheet8b.FromOwnRaceHorse">'Part B - TI TTI'!$J$28</definedName>
    <definedName name="Sheet8b.GrossTotalIncome">'Part B - TI TTI'!$L$34</definedName>
    <definedName name="Sheet8b.IncChargeableTaxSplRates">'Part B - TI TTI'!$L$35</definedName>
    <definedName name="Sheet8b.IncChargeTaxSplRate111A112">'Part B - TI TTI'!$L$42</definedName>
    <definedName name="sheet8b.IncomeChargeableToTaxUs111A">'Part B - TI TTI'!$E$34</definedName>
    <definedName name="Sheet8b.IncomeFromHP">'Part B - TI TTI'!$L$5</definedName>
    <definedName name="Sheet8b.LongTerm">'Part B - TI TTI'!$J$23</definedName>
    <definedName name="Sheet8b.LongTermNP">'Part B - TI TTI'!$J$21</definedName>
    <definedName name="Sheet8b.LongTermP">'Part B - TI TTI'!$J$20</definedName>
    <definedName name="Sheet8b.LossesOfCurrentYearCarriedFwd">'Part B - TI TTI'!$L$45</definedName>
    <definedName name="Sheet8b.LTCGspecialrate">'Part B - TI TTI'!$J$22</definedName>
    <definedName name="Sheet8b.NetAgricultureIncomeOrOtherIncomeForRate">'Part B - TI TTI'!$L$43</definedName>
    <definedName name="Sheet8b.OtherSrcThanOwnRaceHorse">'Part B - TI TTI'!$J$26</definedName>
    <definedName name="Sheet8b.PartBchapterVIA">'Part B - TI TTI'!$J$37</definedName>
    <definedName name="Sheet8b.PartCchapterVIA">'Part B - TI TTI'!$J$38</definedName>
    <definedName name="Sheet8b.ProfGainNoSpecBus">'Part B - TI TTI'!$J$7</definedName>
    <definedName name="Sheet8b.ProfGainSpecBus">'Part B - TI TTI'!$J$8</definedName>
    <definedName name="Sheet8b.ProfGainSpecifiedBus">'Part B - TI TTI'!$J$9</definedName>
    <definedName name="Sheet8b.Salaries">'Part B - TI TTI'!$L$4</definedName>
    <definedName name="Sheet8b.ShortTerm30">'Part B - TI TTI'!$J$15</definedName>
    <definedName name="Sheet8b.ShortTermOther">'Part B - TI TTI'!$J$16</definedName>
    <definedName name="Sheet8b.ShortTermUs111A">'Part B - TI TTI'!$J$14</definedName>
    <definedName name="Sheet8b.STCGspecialrate">'Part B - TI TTI'!$J$17</definedName>
    <definedName name="Sheet8b.TaxOnIncome115BF">'Part B - TI TTI'!$J$10</definedName>
    <definedName name="Sheet8b.TotalCapGains">'Part B - TI TTI'!$L$24</definedName>
    <definedName name="Sheet8b.TotalIncome">'Part B - TI TTI'!$L$41</definedName>
    <definedName name="Sheet8b.TotalShortTerm">'Part B - TI TTI'!$J$18</definedName>
    <definedName name="Sheet8b.TotalTI">'Part B - TI TTI'!$L$30</definedName>
    <definedName name="Sheet8b.TotIncFromOS">'Part B - TI TTI'!$L$29</definedName>
    <definedName name="Sheet8b.TotProfBusGain">'Part B - TI TTI'!$L$11</definedName>
    <definedName name="Sheet8b.WinLotteriesRacesGambling">'Part B - TI TTI'!$J$27</definedName>
    <definedName name="sheet9.AdjustedPLFrmSpecifiedBus">BP!$G$145</definedName>
    <definedName name="Sheet9.AdvanceTax">'Part B - TI TTI'!$J$96</definedName>
    <definedName name="Sheet9.AggregateTaxInterestLiability">'Part B - TI TTI'!$L$94</definedName>
    <definedName name="sheet9.AssesseeVerName">Verification!$H$4</definedName>
    <definedName name="Sheet9.BalTaxPayable">'Part B - TI TTI'!$L$62</definedName>
    <definedName name="Sheet9.BalTaxPayable1">'Part B - TI TTI'!$L$101</definedName>
    <definedName name="Sheet9.BfrSurcharge_ii">'Part B - TI TTI'!$J$66</definedName>
    <definedName name="Sheet9.Capacity">Verification!$I$6</definedName>
    <definedName name="Sheet9.CheckBox">'Part B - TI TTI'!$J$115:$J$116</definedName>
    <definedName name="sheet9.CreditUS115JD">'Part B - TI TTI'!$L$79</definedName>
    <definedName name="sheet9.Date">Verification!$L$9</definedName>
    <definedName name="sheet9.deemeds">'Part B - TI TTI'!$L$50</definedName>
    <definedName name="Sheet9.EducationCess">'Part B - TI TTI'!$L$73</definedName>
    <definedName name="sheet9.EducationCess_DI">'Part B - TI TTI'!$L$51</definedName>
    <definedName name="sheet9.FatherName">Verification!$K$4</definedName>
    <definedName name="Sheet9.GrossTaxLiability">'Part B - TI TTI'!$L$74</definedName>
    <definedName name="sheet9.GrossTaxPayable">'Part B - TI TTI'!$L$76</definedName>
    <definedName name="sheet9.GrossTaxPayable_3">'Part B - TI TTI'!$L$75</definedName>
    <definedName name="sheet9.GrossTaxPayable_3b">'Part B - TI TTI'!$L$77</definedName>
    <definedName name="sheet9.GrossTaxPayable_3c">'Part B - TI TTI'!$L$78</definedName>
    <definedName name="Sheet9.IBAN">'Part B - TI TTI'!$G$121:$G$121</definedName>
    <definedName name="Sheet9.IBANACCNO">'Part B - TI TTI'!$J$121</definedName>
    <definedName name="Sheet9.IBANBANK">'Part B - TI TTI'!$H$121:$H$121</definedName>
    <definedName name="Sheet9.IBANCOUNTRY">'Part B - TI TTI'!$I$121</definedName>
    <definedName name="Sheet9.IBANSELECT">'Part B - TI TTI'!$L$107</definedName>
    <definedName name="Sheet9.IdentificationNoOfTRP">'Part B - TI TTI'!$H$126</definedName>
    <definedName name="Sheet9.IntrstPayUs234A">'Part B - TI TTI'!$J$89</definedName>
    <definedName name="Sheet9.IntrstPayUs234B">'Part B - TI TTI'!$J$90</definedName>
    <definedName name="Sheet9.IntrstPayUs234C">'Part B - TI TTI'!$J$91</definedName>
    <definedName name="Sheet9.IntrstPayUs234F">'Part B - TI TTI'!$J$92</definedName>
    <definedName name="Sheet9.NameOfTRP">'Part B - TI TTI'!$H$127</definedName>
    <definedName name="Sheet9.NetTaxLiability">'Part B - TI TTI'!$L$87</definedName>
    <definedName name="Sheet9.NumofBankAccounts">'Part B - TI TTI'!$L$108</definedName>
    <definedName name="Sheet9.OthBankAccountNumber">'Part B - TI TTI'!$I$115:$I$116</definedName>
    <definedName name="Sheet9.OthBankName">'Part B - TI TTI'!$H$115:$H$116</definedName>
    <definedName name="Sheet9.OthCashDeposited">'Part B - TI TTI'!$J$115:$J$116</definedName>
    <definedName name="Sheet9.OthMICRCode">'Part B - TI TTI'!$G$115:$G$116</definedName>
    <definedName name="sheet9.PAN">Verification!$I$7</definedName>
    <definedName name="sheet9.RebateOnAgriInc">'Part B - TI TTI'!$J$56</definedName>
    <definedName name="Sheet9.RebateUs88E">'Part B - TI TTI'!$L$61</definedName>
    <definedName name="Sheet9.RefundDue">'Part B - TI TTI'!$L$102</definedName>
    <definedName name="Sheet9.ReImbFrmGov">'Part B - TI TTI'!$J$128</definedName>
    <definedName name="Sheet9.Section89">'Part B - TI TTI'!$J$82</definedName>
    <definedName name="Sheet9.Section89A">'Part B - TI TTI'!$J$83</definedName>
    <definedName name="Sheet9.Section89New">'Part B - TI TTI'!$O$82</definedName>
    <definedName name="Sheet9.Section90">'Part B - TI TTI'!$J$84</definedName>
    <definedName name="Sheet9.Section91">'Part B - TI TTI'!$J$85</definedName>
    <definedName name="Sheet9.SelfAssessmentTax">'Part B - TI TTI'!$J$99</definedName>
    <definedName name="Sheet9.Surcharge_i">'Part B - TI TTI'!$J$69</definedName>
    <definedName name="Sheet9.Surcharge_iBfr">'Part B - TI TTI'!$J$65</definedName>
    <definedName name="Sheet9.Surcharge_ii">'Part B - TI TTI'!$J$70</definedName>
    <definedName name="Sheet9.SurchargeOnTaxPayable">'Part B - TI TTI'!$L$72</definedName>
    <definedName name="Sheet9.TaxAtNormalRatesOnAggrInc">'Part B - TI TTI'!$J$54</definedName>
    <definedName name="sheet9.TaxAtSpecialRates">'Part B - TI TTI'!$J$55</definedName>
    <definedName name="sheet9.TaxDeemedTISec115JC">'Part B - TI TTI'!$L$49</definedName>
    <definedName name="sheet9.TaxPayableOnTotInc">'Part B - TI TTI'!$L$57</definedName>
    <definedName name="sheet9.TaxPayAfterCreditUs115JD">'Part B - TI TTI'!$L$80</definedName>
    <definedName name="Sheet9.TCS">'Part B - TI TTI'!$J$98</definedName>
    <definedName name="Sheet9.TDS">'Part B - TI TTI'!$J$97</definedName>
    <definedName name="Sheet9.TotalIntrstPay">'Part B - TI TTI'!$L$93</definedName>
    <definedName name="sheet9.TotalTax_DI">'Part B - TI TTI'!$L$52</definedName>
    <definedName name="Sheet9.TotalTaxesPaid">'Part B - TI TTI'!$L$100</definedName>
    <definedName name="Sheet9.TotTaxRelief">'Part B - TI TTI'!$L$86</definedName>
    <definedName name="SI.SecCode">'SPI - SI - IF'!$O$18:$O$92</definedName>
    <definedName name="SI.SecCode1">'SPI - SI - IF'!$AB$18:$AB$92</definedName>
    <definedName name="SI.SplRateInc">'SPI - SI - IF'!$G$18:$G$92</definedName>
    <definedName name="SI.SplRateInc1">'SPI - SI - IF'!$AD$18:$AD$92</definedName>
    <definedName name="SI.SplRateIncCalc">'SPI - SI - IF'!$H$18:$H$92</definedName>
    <definedName name="SI.SplRateIncCalc1">'SPI - SI - IF'!$AE$18:$AE$92</definedName>
    <definedName name="SI.SplRateIncTax">'SPI - SI - IF'!$I$18:$I$92</definedName>
    <definedName name="SI.SplRateIncTax1">'SPI - SI - IF'!$AF$18:$AF$92</definedName>
    <definedName name="SI.SplRatePercent">'SPI - SI - IF'!$F$18:$F$92</definedName>
    <definedName name="SI.SplRatePercent1">'SPI - SI - IF'!$AC$18:$AC$92</definedName>
    <definedName name="SI.TotSplRateChargeableTax">'SPI - SI - IF'!$H$95</definedName>
    <definedName name="SI.TotSplRateIncome">'SPI - SI - IF'!$G$95</definedName>
    <definedName name="SI.TotSplRateIncTax">'SPI - SI - IF'!$I$95</definedName>
    <definedName name="SI_111">'SPI - SI - IF'!$G$18</definedName>
    <definedName name="SI_111_taxableInc">'SPI - SI - IF'!$H$18</definedName>
    <definedName name="SI_112A_Tax">'SPI - SI - IF'!$I$23</definedName>
    <definedName name="SI_115BBC">'SPI - SI - IF'!$G$48</definedName>
    <definedName name="SI_115BBE">'SPI - SI - IF'!$I$50</definedName>
    <definedName name="SI_115Ea">'SPI - SI - IF'!$G$55</definedName>
    <definedName name="SI_PTI_115BBC">'SPI - SI - IF'!$G$79</definedName>
    <definedName name="SI_PTI_115EA">'SPI - SI - IF'!$G$92</definedName>
    <definedName name="SI_PTI115BBE">'SPI - SI - IF'!$I$81</definedName>
    <definedName name="SI_Section115AD">'SPI - SI - IF'!$I$46</definedName>
    <definedName name="Source_111_OS">OS!$AJ$51</definedName>
    <definedName name="Source_56_OS">OS!$AJ$55</definedName>
    <definedName name="Source_56i_OS">OS!$AJ$56</definedName>
    <definedName name="Source_5A1ai">OS!$AJ$50</definedName>
    <definedName name="Source_5A1aii_OS">OS!$AJ$48</definedName>
    <definedName name="Source_5A1aiia_OS">OS!$AJ$47</definedName>
    <definedName name="Source_5A1aiiaa_OS">OS!$AL$56</definedName>
    <definedName name="Source_5A1aiiaaP_OS">OS!$AL$53</definedName>
    <definedName name="Source_5A1aiiab_OS">OS!$AL$55</definedName>
    <definedName name="Source_5A1aiiac_OS">OS!$AL$50</definedName>
    <definedName name="Source_5A1aiiacP_OS">OS!$AJ$53</definedName>
    <definedName name="Source_5A1aiii_OS">OS!$AL$48</definedName>
    <definedName name="Source_5A1ba_OS">OS!$AL$47</definedName>
    <definedName name="Source_5A1bB_OS">OS!$AN$56</definedName>
    <definedName name="Source_5A1C1ab_OS">OS!$AN$55</definedName>
    <definedName name="Source_5A1C1b_OS">OS!$AN$54</definedName>
    <definedName name="Source_5ACA1a_OS">OS!$AL$51</definedName>
    <definedName name="Source_5AD1i_OS">OS!$AN$50</definedName>
    <definedName name="Source_5AD1iDiv_OS">OS!$AN$53</definedName>
    <definedName name="Source_5AD1iP_OS">OS!$AN$48</definedName>
    <definedName name="Source_5BBA_OS">OS!$AN$47</definedName>
    <definedName name="Source_5BBC_OS">OS!$AN$51</definedName>
    <definedName name="Source_5BBDA_OS">OS!$AN$52</definedName>
    <definedName name="Source_5BBF_OS">OS!$AJ$52</definedName>
    <definedName name="Source_5BBG_OS">OS!$AL$52</definedName>
    <definedName name="Source_5Ea_OS">OS!$AP$56</definedName>
    <definedName name="SPI.AadhaarofSpecPerson">'SPI - SI - IF'!$G$6:$G$11</definedName>
    <definedName name="SPI.AmtIncluded">'SPI - SI - IF'!$I$6:$I$11</definedName>
    <definedName name="SPI.NatureOfInc">'SPI - SI - IF'!$J$6:$J$11</definedName>
    <definedName name="SPI.PANofSpecPerson">'SPI - SI - IF'!$F$6:$F$11</definedName>
    <definedName name="SPI.ReltnShip">'SPI - SI - IF'!$H$6:$H$11</definedName>
    <definedName name="SPI.SpecifiedPersonName">'SPI - SI - IF'!$E$6:$E$11</definedName>
    <definedName name="SPI.Total">'SPI - SI - IF'!$I$12</definedName>
    <definedName name="splRateInc115BB">'SPI - SI - IF'!$G$25</definedName>
    <definedName name="splRateInc115BBDA">'SPI - SI - IF'!$G$49</definedName>
    <definedName name="splRateInc1A">'SPI - SI - IF'!$G$20</definedName>
    <definedName name="splRateInc21">'SPI - SI - IF'!$G$21</definedName>
    <definedName name="splRateInc22">'SPI - SI - IF'!$G$22</definedName>
    <definedName name="SRCamt">OS!$AC$54:$AC$58</definedName>
    <definedName name="State">DropDownValues!$BT$3:$BT$41</definedName>
    <definedName name="State_Code_80GGA">RA!$H$7:$H$10</definedName>
    <definedName name="State_Code_80GGANew">'80GGA'!$I$7:$I$10</definedName>
    <definedName name="State80G">DropDownValues!$BT$3:$BT$40</definedName>
    <definedName name="StatesWithoutForeign">'[2]DropDown List'!$B$2:$B$38</definedName>
    <definedName name="Status">DropDownValues!$D$3:$D$5</definedName>
    <definedName name="STCG.A.NRI">CG!$E$57:$E$74</definedName>
    <definedName name="STCG.A_AcqDate1">CG!$Q$6</definedName>
    <definedName name="STCG.A1e_CapgainonAssets">CG!$AA$29</definedName>
    <definedName name="STCG.A20ia_FullConsideration">CG!$Q$34</definedName>
    <definedName name="STCG.A20ia_FullConsideration11UAEi">CG!$Q$32</definedName>
    <definedName name="STCG.A20ib_NetWorthOfDivision">CG!$Q$35</definedName>
    <definedName name="STCG.A20ic_CapgainonAssets">CG!$S$36</definedName>
    <definedName name="STCG.A20iia_FullConsideration11UAEii">CG!$Q$33</definedName>
    <definedName name="STCG.A2ia_FullConsideration">CG!$Q$38</definedName>
    <definedName name="STCG.A2ibi_AquisitCost">CG!$Q$40</definedName>
    <definedName name="STCG.A2ibii_ImproveCost">CG!$Q$41</definedName>
    <definedName name="STCG.A2ibiii_ExpOnTrans">CG!$Q$42</definedName>
    <definedName name="STCG.A2ibiv_TotalDedn">CG!$Q$43</definedName>
    <definedName name="STCG.A2ic_BalanceCG">CG!$Q$44</definedName>
    <definedName name="STCG.A2id_LossSec94of7Or94of8">CG!$Q$45</definedName>
    <definedName name="STCG.A2ie_CapgainonAssets">CG!$S$46</definedName>
    <definedName name="STCG.A2iia_FullConsideration">CG!$Q$48</definedName>
    <definedName name="STCG.A2iibi_AquisitCost">CG!$Q$50</definedName>
    <definedName name="STCG.A2iibii_ImproveCost">CG!$Q$51</definedName>
    <definedName name="STCG.A2iibiii_ExpOnTrans">CG!$Q$52</definedName>
    <definedName name="STCG.A2iibiv_TotalDedn">CG!$Q$53</definedName>
    <definedName name="STCG.A2iic_BalanceCG">CG!$Q$54</definedName>
    <definedName name="STCG.A2iid_LossSec94of7Or94of8">CG!$Q$55</definedName>
    <definedName name="STCG.A2iie_CapgainonAssets">CG!$S$56</definedName>
    <definedName name="STCG.A3a_NRItaxSTTPaid">CG!$S$58</definedName>
    <definedName name="STCG.A3b_NRItaxSTTNotPaid">CG!$S$59</definedName>
    <definedName name="STCG.A4a_FullConsideration">CG!$Q$66</definedName>
    <definedName name="STCG.A4aia_FullConsideration">CG!$Q$62</definedName>
    <definedName name="STCG.A4aib_FullMarketvalue">CG!$Q$63</definedName>
    <definedName name="STCG.A4aic_FullConsideration50CA">CG!$Q$64</definedName>
    <definedName name="STCG.A4aii_FullConsiderationS">CG!$Q$65</definedName>
    <definedName name="STCG.A4bi_AquisitCost">CG!$Q$68</definedName>
    <definedName name="STCG.A4bii_ImproveCost">CG!$Q$69</definedName>
    <definedName name="STCG.A4biii_ExpOnTrans">CG!$Q$70</definedName>
    <definedName name="STCG.A4biv_TotalDedn">CG!$Q$71</definedName>
    <definedName name="STCG.A4c_BalanceCG">CG!$Q$72</definedName>
    <definedName name="STCG.A4d_LossSec94of7Or94of8">CG!$Q$73</definedName>
    <definedName name="STCG.A4e_CapgainonAssets">CG!$S$74</definedName>
    <definedName name="STCG.A5a_FullConsideration">CG!$Q$81</definedName>
    <definedName name="STCG.A5aia_FullConsideration">CG!$Q$77</definedName>
    <definedName name="STCG.A5aib_Fullmarketvalue">CG!$Q$78</definedName>
    <definedName name="STCG.A5aic_FullConsideration50CA">CG!$Q$79</definedName>
    <definedName name="STCG.A5aii_FullConsideration">CG!$Q$80</definedName>
    <definedName name="STCG.A5bi_AquisitCost">CG!$Q$84</definedName>
    <definedName name="STCG.A5bii_ImproveCost">CG!$Q$85</definedName>
    <definedName name="STCG.A5biii_ExpOnTrans">CG!$Q$86</definedName>
    <definedName name="STCG.A5biv_TotalDedn">CG!$Q$87</definedName>
    <definedName name="STCG.A5c_BalanceCG">CG!$Q$88</definedName>
    <definedName name="STCG.A5d_LossSec94of7Or94of8">CG!$Q$89</definedName>
    <definedName name="STCG.A5e_CapgainonAssets">CG!$S$95</definedName>
    <definedName name="STCG.A5e_ExemptionGrandTotal">CG!$Q$94</definedName>
    <definedName name="STCG.A5ei_ExemptionAmount">CG!$Q$91</definedName>
    <definedName name="STCG.A5eii_ExemptionAmount">CG!$Q$92</definedName>
    <definedName name="STCG.A5eiii_ExemptionAmount">CG!$Q$93</definedName>
    <definedName name="STCG.A6_AmountDeemedOth">CG!$Q$102</definedName>
    <definedName name="STCG.A6_AmtDeemedCGSec54">CG!$S$130</definedName>
    <definedName name="STCG.A6_StatusUnutilizedCG">CG!$P$97</definedName>
    <definedName name="STCG.A7_AmtDeemed">CG!$S$103</definedName>
    <definedName name="STCG.A7_AmtNotUsed_1">CG!$L$100:$L$100</definedName>
    <definedName name="STCG.A7_AmtUtilised_1">CG!$K$100:$K$100</definedName>
    <definedName name="STCG.A7_AsstAcquiredYer_1">CG!$J$100:$J$100</definedName>
    <definedName name="STCG.A7_DeductionSection_1">CG!$I$100:$I$100</definedName>
    <definedName name="STCG.A7_PreviousYer_1">CG!$H$100:$H$100</definedName>
    <definedName name="STCG.A7_Sl_1">CG!$G$100</definedName>
    <definedName name="STCG.A7_TotalSTCG">CG!$S$132</definedName>
    <definedName name="STCG.A7i_ExemptionAmount">CG!$Q$126</definedName>
    <definedName name="STCG.A7ii_ExemptionAmount">CG!$Q$127</definedName>
    <definedName name="STCG.A7iii_ExemptionAmount">CG!$Q$128</definedName>
    <definedName name="STCG.A7iv_ExemptionAmount">CG!$Q$129</definedName>
    <definedName name="STCG.A8_AmtI">CG!$H$112:$H$113</definedName>
    <definedName name="STCG.A8_ApplRate">CG!$P$112:$P$113</definedName>
    <definedName name="STCG.A8_CertiStatus">CG!$M$112:$M$113</definedName>
    <definedName name="STCG.A8_Country">CG!$J$112:$J$113</definedName>
    <definedName name="STCG.A8_DeemedStcgOnAssets">CG!$Q$90</definedName>
    <definedName name="STCG.A8_DTAA_Article">CG!$K$112:$K$113</definedName>
    <definedName name="STCG.A8_IA1tA6">CG!$I$112:$I$113</definedName>
    <definedName name="STCG.A8_ItemNo">CG!$K$121:$K$122</definedName>
    <definedName name="STCG.A8_PassThroughIncome">CG!$S$105</definedName>
    <definedName name="STCG.A8_PassThroughIncome_ApplicableRate">CG!$Q$109</definedName>
    <definedName name="STCG.A8_PassThroughIncome15">CG!$Q$106</definedName>
    <definedName name="STCG.A8_PassThroughIncome15Oth1A">CG!$Q$107</definedName>
    <definedName name="STCG.A8_PassThroughIncome30">CG!$Q$108</definedName>
    <definedName name="STCG.A8_RateIT">CG!$O$112:$O$113</definedName>
    <definedName name="STCG.A8_RatePTreaty">CG!$L$112:$L$113</definedName>
    <definedName name="STCG.A8_SecIT">CG!$N$112:$N$113</definedName>
    <definedName name="STCG.A8_StcgAmt">CG!$L$121:$L$122</definedName>
    <definedName name="STCG.A8_StcgDTAA">CG!$S$117</definedName>
    <definedName name="STCG.A8b_StcgDTAA">CG!$S$118</definedName>
    <definedName name="STCG.Aai_FullConsideration1">CG!$Q$8</definedName>
    <definedName name="STCG.Aai_FullConsideration2">CG!#REF!</definedName>
    <definedName name="STCG.Aaii_PropertyValuation1">CG!$Q$9</definedName>
    <definedName name="STCG.Aaii_PropertyValuation2">CG!#REF!</definedName>
    <definedName name="STCG.Aaiii_FullConsiderationFiftyC_Temp">CG!$AA$10</definedName>
    <definedName name="STCG.Aaiii_FullConsiderationFiftyC1">CG!$Q$10</definedName>
    <definedName name="STCG.Aaiii_FullConsiderationFiftyC2">CG!#REF!</definedName>
    <definedName name="STCG.AB_SaleTrfDate1">CG!$Q$7</definedName>
    <definedName name="STCG.Abi_AquisitCost1">CG!$Q$12</definedName>
    <definedName name="STCG.Abi_AquisitCost2">CG!#REF!</definedName>
    <definedName name="STCG.Abii_ImproveCost1">CG!$Q$13</definedName>
    <definedName name="STCG.Abii_ImproveCost2">CG!#REF!</definedName>
    <definedName name="STCG.Abiii_ExpOnTrans1">CG!$Q$14</definedName>
    <definedName name="STCG.Abiii_ExpOnTrans2">CG!#REF!</definedName>
    <definedName name="STCG.Abiv_TotalDedn1">CG!$Q$15</definedName>
    <definedName name="STCG.Abiv_TotalDedn2">CG!#REF!</definedName>
    <definedName name="STCG.Ac_BalanceCG1">CG!$Q$16</definedName>
    <definedName name="STCG.Ac_BalanceCG2">CG!#REF!</definedName>
    <definedName name="STCG.Ad_ExemptionGrandTotal1">CG!$Q$21</definedName>
    <definedName name="STCG.Ad_ExemptionGrandTotal2">CG!#REF!</definedName>
    <definedName name="STCG.Adi_ExemptionAmount1">CG!$Q$17</definedName>
    <definedName name="STCG.Adi_ExemptionAmount2">CG!#REF!</definedName>
    <definedName name="STCG.Adii_ExemptionAmount1">CG!$Q$18</definedName>
    <definedName name="STCG.Adii_ExemptionAmount2">CG!#REF!</definedName>
    <definedName name="STCG.Adiii_ExemptionAmount1">CG!$Q$19</definedName>
    <definedName name="STCG.Adiii_ExemptionAmount2">CG!#REF!</definedName>
    <definedName name="STCG.Adiv_ExemptionAmount1">CG!$Q$20</definedName>
    <definedName name="STCG.Adiv_ExemptionAmount2">CG!#REF!</definedName>
    <definedName name="STCG.Ae_CapgainonAssets1">CG!$S$22</definedName>
    <definedName name="STCG.Ae_CapgainonAssets2">CG!#REF!</definedName>
    <definedName name="stcg.BFAllUs35Cl4Setoff3">'CYLA - BFLA'!$I$35</definedName>
    <definedName name="stcg.BFAllUs35Cl4Setoff3a">'CYLA - BFLA'!$I$36</definedName>
    <definedName name="stcg.BFAllUs35Cl4Setoff3b">'CYLA - BFLA'!$I$37</definedName>
    <definedName name="stcg.BFAllUs35Cl4Setoff3b_DTAARates">'CYLA - BFLA'!$I$38</definedName>
    <definedName name="stcg.BFlossPrevYrUndSameHeadSetoff3">'CYLA - BFLA'!$G$35</definedName>
    <definedName name="stcg.BFlossPrevYrUndSameHeadSetoff3a">'CYLA - BFLA'!$G$36</definedName>
    <definedName name="stcg.BFlossPrevYrUndSameHeadSetoff3b">'CYLA - BFLA'!$G$37</definedName>
    <definedName name="stcg.BFlossPrevYrUndSameHeadSetoff3b_DTAARates">'CYLA - BFLA'!$G$38</definedName>
    <definedName name="stcg.BFUnabsorbedDeprSetoff3">'CYLA - BFLA'!$H$35</definedName>
    <definedName name="stcg.BFUnabsorbedDeprSetoff3a">'CYLA - BFLA'!$H$36</definedName>
    <definedName name="stcg.BFUnabsorbedDeprSetoff3b">'CYLA - BFLA'!$H$37</definedName>
    <definedName name="stcg.BFUnabsorbedDeprSetoff3b_DTAARates">'CYLA - BFLA'!$H$38</definedName>
    <definedName name="stcg.BusLossSetoff_DTAARates">'CYLA - BFLA'!$H$16</definedName>
    <definedName name="stcg.BusLossSetoff1">'CYLA - BFLA'!$H$13</definedName>
    <definedName name="stcg.BusLossSetoff1a">'CYLA - BFLA'!$H$14</definedName>
    <definedName name="stcg.BusLossSetoff1b">'CYLA - BFLA'!$H$15</definedName>
    <definedName name="STCG.DTAA">CG!$E$119:$E$124</definedName>
    <definedName name="stcg.HPlossCurYrSetoff_DTAARates">'CYLA - BFLA'!$G$16</definedName>
    <definedName name="stcg.HPlossCurYrSetoff1">'CYLA - BFLA'!$G$13</definedName>
    <definedName name="stcg.HPlossCurYrSetoff1a">'CYLA - BFLA'!$G$14</definedName>
    <definedName name="stcg.HPlossCurYrSetoff1b">'CYLA - BFLA'!$G$15</definedName>
    <definedName name="stcg.IncOfCurYrAfterSetOff_DTAARates">'CYLA - BFLA'!$J$16</definedName>
    <definedName name="stcg.IncOfCurYrAfterSetOff1">'CYLA - BFLA'!$J$13</definedName>
    <definedName name="stcg.IncOfCurYrAfterSetOff1a">'CYLA - BFLA'!$J$14</definedName>
    <definedName name="stcg.IncOfCurYrAfterSetOff1b">'CYLA - BFLA'!$J$15</definedName>
    <definedName name="stcg.IncOfCurYrAfterSetOffBFLosses3">'CYLA - BFLA'!$J$35</definedName>
    <definedName name="stcg.IncOfCurYrAfterSetOffBFLosses3a">'CYLA - BFLA'!$J$36</definedName>
    <definedName name="stcg.IncOfCurYrAfterSetOffBFLosses3b">'CYLA - BFLA'!$J$37</definedName>
    <definedName name="stcg.IncOfCurYrAfterSetOffBFLosses3b_DTAARates">'CYLA - BFLA'!$J$38</definedName>
    <definedName name="stcg.IncOfCurYrUnderThatHead_DTAARates">'CYLA - BFLA'!$F$16</definedName>
    <definedName name="stcg.IncOfCurYrUnderThatHead1">'CYLA - BFLA'!$F$13</definedName>
    <definedName name="stcg.IncOfCurYrUnderThatHead1a">'CYLA - BFLA'!$F$14</definedName>
    <definedName name="stcg.IncOfCurYrUnderThatHead1b">'CYLA - BFLA'!$F$15</definedName>
    <definedName name="stcg.IncOfCurYrUndHeadFromCYLA3">'CYLA - BFLA'!$F$35</definedName>
    <definedName name="stcg.IncOfCurYrUndHeadFromCYLA3a">'CYLA - BFLA'!$F$36</definedName>
    <definedName name="stcg.IncOfCurYrUndHeadFromCYLA3b">'CYLA - BFLA'!$F$37</definedName>
    <definedName name="stcg.IncOfCurYrUndHeadFromCYLA3b_DTAARates">'CYLA - BFLA'!$F$38</definedName>
    <definedName name="STCG.LastCell">CG!$E$29</definedName>
    <definedName name="stcg.OthSrcLossNoRaceHorseSetoff_DTAARates">'CYLA - BFLA'!$I$16</definedName>
    <definedName name="stcg.OthSrcLossNoRaceHorseSetoff1">'CYLA - BFLA'!$I$13</definedName>
    <definedName name="stcg.OthSrcLossNoRaceHorseSetoff1a">'CYLA - BFLA'!$I$14</definedName>
    <definedName name="stcg.OthSrcLossNoRaceHorseSetoff1b">'CYLA - BFLA'!$I$15</definedName>
    <definedName name="STCG_A7_AsstAcquiredYer_2">CG!$G$39</definedName>
    <definedName name="STCG_Dropdown">DropDownValues!$BI$3:$BI$15</definedName>
    <definedName name="STCG_Dropdown2">DropDownValues!$BJ$3:$BJ$12</definedName>
    <definedName name="STCG_DTAA_A1e">CG!$AE$112</definedName>
    <definedName name="STCG_DTAA_A2c">CG!$AG$112</definedName>
    <definedName name="STCG_DTAA_A3ie">CG!$AI$112</definedName>
    <definedName name="STCG_DTAA_A3iie">CG!$AK$112</definedName>
    <definedName name="STCG_DTAA_A4a">CG!$AE$113</definedName>
    <definedName name="STCG_DTAA_A4b">CG!$AG$113</definedName>
    <definedName name="STCG_DTAA_A4e">CG!$AI$113</definedName>
    <definedName name="STCG_DTAA_A5e">CG!$AK$113</definedName>
    <definedName name="Stcg_DTAA_A6f">CG!$AO$113</definedName>
    <definedName name="STCG_DTAA_A6g">CG!$AE$112</definedName>
    <definedName name="STCG_DTAA_A7">CG!$AM$113</definedName>
    <definedName name="STCG_DTAA_A8">CG!#REF!</definedName>
    <definedName name="STCG_DTAA_A8a">CG!$AM$112</definedName>
    <definedName name="STCG_DTAA_A8b">CG!$AO$112</definedName>
    <definedName name="STCG_DTAA_A8c">CG!$AQ$112</definedName>
    <definedName name="STCG_SectionCodes">CG!$AB$8:$AB$17</definedName>
    <definedName name="STCG_SectionValues">CG!$AC$8:$AC$17</definedName>
    <definedName name="STCG_SLNo1">CG!$E$5</definedName>
    <definedName name="STCG_SLNo2">CG!#REF!</definedName>
    <definedName name="stcg111aincome.bp">'CYLA - BFLA'!$AE$24</definedName>
    <definedName name="stcg30income.bp">'CYLA - BFLA'!$AE$28</definedName>
    <definedName name="stcgloss.bf">'CYLA - BFLA'!$AH$24</definedName>
    <definedName name="stcgoththan111aincome.bp">'CYLA - BFLA'!$AE$25</definedName>
    <definedName name="STCGtOT">CG!$AS$112</definedName>
    <definedName name="stcla0">'CYLA - BFLA'!$AH$40</definedName>
    <definedName name="stcla1">'CYLA - BFLA'!$AH$42</definedName>
    <definedName name="stcla2">'CYLA - BFLA'!$AH$47</definedName>
    <definedName name="SumBB">OS!$AL$70</definedName>
    <definedName name="SumBBDA">OS!$AL$71</definedName>
    <definedName name="SumBBE">OS!$AL$72</definedName>
    <definedName name="SumBBF">OS!$AL$73</definedName>
    <definedName name="SumBBG">OS!$AL$75</definedName>
    <definedName name="surcharge">'Tax Calculated'!$B$62</definedName>
    <definedName name="Surcharge_i">'Tax Calculated'!$G$300</definedName>
    <definedName name="Surcharge_ii">'Tax Calculated'!$G$301</definedName>
    <definedName name="Surcharge_IncomeEH">'Tax Calculated'!$Q$285</definedName>
    <definedName name="Surcharge_IncomeEH2">'Tax Calculated'!$Q$284</definedName>
    <definedName name="Surcharge_Rate">'Tax Calculated'!$Q$281</definedName>
    <definedName name="Surcharge_RateEH">'Tax Calculated'!$Q$283</definedName>
    <definedName name="surchargeOnAboveCrore_temp">'Part B - TI TTI'!$V$79</definedName>
    <definedName name="SurchargeTTI">'Tax Calculated'!$B$249</definedName>
    <definedName name="SurchargeUsed44AD">'Tax Calculated'!$B$114</definedName>
    <definedName name="systemDate">'Tax Calculated'!$B$10</definedName>
    <definedName name="TANCode">DropDownValues!$CU$3:$CU$39</definedName>
    <definedName name="TanCodeSalary">DropDownValues!$DE$2:$DE$51</definedName>
    <definedName name="taxableInc115BB">'SPI - SI - IF'!$H$25</definedName>
    <definedName name="taxableInc115BBDA">'SPI - SI - IF'!$H$49</definedName>
    <definedName name="taxableInc1A">'SPI - SI - IF'!$H$20</definedName>
    <definedName name="taxableInc21">'SPI - SI - IF'!$H$21</definedName>
    <definedName name="taxableInc22">'SPI - SI - IF'!$H$22</definedName>
    <definedName name="taxableInc5AD1iDiv">'SPI - SI - IF'!$H$88</definedName>
    <definedName name="TaxableIncome">Sheet1!$D$8</definedName>
    <definedName name="taxableIncPTI5AD1iDiv">'SPI - SI - IF'!$H$89</definedName>
    <definedName name="taxAggrIncm">'Tax Calculated'!$B$30</definedName>
    <definedName name="TaxAtNormalRate">'Tax Calculated'!$Q$282</definedName>
    <definedName name="taxAtSpecialRates_2g">'Part B - TI TTI'!$S$94</definedName>
    <definedName name="TaxLiability">'Tax Calculated'!$B$70</definedName>
    <definedName name="taxOnCutOffInc">'Part B - TI TTI'!$S$52</definedName>
    <definedName name="taxOnTotInc">'Part B - TI TTI'!$S$51</definedName>
    <definedName name="taxPayable_2g">'Part B - TI TTI'!$S$86</definedName>
    <definedName name="taxPayerStatus">'Tax Calculated'!$B$20</definedName>
    <definedName name="TCS">Sheet1!$I$4</definedName>
    <definedName name="TCS.AmtCarriedFwd">TDS!$K$53:$K$57</definedName>
    <definedName name="TCS.AmtTCSClaimedThisYear">TDS!$J$53:$J$57</definedName>
    <definedName name="TCS.BroughtFwdTDSAmt">TDS!$H$53:$H$57</definedName>
    <definedName name="TCS.DeductedYear">TDS!$G$53:$G$57</definedName>
    <definedName name="TCS.EmployerOrDeductorOrCollecterName">TDS!$F$53:$F$57</definedName>
    <definedName name="TCS.Sum">TDS!$J$59</definedName>
    <definedName name="TCS.TAN">TDS!$E$53:$E$57</definedName>
    <definedName name="TCS.TotalTCS">TDS!$I$53:$I$57</definedName>
    <definedName name="TD.OthDE">'Trading Account'!$K$41</definedName>
    <definedName name="TDS">Sheet1!$I$3</definedName>
    <definedName name="TDS.IncSum">'Schedule S'!$L$8</definedName>
    <definedName name="TDS1.EmployerOrDeductorOrCollecterName">TDS!$F$8:$F$11</definedName>
    <definedName name="TDS1.IncChrgSal">TDS!$G$8:$G$11</definedName>
    <definedName name="TDS1.IncSum">TDS!$G$13</definedName>
    <definedName name="TDS1.Sum">TDS!$H$13</definedName>
    <definedName name="TDS1.TAN">TDS!$E$8:$E$11</definedName>
    <definedName name="TDS1.TotalTDSSal">TDS!$H$8:$H$11</definedName>
    <definedName name="TDS2.AmtCarriedForward">TDS!$U$23:$U$27</definedName>
    <definedName name="TDS2.BroughtFwdTDSAmt">TDS!$J$23:$J$27</definedName>
    <definedName name="TDS2.ClaimedIncome5A">TDS!$O$23:$O$27</definedName>
    <definedName name="TDS2.ClaimedInOwnHands">TDS!$N$23:$N$27</definedName>
    <definedName name="TDS2.ClaimedPAN5A">TDS!$Q$23:$Q$27</definedName>
    <definedName name="TDS2.ClaimedTDS5A">TDS!$P$23:$P$27</definedName>
    <definedName name="TDS2.DeductedIncome5A">TDS!$L$23:$L$27</definedName>
    <definedName name="TDS2.DeductedInOwnHands">TDS!$K$23:$K$27</definedName>
    <definedName name="TDS2.DeductedTDS5A">TDS!$M$23:$M$27</definedName>
    <definedName name="TDS2.DeductedYear">TDS!$I$23:$I$27</definedName>
    <definedName name="Tds2.EntryCheck">TDS!$Z$23</definedName>
    <definedName name="TDS2.GrossAmount">TDS!$S$23:$S$27</definedName>
    <definedName name="TDS2.HeadOfIncome">TDS!$T$23:$T$27</definedName>
    <definedName name="TDS2.PanOtherPerson">TDS!$F$23:$F$27</definedName>
    <definedName name="TDS2.TAN">TDS!$H$23:$H$27</definedName>
    <definedName name="TDS2.TDSCreditName">TDS!$E$23:$E$27</definedName>
    <definedName name="TDS2.Total">TDS!$N$29</definedName>
    <definedName name="TDS3.Aadhaar">TDS!$I$39:$I$42</definedName>
    <definedName name="TDS3.AmtCarriedForward">TDS!$V$39:$V$42</definedName>
    <definedName name="TDS3.BroughtFwdTDSAmt">TDS!$K$39:$K$42</definedName>
    <definedName name="TDS3.ClaimedIncome5A">TDS!$P$39:$P$42</definedName>
    <definedName name="TDS3.ClaimedInOwnHands">TDS!$O$39:$O$42</definedName>
    <definedName name="TDS3.ClaimedPAN5A">TDS!$R$39:$R$42</definedName>
    <definedName name="TDS3.ClaimedTDS5A">TDS!$Q$39:$Q$42</definedName>
    <definedName name="TDS3.DeductedIncome5A">TDS!$M$39:$M$42</definedName>
    <definedName name="TDS3.DeductedInOwnHands">TDS!$L$39:$L$42</definedName>
    <definedName name="TDS3.DeductedTDS5A">TDS!$N$39:$N$42</definedName>
    <definedName name="TDS3.DeductedYear">TDS!$J$39:$J$42</definedName>
    <definedName name="Tds3.EntryCheck">TDS!$Z$39</definedName>
    <definedName name="TDS3.GrossAmount">TDS!$T$39:$T$42</definedName>
    <definedName name="TDS3.HeadOfIncome">TDS!$U$39:$U$42</definedName>
    <definedName name="TDS3.PAN">TDS!$H$39:$H$42</definedName>
    <definedName name="TDS3.PanOtherPerson">TDS!$F$39:$F$42</definedName>
    <definedName name="TDS3.TDSCreditName">TDS!$E$39:$E$42</definedName>
    <definedName name="TDS3.Total">TDS!$O$44</definedName>
    <definedName name="TDSAadharOfOther_TDS2">TDS!$G$23:$G$27</definedName>
    <definedName name="Temp_111A">'Tax Calculated'!$P$294</definedName>
    <definedName name="Temp_111A_112A">'Tax Calculated'!$P$296</definedName>
    <definedName name="Temp_111A_Number">'Tax Calculated'!$U$293</definedName>
    <definedName name="Temp_112A">'Tax Calculated'!$P$295</definedName>
    <definedName name="Temp_Allowance">'Schedule S'!$R$65</definedName>
    <definedName name="Temp_CG">'VI-A'!$AG$2</definedName>
    <definedName name="Temp_DA_BS">'VI-A'!$AG$8</definedName>
    <definedName name="Temp_HRA">'VI-A'!$AG$10</definedName>
    <definedName name="Temp_HRA_Sec13A">'VI-A'!$AG$13</definedName>
    <definedName name="Temp_Inc89A">'VI-A'!$AG$18</definedName>
    <definedName name="Temp_Inc89AOth">'VI-A'!$AG$19</definedName>
    <definedName name="Temp_IncomeFromLottery">OS!$T$98</definedName>
    <definedName name="Temp_lakhcheck">'Tax Calculated'!$B$16</definedName>
    <definedName name="Temp_Null">'VI-A'!$AG$7</definedName>
    <definedName name="Temp_Null_1">'VI-A'!$AH$7</definedName>
    <definedName name="Temp_OTH">'VI-A'!$AG$6</definedName>
    <definedName name="Temp_OthersPAN_NotAvailable">'Profit and Loss'!$T$114</definedName>
    <definedName name="temp_Otherthan112A">'Tax Calculated'!$P$297</definedName>
    <definedName name="Temp_Pensioner">'VI-A'!$AG$5</definedName>
    <definedName name="Temp_PSU">'VI-A'!$AG$4</definedName>
    <definedName name="Temp_PTI_112A">'Tax Calculated'!$P$293</definedName>
    <definedName name="Temp_RadioButton">'PART A - General'!$BB$20</definedName>
    <definedName name="Temp_Salary_171">'VI-A'!$AG$17</definedName>
    <definedName name="Temp_SG">'VI-A'!$AG$3</definedName>
    <definedName name="temp100">'DPM - DOA'!$Z$11</definedName>
    <definedName name="temp10Sec1121c2">'Temporary Values'!$B$9</definedName>
    <definedName name="temp10Sec112A">'Temporary Values'!$B$13</definedName>
    <definedName name="temp10Sec115AC1">'Temporary Values'!$B$10</definedName>
    <definedName name="temp10Sec115ACA1">'Temporary Values'!$B$7</definedName>
    <definedName name="temp10Sec115AD3">'Temporary Values'!$B$11</definedName>
    <definedName name="temp10Sec115AD3_Proviso">'Temporary Values'!$B$12</definedName>
    <definedName name="temp10Sec115Eb">'Temporary Values'!$B$8</definedName>
    <definedName name="temp10SecPro">'Temporary Values'!$B$6</definedName>
    <definedName name="temp111A_exmp">'SPI - SI - IF'!$U$33</definedName>
    <definedName name="temp112_exmp">'SPI - SI - IF'!$U$32</definedName>
    <definedName name="temp112A_exmp">'SPI - SI - IF'!$U$35</definedName>
    <definedName name="temp112pro_exmp">'SPI - SI - IF'!$U$34</definedName>
    <definedName name="temp115AD30">'Temporary Values'!$B$20</definedName>
    <definedName name="temp15">'DPM - DOA'!$T$11</definedName>
    <definedName name="temp15Sec111a">'Temporary Values'!$B$4</definedName>
    <definedName name="temp15Sec115ad1bii">'Temporary Values'!$B$5</definedName>
    <definedName name="temp20Sec112">'Temporary Values'!$B$2</definedName>
    <definedName name="temp20Sec11EA">'Temporary Values'!$B$3</definedName>
    <definedName name="temp30">'DPM - DOA'!$U$11</definedName>
    <definedName name="temp40">'DPM - DOA'!$V$11</definedName>
    <definedName name="temp50">'DPM - DOA'!$W$11</definedName>
    <definedName name="temp60">'DPM - DOA'!$X$11</definedName>
    <definedName name="temp80">'DPM - DOA'!$Y$11</definedName>
    <definedName name="TEMP80CCD1">'VI-A'!$O$8</definedName>
    <definedName name="TempAfterSpecifiedSetoff">BP!$P$158</definedName>
    <definedName name="TempAfterSpecSetoff">BP!$P$157</definedName>
    <definedName name="tempAR">'Temporary Values'!$B$21</definedName>
    <definedName name="tempBBDA">OS!$T$99</definedName>
    <definedName name="TempBussLoss">BP!$P$156</definedName>
    <definedName name="Tempgross">'Schedule S'!$H$62</definedName>
    <definedName name="Tempgross1">'Schedule S'!$J$62</definedName>
    <definedName name="TempK">'Tax Calculated'!$F$2</definedName>
    <definedName name="tempPTI10">'Temporary Values'!$B$14</definedName>
    <definedName name="tempPTI10_112">'Temporary Values'!$B$15</definedName>
    <definedName name="tempPTI112A_exmp">'SPI - SI - IF'!$U$36</definedName>
    <definedName name="tempPTI15">'Temporary Values'!$B$16</definedName>
    <definedName name="tempPTI15_exmp">'SPI - SI - IF'!$U$38</definedName>
    <definedName name="tempPTI20">'Temporary Values'!$B$17</definedName>
    <definedName name="tempPTI30">'Temporary Values'!$B$18</definedName>
    <definedName name="tempPTIAR">'Temporary Values'!$B$19</definedName>
    <definedName name="tempSurcharge">'Part B - TI TTI'!$S$55</definedName>
    <definedName name="tempxml">'Part B - TI TTI'!$R$115:$R$116</definedName>
    <definedName name="TN.Flag">IT!$T$5</definedName>
    <definedName name="TodayDate">'Tax Calculated'!$D$2</definedName>
    <definedName name="Tot_Inc">'VI-A'!$W$11</definedName>
    <definedName name="Tot_Inc_Without_80GG">'VI-A'!$W$31</definedName>
    <definedName name="Total_234Cii">'Tax Calculated'!$H$263</definedName>
    <definedName name="Total_Balance_112A">'Schedule 112A'!$T$11</definedName>
    <definedName name="Total_Balance_115AD">'Schedule 115AD(1)(iii) proviso'!$T$11</definedName>
    <definedName name="Total_COAwithIndex_112A">'Schedule 112A'!$L$11</definedName>
    <definedName name="Total_COAwithIndex_115AD">'Schedule 115AD(1)(iii) proviso'!$L$11</definedName>
    <definedName name="Total_COAwithoutIndex_112A">'Schedule 112A'!$K$11</definedName>
    <definedName name="Total_COAwithoutIndex_115AD">'Schedule 115AD(1)(iii) proviso'!$K$11</definedName>
    <definedName name="Total_CostofImprovement_112A">'Schedule 112A'!$Q$11</definedName>
    <definedName name="Total_CostofImprovement_115AD">'Schedule 115AD(1)(iii) proviso'!$Q$11</definedName>
    <definedName name="Total_Donation_Cash_80GGA">RA!$K$12</definedName>
    <definedName name="Total_Donation_Cash_80GGANew">'80GGA'!$L$12</definedName>
    <definedName name="Total_Donation_Eligible_80GGA">RA!$N$12</definedName>
    <definedName name="Total_Donation_Eligible_80GGANew">'80GGA'!$O$12</definedName>
    <definedName name="Total_Donation_OtherMode_80GGA">RA!$L$12</definedName>
    <definedName name="Total_Donation_OtherMode_80GGANew">'80GGA'!$M$12</definedName>
    <definedName name="Total_Donation_Total_80GGA">RA!$M$12</definedName>
    <definedName name="Total_Donation_Total_80GGANew">'80GGA'!$N$12</definedName>
    <definedName name="Total_ExpenditureWholly_112A">'Schedule 112A'!$R$11</definedName>
    <definedName name="Total_ExpenditureWholly_115AD">'Schedule 115AD(1)(iii) proviso'!$R$11</definedName>
    <definedName name="Total_FullValueConsideration_112A">'Schedule 112A'!$P$11</definedName>
    <definedName name="Total_FullValueConsideration_115AD">'Schedule 115AD(1)(iii) proviso'!$P$11</definedName>
    <definedName name="TOTAL_INCOME">'[5]Income Details'!$AW$43</definedName>
    <definedName name="Total_LTCGAssetAcquired_112A">'Schedule 112A'!$M$11</definedName>
    <definedName name="Total_LTCGAssetAcquired_115AD">'Schedule 115AD(1)(iii) proviso'!$M$11</definedName>
    <definedName name="Total_TotalDeductions_112A">'Schedule 112A'!$S$11</definedName>
    <definedName name="Total_TotalDeductions_115AD">'Schedule 115AD(1)(iii) proviso'!$S$11</definedName>
    <definedName name="Total_TotalFairMarketValue_112A">'Schedule 112A'!$O$11</definedName>
    <definedName name="Total_TotalFairMarketValue_115AD">'Schedule 115AD(1)(iii) proviso'!$O$11</definedName>
    <definedName name="Total_TotalSaleValue_112A">'Schedule 112A'!$J$11</definedName>
    <definedName name="Total_TotalSaleValue_115AD">'Schedule 115AD(1)(iii) proviso'!$J$11</definedName>
    <definedName name="total1ai">DropDownValues!$DD$3</definedName>
    <definedName name="Total562TaxDTAA">OS!$T$96</definedName>
    <definedName name="TotalDeductions_112A">'Schedule 112A'!$S$6:$S$9</definedName>
    <definedName name="TotalDeductions_115AD">'Schedule 115AD(1)(iii) proviso'!$S$6:$S$9</definedName>
    <definedName name="TotalFairMarketValue_112A">'Schedule 112A'!$O$6:$O$9</definedName>
    <definedName name="TotalFairMarketValue_115AD">'Schedule 115AD(1)(iii) proviso'!$O$6:$O$9</definedName>
    <definedName name="totalIncm">'Tax Calculated'!$B$23</definedName>
    <definedName name="totalIncome_2g">'Part B - TI TTI'!$S$89</definedName>
    <definedName name="TotalPassThroughIncomeDTAA">OS!$T$95</definedName>
    <definedName name="TotalPendingIncome">'80G'!$R$5</definedName>
    <definedName name="TotalSaleValue_112A">'Schedule 112A'!$J$6:$J$9</definedName>
    <definedName name="TotalSaleValue_115AD">'Schedule 115AD(1)(iii) proviso'!$J$6:$J$9</definedName>
    <definedName name="TotalSITax">'Tax Calculated'!$B$220</definedName>
    <definedName name="totcfloss.BusLossOthThanSpecLossCF11">CFL!$L$21</definedName>
    <definedName name="totcfloss.HPLossCF11">CFL!$G$21</definedName>
    <definedName name="totcfloss.LossFrmSpecBusCF11">CFL!$M$21</definedName>
    <definedName name="totcfloss.LossFrmSpecifiedBusCF11">CFL!$N$21</definedName>
    <definedName name="totcfloss.LTCGLossCF11">CFL!$R$21</definedName>
    <definedName name="totcfloss.OthSrcLossRaceHorseCF11">CFL!$U$21</definedName>
    <definedName name="totcfloss.STCGLossCF11">CFL!$O$21</definedName>
    <definedName name="totInc__14_of_TI_2g">'Part B - TI TTI'!$S$87</definedName>
    <definedName name="totInc_temp">'VI-A'!$AA$43</definedName>
    <definedName name="totLTCGsetoffRemaining">'CYLA - BFLA'!$AJ$33</definedName>
    <definedName name="totofbfloss.BusLossOthThanSpecLossCF8">CFL!$L$18</definedName>
    <definedName name="totofbfloss.HPLossCF8">CFL!$G$18</definedName>
    <definedName name="totofbfloss.LossFrmSpecBusCF8">CFL!$M$18</definedName>
    <definedName name="totofbfloss.LossFrmSpecifiedBusCF8">CFL!$N$18</definedName>
    <definedName name="totofbfloss.LTCGLossCF8">CFL!$R$18</definedName>
    <definedName name="totofbfloss.OthSrcLossRaceHorseCF8">CFL!$U$18</definedName>
    <definedName name="totofbfloss.STCGLossCF8">CFL!$O$18</definedName>
    <definedName name="TPSA.Amount">TPSA!$E$6:$E$7</definedName>
    <definedName name="TPSA_92CE_Amount">TPSA!$P$4</definedName>
    <definedName name="TPSA_Additional_Income">TPSA!$P$8</definedName>
    <definedName name="TPSA_AddtionalTax_Total">TPSA!$P$11</definedName>
    <definedName name="TPSA_Education_Cess">TPSA!$P$10</definedName>
    <definedName name="TPSA_Nettax">TPSA!$P$13</definedName>
    <definedName name="TPSA_Surcharge">TPSA!$P$9</definedName>
    <definedName name="TPSA_Taxpaid">TPSA!$P$12</definedName>
    <definedName name="TPSC_Amount_Deposited">TPSA!$H$19</definedName>
    <definedName name="TPSC_Amt">TPSA!$H$17:$H$18</definedName>
    <definedName name="TPSC_BankName">TPSA!$E$17:$E$18</definedName>
    <definedName name="TPSC_BSRCode">TPSA!$D$17:$D$18</definedName>
    <definedName name="TPSC_DateDep">TPSA!$F$17:$F$18</definedName>
    <definedName name="TPSC_SrlNoOfChaln">TPSA!$G$17:$G$18</definedName>
    <definedName name="TR_AmtTaxRefunded">TR_FA!$F$16</definedName>
    <definedName name="TR_AssmtYrTaxRelief">TR_FA!$J$16</definedName>
    <definedName name="TR_Country">TR_FA!$E$7:$E$10</definedName>
    <definedName name="TR_ReliefClaimedUsSection">TR_FA!$I$7:$I$10</definedName>
    <definedName name="TR_SrNo">TR_FA!$D$7:$D$10</definedName>
    <definedName name="TR_TaxPaidOutsideIndFlg">TR_FA!$J$15</definedName>
    <definedName name="TR_TaxPaidOutsideIndia">TR_FA!$G$7:$G$10</definedName>
    <definedName name="TR_TaxPaidOutsideIndiaNotDTAA">TR_FA!#REF!</definedName>
    <definedName name="TR_TaxReliefOutsideIndia">TR_FA!$H$7:$H$10</definedName>
    <definedName name="TR_TaxReliefOutsideIndiaDTAA">TR_FA!$J$13</definedName>
    <definedName name="TR_TaxReliefOutsideIndiaNotDTAA">TR_FA!$J$14</definedName>
    <definedName name="TR_TIN">TR_FA!$F$7:$F$10</definedName>
    <definedName name="TR_TotalTaxPaidOutsideIndia">TR_FA!$G$11</definedName>
    <definedName name="TR_TotalTaxReliefOutsideIndia">TR_FA!$H$11</definedName>
    <definedName name="TradingAcc_AnyOtherDuty">'Trading Account'!$K$25</definedName>
    <definedName name="TradingAcc_Button1">'Trading Account'!$F$12</definedName>
    <definedName name="TradingAcc_Button2">'Trading Account'!$F$39</definedName>
    <definedName name="TradingAcc_CarriageInward">'Trading Account'!$K$33</definedName>
    <definedName name="TradingAcc_CGST">'Trading Account'!$K$21</definedName>
    <definedName name="TradingAcc_ClosingStockOfFinishedStocks">'Trading Account'!$N$28</definedName>
    <definedName name="TradingAcc_CostOfGoods">'Trading Account'!$N$55</definedName>
    <definedName name="TradingAcc_CounterVeilingDuty">'Trading Account'!$K$44</definedName>
    <definedName name="TradingAcc_CustomDuty">'Trading Account'!$K$43</definedName>
    <definedName name="TradingAcc_DutiesAnyOtherTax">'Trading Account'!$K$53</definedName>
    <definedName name="TradingAcc_DutiesCGST">'Trading Account'!$K$49</definedName>
    <definedName name="TradingAcc_DutiesIGST">'Trading Account'!$K$51</definedName>
    <definedName name="TradingAcc_DutiesServiceTax">'Trading Account'!$K$47</definedName>
    <definedName name="TradingAcc_DutiesSGST">'Trading Account'!$K$50</definedName>
    <definedName name="TradingAcc_DutiesUTGST">'Trading Account'!$K$52</definedName>
    <definedName name="TradingAcc_DutiesVatOrSalesTax">'Trading Account'!$K$48</definedName>
    <definedName name="TradingAcc_GrossProfitOrLoss">'Trading Account'!$N$56</definedName>
    <definedName name="TradingAcc_GrossRecieptsFromProfession">'Trading Account'!$N$16</definedName>
    <definedName name="TradingAcc_IGST">'Trading Account'!$K$23</definedName>
    <definedName name="TradingAcc_NatureOfDirectExpenses">'Trading Account'!$G$37:$G$38</definedName>
    <definedName name="TradingAcc_OpeningStockOfFinishedGoods">'Trading Account'!$N$30</definedName>
    <definedName name="TradingAcc_OtherDirectAmount">'Trading Account'!$H$37:$H$38</definedName>
    <definedName name="TradingAcc_PowerAndFuel">'Trading Account'!$K$34</definedName>
    <definedName name="TradingAcc_Purchases">'Trading Account'!$N$31</definedName>
    <definedName name="TradingAcc_RevenueAmount">'Trading Account'!$H$10:$H$11</definedName>
    <definedName name="TradingAcc_RevenueNature">'Trading Account'!$G$10:$G$11</definedName>
    <definedName name="TradingAcc_RevenueTotal">'Trading Account'!$K$14</definedName>
    <definedName name="TradingAcc_SalesOfGoods">'Trading Account'!$K$6</definedName>
    <definedName name="TradingAcc_SalesOfServices">'Trading Account'!$K$7</definedName>
    <definedName name="TradingAcc_ServiceTax">'Trading Account'!$K$19</definedName>
    <definedName name="TradingAcc_SGST">'Trading Account'!$K$22</definedName>
    <definedName name="TradingAcc_SpecialAdditionalDuty">'Trading Account'!$K$45</definedName>
    <definedName name="TradingAcc_TotalDirectExpenses">'Trading Account'!$N$32</definedName>
    <definedName name="TradingAcc_TotalDuties">'Trading Account'!$N$54</definedName>
    <definedName name="TradingAcc_TotalDutiesTaxesCess">'Trading Account'!$N$26</definedName>
    <definedName name="TradingAcc_TotalOfCreditsToTradingAccount">'Trading Account'!$N$29</definedName>
    <definedName name="TradingAcc_TotalOfSalesOrGross">'Trading Account'!$N$15</definedName>
    <definedName name="TradingAcc_TotalRevenueFromOperations">'Trading Account'!$N$27</definedName>
    <definedName name="TradingAcc_UnionExciseDuties">'Trading Account'!$K$18</definedName>
    <definedName name="TradingAcc_UnionExciseDuty">'Trading Account'!$K$46</definedName>
    <definedName name="TradingAcc_UTGST">'Trading Account'!$K$24</definedName>
    <definedName name="TradingAcc_VatOrSalesTax">'Trading Account'!$K$20</definedName>
    <definedName name="trasactionAct">DropDownValues!$J$3:$J$5</definedName>
    <definedName name="UD.115BAC">'Unabsorbed Depreciation'!$F$8:$F$16</definedName>
    <definedName name="UD.AssessmentYear">'Unabsorbed Depreciation'!$D$8:$D$16</definedName>
    <definedName name="UD.Balance">'Unabsorbed Depreciation'!$H$8:$H$16</definedName>
    <definedName name="UD.BF">'Unabsorbed Depreciation'!$E$8:$E$16</definedName>
    <definedName name="UD.Button4">'Unabsorbed Depreciation'!$D$21</definedName>
    <definedName name="UD.Setoff">'Unabsorbed Depreciation'!$G$8:$G$16</definedName>
    <definedName name="UD.Totadj115BAC">'Unabsorbed Depreciation'!$F$17</definedName>
    <definedName name="UD.TotBalance">'Unabsorbed Depreciation'!$H$17</definedName>
    <definedName name="UD.TotBF">'Unabsorbed Depreciation'!$E$17</definedName>
    <definedName name="UD.TotSetoff">'Unabsorbed Depreciation'!$G$17</definedName>
    <definedName name="UD2.Balance">'Unabsorbed Depreciation'!$K$8:$K$16</definedName>
    <definedName name="UD2.BF">'Unabsorbed Depreciation'!$I$8:$I$16</definedName>
    <definedName name="UD2.Setoff">'Unabsorbed Depreciation'!$J$8:$J$16</definedName>
    <definedName name="UD2.TotBalance">'Unabsorbed Depreciation'!$K$17</definedName>
    <definedName name="UD2.TotBF">'Unabsorbed Depreciation'!$I$17</definedName>
    <definedName name="UD2.TotSetoff">'Unabsorbed Depreciation'!$J$17</definedName>
    <definedName name="UDCY.Balance">'Unabsorbed Depreciation'!$H$7</definedName>
    <definedName name="UDCY2.Balance">'Unabsorbed Depreciation'!$K$7</definedName>
    <definedName name="Unit">DropDownValues!$AM$3:$AM$26</definedName>
    <definedName name="VaEnterDOA_16_1">'DPM - DOA'!$T$32</definedName>
    <definedName name="VaEnterDOA_16_2">'DPM - DOA'!$U$32</definedName>
    <definedName name="VaEnterDOA_16_3">'DPM - DOA'!$V$32</definedName>
    <definedName name="VaEnterDOA_16_4">'DPM - DOA'!$W$32</definedName>
    <definedName name="VaEnterDOA_16_5">'DPM - DOA'!$X$32</definedName>
    <definedName name="VaEnterDOA_16_6">'DPM - DOA'!$Y$32</definedName>
    <definedName name="ValEnterDPM16_100">'DPM - DOA'!$Z$27</definedName>
    <definedName name="ValEnterDPM16_15">'DPM - DOA'!$T$27</definedName>
    <definedName name="ValEnterDPM16_30">'DPM - DOA'!$U$27</definedName>
    <definedName name="ValEnterDPM16_40">'DPM - DOA'!$V$27</definedName>
    <definedName name="ValEnterDPM16_50">'DPM - DOA'!$W$27</definedName>
    <definedName name="ValEnterDPM16_60">'DPM - DOA'!$X$27</definedName>
    <definedName name="ValEnterDPM16_80">'DPM - DOA'!$Y$27</definedName>
    <definedName name="Value_After_CGsetoff_111A">CG!$AL$39</definedName>
    <definedName name="Veri.92CD">Verification!$C$8:$L$8</definedName>
    <definedName name="VIASumWithout80G80GG">'80G'!$T$29</definedName>
    <definedName name="WinLottRacePuzzDTAA">OS!$T$97</definedName>
    <definedName name="YesNoCode">DropDownValues!$M$3:$M$5</definedName>
    <definedName name="yr1999.BusLossOthThanSpecLossCF">CFL!$L$6</definedName>
    <definedName name="yr1999.BusLossSpecBus">CFL!$N$6</definedName>
    <definedName name="yr1999.DateOfFiling">CFL!$F$6</definedName>
    <definedName name="yr1999.HPLossCF">CFL!$I$6</definedName>
    <definedName name="yr1999.LTCGLossCF">CFL!$R$6</definedName>
    <definedName name="yr1999.STCGLossCF">CFL!$Q$6</definedName>
    <definedName name="yr2000.BusLossOthThanSpecLossCF1">CFL!$L$7</definedName>
    <definedName name="yr2000.DateOfFiling1">CFL!$F$7</definedName>
    <definedName name="yr2000.HPLossCF1">CFL!$I$7</definedName>
    <definedName name="yr2000.LTCGLossCF1">CFL!$T$7</definedName>
    <definedName name="yr2000.STCGLossCF1">CFL!$Q$7</definedName>
    <definedName name="yr2001.BusLossOthThanSpecLossCF2">CFL!$L$8</definedName>
    <definedName name="yr2001.BusLossOthThanSpecLossCF2b">CFL!$K$8</definedName>
    <definedName name="yr2001.DateOfFiling2">CFL!$F$8</definedName>
    <definedName name="yr2001.HPLossCF2">CFL!$I$8</definedName>
    <definedName name="yr2001.LTCGLossCF2">CFL!$T$8</definedName>
    <definedName name="yr2001.STCGLossCF2">CFL!$Q$8</definedName>
    <definedName name="yr2002.BusLossOthThanSpecLossCF3">CFL!$L$9</definedName>
    <definedName name="yr2002.BusLossOthThanSpecLossCF3a">CFL!$J$9</definedName>
    <definedName name="yr2002.BusLossOthThanSpecLossCF3b">CFL!$K$9</definedName>
    <definedName name="yr2002.DateOfFiling3">CFL!$F$9</definedName>
    <definedName name="yr2002.HPLossCF3">CFL!$I$9</definedName>
    <definedName name="yr2002.LTCGLossCF3">CFL!$T$9</definedName>
    <definedName name="yr2002.STCGLossCF3">CFL!$Q$9</definedName>
    <definedName name="yr2003.BusLossOthThanSpecLossCF4">CFL!$L$10</definedName>
    <definedName name="yr2003.BusLossOthThanSpecLossCF4a">CFL!$J$10</definedName>
    <definedName name="yr2003.BusLossOthThanSpecLossCF4b">CFL!$K$10</definedName>
    <definedName name="yr2003.DateOfFiling4">CFL!$F$10</definedName>
    <definedName name="yr2003.HPLossCF4">CFL!$I$10</definedName>
    <definedName name="yr2003.LossFrmSpecBusCF4">CFL!$M$10</definedName>
    <definedName name="yr2003.LossFrmSpecifiedBusCF3">CFL!$N$9</definedName>
    <definedName name="yr2003.LossFrmSpecifiedBusCF4">CFL!$N$10</definedName>
    <definedName name="yr2003.LossFrmSpecifiedBusCF8">CFL!$N$8</definedName>
    <definedName name="yr2003.LossFrmSpecifiedBusCF9">CFL!$N$7</definedName>
    <definedName name="yr2003.LTCGLossCF4">CFL!$T$10</definedName>
    <definedName name="yr2003.OthSrcLossRaceHorseCF4">CFL!$U$10</definedName>
    <definedName name="yr2003.STCGLossCF4">CFL!$Q$10</definedName>
    <definedName name="yr2004.BusLossOthThanSpecLossCF5">CFL!$L$11</definedName>
    <definedName name="yr2004.BusLossOthThanSpecLossCF5a">CFL!$J$11</definedName>
    <definedName name="yr2004.BusLossOthThanSpecLossCF5b">CFL!$K$11</definedName>
    <definedName name="yr2004.DateOfFiling5">CFL!$F$11</definedName>
    <definedName name="yr2004.HPLossCF5">CFL!$I$11</definedName>
    <definedName name="yr2004.LossFrmSpecBusCF5">CFL!$M$11</definedName>
    <definedName name="yr2004.LossFrmSpecifiedBusCF5">CFL!$N$11</definedName>
    <definedName name="yr2004.LTCGLossCF5">CFL!$T$11</definedName>
    <definedName name="yr2004.OthSrcLossRaceHorseCF5">CFL!$U$11</definedName>
    <definedName name="yr2004.STCGLossCF5">CFL!$Q$11</definedName>
    <definedName name="yr2005.BusLossOthThanSpecLossCF6">CFL!$L$12</definedName>
    <definedName name="yr2005.BusLossOthThanSpecLossCF6a">CFL!$J$12</definedName>
    <definedName name="yr2005.BusLossOthThanSpecLossCF6b">CFL!$K$12</definedName>
    <definedName name="yr2005.DateOfFiling6">CFL!$F$12</definedName>
    <definedName name="yr2005.HPLossCF6">CFL!$I$12</definedName>
    <definedName name="yr2005.LossFrmSpecBusCF6">CFL!$M$12</definedName>
    <definedName name="yr2005.LossFrmSpecifiedBusCF6">CFL!$N$12</definedName>
    <definedName name="yr2005.LTCGLossCF6">CFL!$T$12</definedName>
    <definedName name="yr2005.OthSrcLossRaceHorseCF6">CFL!$U$12</definedName>
    <definedName name="yr2005.STCGLossCF6">CFL!$Q$12</definedName>
    <definedName name="yr2006.BusLossOthThanSpecLossCF7">CFL!$L$13</definedName>
    <definedName name="yr2006.BusLossOthThanSpecLossCF7a">CFL!$J$13</definedName>
    <definedName name="yr2006.BusLossOthThanSpecLossCF7b">CFL!$K$13</definedName>
    <definedName name="yr2006.BusLossOthThanSpecLossCF9">CFL!$L$14</definedName>
    <definedName name="yr2006.BusLossOthThanSpecLossCF9a">CFL!$J$14</definedName>
    <definedName name="yr2006.BusLossOthThanSpecLossCF9b">CFL!$K$14</definedName>
    <definedName name="yr2006.DateOfFiling7">CFL!$F$13</definedName>
    <definedName name="yr2006.DateOfFiling9">CFL!$F$14</definedName>
    <definedName name="yr2006.HPLossCF7">CFL!$I$13</definedName>
    <definedName name="yr2006.HPLossCF9">CFL!$I$14</definedName>
    <definedName name="yr2006.LossFrmSpecBusCF7">CFL!$M$13</definedName>
    <definedName name="yr2006.LossFrmSpecBusCF9">CFL!$M$14</definedName>
    <definedName name="yr2006.LossFrmSpecifiedBusCF7">CFL!$N$13</definedName>
    <definedName name="yr2006.LossFrmSpecifiedBusCF9">CFL!$N$14</definedName>
    <definedName name="yr2006.LTCGLossCF7">CFL!$T$13</definedName>
    <definedName name="yr2006.LTCGLossCF9">CFL!$T$14</definedName>
    <definedName name="yr2006.OthSrcLossRaceHorseCF7">CFL!$U$13</definedName>
    <definedName name="yr2006.OthSrcLossRaceHorseCF9">CFL!$U$14</definedName>
    <definedName name="yr2006.STCGLossCF7">CFL!$Q$13</definedName>
    <definedName name="yr2006.STCGLossCF9">CFL!$Q$14</definedName>
    <definedName name="yr2007.BusLossOthThanSpecLossCF10">CFL!$L$20</definedName>
    <definedName name="yr2007.BusLossOthThanSpecLossCF9">CFL!$L$15</definedName>
    <definedName name="yr2007.BusLossOthThanSpecLossCF9a">CFL!$J$15</definedName>
    <definedName name="yr2007.BusLossOthThanSpecLossCF9b">CFL!$K$15</definedName>
    <definedName name="yr2007.DateOfFiling9">CFL!$F$15</definedName>
    <definedName name="yr2007.HPLossCF10">CFL!$G$20</definedName>
    <definedName name="yr2007.HPLossCF9">CFL!$I$15</definedName>
    <definedName name="yr2007.LossFrmSpecBusCF10">CFL!$M$20</definedName>
    <definedName name="yr2007.LossFrmSpecBusCF9">CFL!$M$15</definedName>
    <definedName name="yr2007.LossFrmSpecifiedBusCF10">CFL!$N$20</definedName>
    <definedName name="yr2007.LossFrmSpecifiedBusCF9">CFL!$N$15</definedName>
    <definedName name="yr2007.LTCGLossCF10">CFL!$R$20</definedName>
    <definedName name="yr2007.LTCGLossCF9">CFL!$T$15</definedName>
    <definedName name="yr2007.OthSrcLossRaceHorseCF10">CFL!$U$20</definedName>
    <definedName name="yr2007.OthSrcLossRaceHorseCF9">CFL!$U$15</definedName>
    <definedName name="yr2007.STCGLossCF10">CFL!$O$20</definedName>
    <definedName name="yr2007.STCGLossCF9">CFL!$Q$15</definedName>
    <definedName name="yr2020.BusLossOthThanSpecLossCF10">CFL!$L$16</definedName>
    <definedName name="yr2020.BusLossOthThanSpecLossCF10a">CFL!$J$16</definedName>
    <definedName name="yr2020.BusLossOthThanSpecLossCF10b">CFL!$K$16</definedName>
    <definedName name="yr2020.DateOfFiling10">CFL!$F$16</definedName>
    <definedName name="yr2020.HPLossCF10">CFL!$I$16</definedName>
    <definedName name="yr2020.LossFrmSpecBusCF10">CFL!$M$16</definedName>
    <definedName name="yr2020.LossFrmSpecifiedBusCF10">CFL!$N$16</definedName>
    <definedName name="yr2020.LTCGLossCF10">CFL!$T$16</definedName>
    <definedName name="yr2020.OthSrcLossRaceHorseCF10">CFL!$U$16</definedName>
    <definedName name="yr2020.STCGLossCF10">CFL!$Q$16</definedName>
    <definedName name="yr2021.BusLossOthThanSpecLossCF11">CFL!$L$17</definedName>
    <definedName name="yr2021.BusLossOthThanSpecLossCF11a">CFL!$J$17</definedName>
    <definedName name="yr2021.BusLossOthThanSpecLossCF11b">CFL!$K$17</definedName>
    <definedName name="yr2021.DateOfFiling11">CFL!$F$17</definedName>
    <definedName name="yr2021.HPLossCF11">CFL!$I$17</definedName>
    <definedName name="yr2021.LossFrmSpecBusCF11">CFL!$M$17</definedName>
    <definedName name="yr2021.LossFrmSpecifiedBusCF11">CFL!$N$17</definedName>
    <definedName name="yr2021.LTCGLossCF11">CFL!$T$17</definedName>
    <definedName name="yr2021.OthSrcLossRaceHorseCF11">CFL!$U$17</definedName>
    <definedName name="yr2021.STCGLossCF11">CFL!$Q$17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0" i="20" l="1"/>
  <c r="R20" i="20"/>
  <c r="O20" i="20"/>
  <c r="N20" i="20"/>
  <c r="M20" i="20"/>
  <c r="L9" i="61"/>
  <c r="I6" i="12" l="1"/>
  <c r="K5" i="12"/>
  <c r="N146" i="12" a="1"/>
  <c r="N146" i="12" s="1"/>
  <c r="L16" i="64" l="1"/>
  <c r="L13" i="64"/>
  <c r="I104" i="12"/>
  <c r="X58" i="18"/>
  <c r="Y58" i="18"/>
  <c r="AB58" i="18"/>
  <c r="AC58" i="18"/>
  <c r="Z74" i="18"/>
  <c r="AA74" i="18"/>
  <c r="AB74" i="18"/>
  <c r="Q31" i="69"/>
  <c r="F44" i="69"/>
  <c r="F39" i="69"/>
  <c r="F40" i="69" s="1"/>
  <c r="F35" i="69"/>
  <c r="V93" i="18"/>
  <c r="U93" i="18"/>
  <c r="AF74" i="18"/>
  <c r="T97" i="18" l="1"/>
  <c r="T94" i="18"/>
  <c r="V94" i="18" l="1"/>
  <c r="U94" i="18"/>
  <c r="V92" i="18"/>
  <c r="U92" i="18"/>
  <c r="X91" i="18"/>
  <c r="W91" i="18"/>
  <c r="V91" i="18"/>
  <c r="U91" i="18"/>
  <c r="L6" i="70" l="1"/>
  <c r="R48" i="10" l="1"/>
  <c r="N7" i="26"/>
  <c r="O7" i="26" s="1" a="1"/>
  <c r="O7" i="26" s="1"/>
  <c r="O8" i="26" s="1"/>
  <c r="N13" i="26"/>
  <c r="O13" i="26" s="1"/>
  <c r="N14" i="26" s="1"/>
  <c r="N11" i="26"/>
  <c r="O11" i="26" s="1"/>
  <c r="O12" i="26" s="1"/>
  <c r="N9" i="26"/>
  <c r="O14" i="26" l="1"/>
  <c r="O9" i="26" a="1"/>
  <c r="O9" i="26" s="1"/>
  <c r="O10" i="26" s="1" a="1"/>
  <c r="O10" i="26" s="1"/>
  <c r="N12" i="26"/>
  <c r="AC86" i="10"/>
  <c r="B276" i="39"/>
  <c r="B275" i="39"/>
  <c r="D275" i="39" s="1"/>
  <c r="C275" i="39" s="1"/>
  <c r="B274" i="39"/>
  <c r="B273" i="39"/>
  <c r="D273" i="39" s="1"/>
  <c r="B272" i="39"/>
  <c r="D272" i="39" s="1"/>
  <c r="B269" i="39"/>
  <c r="B268" i="39"/>
  <c r="D274" i="39" l="1"/>
  <c r="C274" i="39" s="1"/>
  <c r="N10" i="26" a="1"/>
  <c r="N10" i="26" s="1"/>
  <c r="E272" i="39"/>
  <c r="F272" i="39" s="1"/>
  <c r="C272" i="39"/>
  <c r="D276" i="39"/>
  <c r="E276" i="39" s="1"/>
  <c r="F276" i="39" s="1"/>
  <c r="C273" i="39"/>
  <c r="N8" i="26" a="1"/>
  <c r="N8" i="26" s="1"/>
  <c r="L8" i="64"/>
  <c r="L5" i="64"/>
  <c r="Q142" i="17"/>
  <c r="L146" i="17"/>
  <c r="L145" i="17"/>
  <c r="E273" i="39" l="1"/>
  <c r="F273" i="39" s="1"/>
  <c r="E274" i="39"/>
  <c r="C276" i="39"/>
  <c r="Y91" i="18"/>
  <c r="W92" i="18"/>
  <c r="W93" i="18"/>
  <c r="W94" i="18"/>
  <c r="F274" i="39" l="1"/>
  <c r="E275" i="39"/>
  <c r="F275" i="39" s="1"/>
  <c r="Q7" i="69"/>
  <c r="F13" i="13" l="1"/>
  <c r="F17" i="13" s="1"/>
  <c r="S13" i="71" l="1"/>
  <c r="L94" i="18" l="1"/>
  <c r="N145" i="12" a="1"/>
  <c r="N145" i="12" s="1"/>
  <c r="N95" i="39" l="1"/>
  <c r="N98" i="39" s="1"/>
  <c r="D8" i="35"/>
  <c r="D9" i="35" s="1"/>
  <c r="D10" i="35" s="1"/>
  <c r="F33" i="18"/>
  <c r="N97" i="39" l="1"/>
  <c r="N96" i="39"/>
  <c r="P98" i="39" s="1"/>
  <c r="P96" i="39" l="1"/>
  <c r="P97" i="39"/>
  <c r="P95" i="39"/>
  <c r="P99" i="39" l="1"/>
  <c r="B262" i="39" s="1"/>
  <c r="H6" i="70"/>
  <c r="G146" i="17"/>
  <c r="W135" i="17"/>
  <c r="W136" i="17"/>
  <c r="DF1" i="3"/>
  <c r="DF4" i="3" s="1"/>
  <c r="DF2" i="3"/>
  <c r="DF3" i="3" s="1"/>
  <c r="Q143" i="17"/>
  <c r="B154" i="39" l="1"/>
  <c r="B153" i="39"/>
  <c r="B152" i="39"/>
  <c r="B151" i="39"/>
  <c r="B150" i="39"/>
  <c r="B213" i="39"/>
  <c r="B212" i="39"/>
  <c r="B211" i="39"/>
  <c r="B210" i="39"/>
  <c r="B209" i="39"/>
  <c r="M6" i="70" l="1"/>
  <c r="L78" i="10"/>
  <c r="D14" i="70"/>
  <c r="Q149" i="17" l="1"/>
  <c r="Z70" i="18" l="1"/>
  <c r="AC91" i="25"/>
  <c r="S10" i="71"/>
  <c r="S9" i="71"/>
  <c r="S8" i="71"/>
  <c r="S7" i="71" l="1"/>
  <c r="T106" i="18" l="1"/>
  <c r="T105" i="18"/>
  <c r="T104" i="18"/>
  <c r="T103" i="18"/>
  <c r="T102" i="18"/>
  <c r="T101" i="18"/>
  <c r="T100" i="18"/>
  <c r="J8" i="18" l="1"/>
  <c r="I17" i="20" l="1"/>
  <c r="Q17" i="20"/>
  <c r="Q16" i="20"/>
  <c r="T17" i="20"/>
  <c r="T16" i="20"/>
  <c r="I16" i="20"/>
  <c r="M12" i="71" l="1"/>
  <c r="L12" i="71"/>
  <c r="N10" i="71"/>
  <c r="N9" i="71"/>
  <c r="N8" i="71"/>
  <c r="D8" i="71"/>
  <c r="D9" i="71" s="1"/>
  <c r="D10" i="71" s="1"/>
  <c r="N7" i="71"/>
  <c r="N12" i="71" l="1"/>
  <c r="I25" i="23" s="1"/>
  <c r="D7" i="70"/>
  <c r="AC90" i="25"/>
  <c r="S105" i="17"/>
  <c r="J28" i="18" l="1"/>
  <c r="J25" i="18" s="1"/>
  <c r="Q173" i="17" l="1"/>
  <c r="Q34" i="17"/>
  <c r="H10" i="13"/>
  <c r="G10" i="13"/>
  <c r="I13" i="13"/>
  <c r="N18" i="20"/>
  <c r="L17" i="20"/>
  <c r="U18" i="20"/>
  <c r="U21" i="20" s="1"/>
  <c r="R18" i="20"/>
  <c r="O18" i="20"/>
  <c r="M18" i="20"/>
  <c r="G18" i="20"/>
  <c r="I9" i="20"/>
  <c r="H19" i="27"/>
  <c r="J19" i="27"/>
  <c r="I17" i="27"/>
  <c r="K17" i="27" s="1"/>
  <c r="K41" i="58" l="1"/>
  <c r="J6" i="62" l="1"/>
  <c r="V84" i="18" l="1"/>
  <c r="B121" i="39" l="1"/>
  <c r="B119" i="39"/>
  <c r="B118" i="39"/>
  <c r="B117" i="39"/>
  <c r="B167" i="39" l="1"/>
  <c r="B166" i="39"/>
  <c r="B165" i="39"/>
  <c r="B164" i="39"/>
  <c r="B163" i="39"/>
  <c r="J166" i="39"/>
  <c r="J165" i="39"/>
  <c r="J164" i="39"/>
  <c r="J163" i="39"/>
  <c r="J162" i="39"/>
  <c r="F17" i="21" l="1"/>
  <c r="J83" i="18" l="1"/>
  <c r="L16" i="20"/>
  <c r="L15" i="20"/>
  <c r="L14" i="20"/>
  <c r="L13" i="20"/>
  <c r="L12" i="20"/>
  <c r="L11" i="20"/>
  <c r="L10" i="20"/>
  <c r="L18" i="20" l="1"/>
  <c r="J65" i="10" l="1"/>
  <c r="L55" i="69" l="1"/>
  <c r="L62" i="69" s="1"/>
  <c r="J64" i="69" s="1"/>
  <c r="L63" i="69" s="1"/>
  <c r="I58" i="69"/>
  <c r="I59" i="69" s="1"/>
  <c r="I60" i="69" s="1"/>
  <c r="F58" i="69"/>
  <c r="F59" i="69" s="1"/>
  <c r="F60" i="69" s="1"/>
  <c r="F20" i="69"/>
  <c r="F15" i="69"/>
  <c r="F16" i="69" s="1"/>
  <c r="F11" i="69"/>
  <c r="N58" i="11"/>
  <c r="L67" i="69" l="1"/>
  <c r="H16" i="21" l="1"/>
  <c r="H15" i="21"/>
  <c r="H14" i="21"/>
  <c r="H13" i="21"/>
  <c r="H12" i="21"/>
  <c r="H11" i="21"/>
  <c r="H10" i="21"/>
  <c r="H9" i="21"/>
  <c r="H8" i="21"/>
  <c r="D6" i="5" l="1"/>
  <c r="D7" i="5" s="1"/>
  <c r="K14" i="58" l="1"/>
  <c r="T96" i="18" l="1"/>
  <c r="T95" i="18"/>
  <c r="H120" i="44" l="1"/>
  <c r="H122" i="44" s="1"/>
  <c r="H75" i="44"/>
  <c r="H23" i="44"/>
  <c r="AC89" i="25" l="1"/>
  <c r="AC88" i="25"/>
  <c r="AC87" i="25"/>
  <c r="AC86" i="25"/>
  <c r="AC85" i="25"/>
  <c r="AC84" i="25"/>
  <c r="T93" i="18" l="1"/>
  <c r="T92" i="18"/>
  <c r="T91" i="18"/>
  <c r="T90" i="18"/>
  <c r="T85" i="18"/>
  <c r="J6" i="18" l="1"/>
  <c r="G6" i="15"/>
  <c r="G12" i="15"/>
  <c r="G11" i="15"/>
  <c r="G10" i="15"/>
  <c r="G9" i="15"/>
  <c r="G8" i="15"/>
  <c r="G7" i="15"/>
  <c r="U3" i="13"/>
  <c r="T3" i="13"/>
  <c r="S3" i="13"/>
  <c r="R3" i="13"/>
  <c r="Q3" i="13"/>
  <c r="P3" i="13"/>
  <c r="R2" i="13" l="1"/>
  <c r="S2" i="13" l="1"/>
  <c r="G13" i="13"/>
  <c r="G17" i="13" s="1"/>
  <c r="Q2" i="13"/>
  <c r="P2" i="13"/>
  <c r="I50" i="11" l="1"/>
  <c r="K51" i="11" s="1"/>
  <c r="K52" i="11" s="1"/>
  <c r="F45" i="11"/>
  <c r="F46" i="11" s="1"/>
  <c r="F36" i="11"/>
  <c r="F37" i="11" s="1"/>
  <c r="F38" i="11" s="1"/>
  <c r="F39" i="11" s="1"/>
  <c r="F40" i="11" s="1"/>
  <c r="F41" i="11" s="1"/>
  <c r="I53" i="11" l="1"/>
  <c r="K55" i="11" s="1"/>
  <c r="K57" i="11" s="1"/>
  <c r="DD3" i="3" l="1"/>
  <c r="N49" i="50" l="1"/>
  <c r="N48" i="50"/>
  <c r="N47" i="50"/>
  <c r="L46" i="50"/>
  <c r="N45" i="50"/>
  <c r="N44" i="50"/>
  <c r="L43" i="50"/>
  <c r="N42" i="50"/>
  <c r="N41" i="50"/>
  <c r="M40" i="50"/>
  <c r="L40" i="50"/>
  <c r="N39" i="50"/>
  <c r="N38" i="50"/>
  <c r="M37" i="50"/>
  <c r="L37" i="50"/>
  <c r="N35" i="50"/>
  <c r="U27" i="32"/>
  <c r="K57" i="32"/>
  <c r="N43" i="50" l="1"/>
  <c r="N40" i="50"/>
  <c r="N46" i="50"/>
  <c r="N37" i="50"/>
  <c r="K20" i="27" l="1"/>
  <c r="I16" i="27"/>
  <c r="K16" i="27" s="1"/>
  <c r="Q139" i="17" l="1"/>
  <c r="A102" i="42" l="1"/>
  <c r="A103" i="42" s="1"/>
  <c r="A104" i="42" s="1"/>
  <c r="A105" i="42" s="1"/>
  <c r="A106" i="42" s="1"/>
  <c r="A107" i="42" s="1"/>
  <c r="A7" i="45"/>
  <c r="A8" i="45" s="1"/>
  <c r="H37" i="43"/>
  <c r="C37" i="43" s="1"/>
  <c r="H34" i="43"/>
  <c r="C34" i="43" s="1"/>
  <c r="C31" i="43"/>
  <c r="D30" i="43"/>
  <c r="C30" i="43"/>
  <c r="D29" i="43"/>
  <c r="C29" i="43"/>
  <c r="C28" i="43"/>
  <c r="C26" i="43"/>
  <c r="C25" i="43"/>
  <c r="C24" i="43"/>
  <c r="C23" i="43"/>
  <c r="D22" i="43"/>
  <c r="C22" i="43"/>
  <c r="D21" i="43"/>
  <c r="C21" i="43"/>
  <c r="D20" i="43"/>
  <c r="C20" i="43"/>
  <c r="C19" i="43"/>
  <c r="C18" i="43"/>
  <c r="C15" i="43"/>
  <c r="C14" i="43"/>
  <c r="C13" i="43"/>
  <c r="C9" i="43"/>
  <c r="C8" i="43"/>
  <c r="C6" i="43"/>
  <c r="C5" i="43"/>
  <c r="B34" i="36"/>
  <c r="F33" i="36"/>
  <c r="B31" i="36"/>
  <c r="B24" i="36"/>
  <c r="J16" i="34"/>
  <c r="C7" i="43"/>
  <c r="J59" i="32"/>
  <c r="K56" i="32"/>
  <c r="K55" i="32"/>
  <c r="K54" i="32"/>
  <c r="D54" i="32"/>
  <c r="D55" i="32" s="1"/>
  <c r="D56" i="32" s="1"/>
  <c r="D57" i="32" s="1"/>
  <c r="K53" i="32"/>
  <c r="O44" i="32"/>
  <c r="V42" i="32"/>
  <c r="V41" i="32"/>
  <c r="V40" i="32"/>
  <c r="D40" i="32"/>
  <c r="D41" i="32" s="1"/>
  <c r="D42" i="32" s="1"/>
  <c r="Z39" i="32"/>
  <c r="V39" i="32"/>
  <c r="N29" i="32"/>
  <c r="U26" i="32"/>
  <c r="U25" i="32"/>
  <c r="U24" i="32"/>
  <c r="D24" i="32"/>
  <c r="D25" i="32" s="1"/>
  <c r="D26" i="32" s="1"/>
  <c r="D27" i="32" s="1"/>
  <c r="Z23" i="32"/>
  <c r="U23" i="32"/>
  <c r="H13" i="32"/>
  <c r="G13" i="32"/>
  <c r="D9" i="32"/>
  <c r="D10" i="32" s="1"/>
  <c r="D11" i="32" s="1"/>
  <c r="H17" i="49"/>
  <c r="S15" i="49"/>
  <c r="R15" i="49"/>
  <c r="Q15" i="49"/>
  <c r="S14" i="49"/>
  <c r="R14" i="49"/>
  <c r="Q14" i="49"/>
  <c r="S13" i="49"/>
  <c r="R13" i="49"/>
  <c r="Q13" i="49"/>
  <c r="S12" i="49"/>
  <c r="R12" i="49"/>
  <c r="Q12" i="49"/>
  <c r="S11" i="49"/>
  <c r="R11" i="49"/>
  <c r="Q11" i="49"/>
  <c r="S10" i="49"/>
  <c r="R10" i="49"/>
  <c r="Q10" i="49"/>
  <c r="S9" i="49"/>
  <c r="R9" i="49"/>
  <c r="Q9" i="49"/>
  <c r="AG8" i="49"/>
  <c r="AE8" i="49"/>
  <c r="S8" i="49"/>
  <c r="R8" i="49"/>
  <c r="Q8" i="49"/>
  <c r="D8" i="49"/>
  <c r="D9" i="49" s="1"/>
  <c r="D10" i="49" s="1"/>
  <c r="D11" i="49" s="1"/>
  <c r="D12" i="49" s="1"/>
  <c r="D13" i="49" s="1"/>
  <c r="D14" i="49" s="1"/>
  <c r="D15" i="49" s="1"/>
  <c r="S7" i="49"/>
  <c r="R7" i="49"/>
  <c r="Q7" i="49"/>
  <c r="AD3" i="49"/>
  <c r="T5" i="49" s="1"/>
  <c r="B335" i="39"/>
  <c r="B333" i="39"/>
  <c r="B314" i="39"/>
  <c r="B312" i="39"/>
  <c r="B290" i="39"/>
  <c r="B288" i="39"/>
  <c r="N265" i="39"/>
  <c r="B241" i="39"/>
  <c r="B239" i="39"/>
  <c r="B202" i="39"/>
  <c r="D202" i="39" s="1"/>
  <c r="E202" i="39" s="1"/>
  <c r="B201" i="39"/>
  <c r="B200" i="39"/>
  <c r="D200" i="39" s="1"/>
  <c r="B199" i="39"/>
  <c r="B198" i="39"/>
  <c r="D198" i="39" s="1"/>
  <c r="E198" i="39" s="1"/>
  <c r="B191" i="39"/>
  <c r="D191" i="39" s="1"/>
  <c r="B190" i="39"/>
  <c r="B189" i="39"/>
  <c r="D189" i="39" s="1"/>
  <c r="C189" i="39" s="1"/>
  <c r="B188" i="39"/>
  <c r="B187" i="39"/>
  <c r="D187" i="39" s="1"/>
  <c r="E187" i="39" s="1"/>
  <c r="B183" i="39"/>
  <c r="D180" i="39"/>
  <c r="E180" i="39" s="1"/>
  <c r="F180" i="39" s="1"/>
  <c r="D179" i="39"/>
  <c r="D177" i="39"/>
  <c r="D176" i="39"/>
  <c r="E176" i="39" s="1"/>
  <c r="F176" i="39" s="1"/>
  <c r="B141" i="39"/>
  <c r="C141" i="39" s="1"/>
  <c r="D141" i="39" s="1"/>
  <c r="E141" i="39" s="1"/>
  <c r="B140" i="39"/>
  <c r="C140" i="39" s="1"/>
  <c r="B139" i="39"/>
  <c r="C139" i="39" s="1"/>
  <c r="B138" i="39"/>
  <c r="C138" i="39" s="1"/>
  <c r="B137" i="39"/>
  <c r="C137" i="39" s="1"/>
  <c r="D137" i="39" s="1"/>
  <c r="E137" i="39" s="1"/>
  <c r="B131" i="39"/>
  <c r="C131" i="39" s="1"/>
  <c r="D131" i="39" s="1"/>
  <c r="E131" i="39" s="1"/>
  <c r="B130" i="39"/>
  <c r="C130" i="39" s="1"/>
  <c r="B129" i="39"/>
  <c r="C129" i="39" s="1"/>
  <c r="B128" i="39"/>
  <c r="C128" i="39" s="1"/>
  <c r="B127" i="39"/>
  <c r="C127" i="39" s="1"/>
  <c r="D127" i="39" s="1"/>
  <c r="E127" i="39" s="1"/>
  <c r="E98" i="39"/>
  <c r="AG97" i="39"/>
  <c r="E97" i="39"/>
  <c r="E96" i="39"/>
  <c r="E95" i="39"/>
  <c r="J83" i="39"/>
  <c r="AE70" i="39"/>
  <c r="E69" i="39"/>
  <c r="AE67" i="39"/>
  <c r="AE66" i="39"/>
  <c r="B49" i="39"/>
  <c r="B48" i="39"/>
  <c r="B47" i="39"/>
  <c r="B43" i="39"/>
  <c r="B42" i="39"/>
  <c r="B41" i="39"/>
  <c r="B24" i="39"/>
  <c r="B21" i="39"/>
  <c r="B20" i="39"/>
  <c r="B10" i="39"/>
  <c r="D9" i="39"/>
  <c r="D8" i="39"/>
  <c r="D7" i="39"/>
  <c r="D6" i="39"/>
  <c r="F2" i="39"/>
  <c r="D2" i="39"/>
  <c r="D1" i="39"/>
  <c r="E116" i="10"/>
  <c r="J98" i="10"/>
  <c r="B69" i="39" s="1"/>
  <c r="S97" i="10"/>
  <c r="J97" i="10"/>
  <c r="S96" i="10"/>
  <c r="S94" i="10"/>
  <c r="L93" i="10"/>
  <c r="L72" i="10"/>
  <c r="L57" i="10"/>
  <c r="J10" i="10"/>
  <c r="L5" i="10"/>
  <c r="E6" i="60"/>
  <c r="E7" i="60" s="1"/>
  <c r="E8" i="60" s="1"/>
  <c r="D29" i="52"/>
  <c r="D30" i="52" s="1"/>
  <c r="D31" i="52" s="1"/>
  <c r="D9" i="52"/>
  <c r="D10" i="52" s="1"/>
  <c r="D11" i="52" s="1"/>
  <c r="L14" i="33"/>
  <c r="K14" i="33"/>
  <c r="J14" i="33"/>
  <c r="I14" i="33"/>
  <c r="D157" i="35"/>
  <c r="D158" i="35" s="1"/>
  <c r="D159" i="35" s="1"/>
  <c r="D145" i="35"/>
  <c r="D146" i="35" s="1"/>
  <c r="D147" i="35" s="1"/>
  <c r="D130" i="35"/>
  <c r="D131" i="35" s="1"/>
  <c r="D132" i="35" s="1"/>
  <c r="D114" i="35"/>
  <c r="D115" i="35" s="1"/>
  <c r="D116" i="35" s="1"/>
  <c r="G103" i="35"/>
  <c r="D99" i="35"/>
  <c r="D100" i="35" s="1"/>
  <c r="D101" i="35" s="1"/>
  <c r="D84" i="35"/>
  <c r="D85" i="35" s="1"/>
  <c r="D86" i="35" s="1"/>
  <c r="D67" i="35"/>
  <c r="D68" i="35" s="1"/>
  <c r="D69" i="35" s="1"/>
  <c r="D70" i="35" s="1"/>
  <c r="D71" i="35" s="1"/>
  <c r="L59" i="35"/>
  <c r="D53" i="35"/>
  <c r="D54" i="35" s="1"/>
  <c r="D55" i="35" s="1"/>
  <c r="D56" i="35" s="1"/>
  <c r="D57" i="35" s="1"/>
  <c r="L45" i="35"/>
  <c r="D39" i="35"/>
  <c r="D40" i="35" s="1"/>
  <c r="D41" i="35" s="1"/>
  <c r="D42" i="35" s="1"/>
  <c r="D43" i="35" s="1"/>
  <c r="L31" i="35"/>
  <c r="D25" i="35"/>
  <c r="D26" i="35" s="1"/>
  <c r="D27" i="35" s="1"/>
  <c r="D28" i="35" s="1"/>
  <c r="D29" i="35" s="1"/>
  <c r="J14" i="35"/>
  <c r="J85" i="10" s="1"/>
  <c r="H11" i="35"/>
  <c r="G11" i="35"/>
  <c r="K30" i="47"/>
  <c r="J30" i="47"/>
  <c r="I30" i="47"/>
  <c r="L29" i="47"/>
  <c r="L28" i="47"/>
  <c r="L27" i="47"/>
  <c r="L26" i="47"/>
  <c r="L25" i="47"/>
  <c r="K24" i="47"/>
  <c r="J24" i="47"/>
  <c r="I24" i="47"/>
  <c r="L23" i="47"/>
  <c r="L22" i="47"/>
  <c r="L21" i="47"/>
  <c r="L20" i="47"/>
  <c r="L19" i="47"/>
  <c r="K18" i="47"/>
  <c r="J18" i="47"/>
  <c r="I18" i="47"/>
  <c r="L17" i="47"/>
  <c r="L16" i="47"/>
  <c r="L15" i="47"/>
  <c r="L14" i="47"/>
  <c r="L13" i="47"/>
  <c r="D13" i="47"/>
  <c r="D19" i="47" s="1"/>
  <c r="D25" i="47" s="1"/>
  <c r="K12" i="47"/>
  <c r="J12" i="47"/>
  <c r="I12" i="47"/>
  <c r="L11" i="47"/>
  <c r="L10" i="47"/>
  <c r="L9" i="47"/>
  <c r="L8" i="47"/>
  <c r="L7" i="47"/>
  <c r="H19" i="66"/>
  <c r="P12" i="66" s="1"/>
  <c r="C18" i="66"/>
  <c r="P8" i="66"/>
  <c r="N34" i="50"/>
  <c r="N33" i="50"/>
  <c r="N32" i="50"/>
  <c r="L31" i="50"/>
  <c r="N30" i="50"/>
  <c r="N29" i="50"/>
  <c r="L28" i="50"/>
  <c r="N27" i="50"/>
  <c r="N26" i="50"/>
  <c r="M25" i="50"/>
  <c r="L25" i="50"/>
  <c r="N24" i="50"/>
  <c r="N23" i="50"/>
  <c r="M22" i="50"/>
  <c r="L22" i="50"/>
  <c r="N20" i="50"/>
  <c r="D20" i="50"/>
  <c r="D35" i="50" s="1"/>
  <c r="N19" i="50"/>
  <c r="N18" i="50"/>
  <c r="N17" i="50"/>
  <c r="L16" i="50"/>
  <c r="N15" i="50"/>
  <c r="N14" i="50"/>
  <c r="L13" i="50"/>
  <c r="N12" i="50"/>
  <c r="N11" i="50"/>
  <c r="M10" i="50"/>
  <c r="L10" i="50"/>
  <c r="N9" i="50"/>
  <c r="N8" i="50"/>
  <c r="M7" i="50"/>
  <c r="L7" i="50"/>
  <c r="N5" i="50"/>
  <c r="AI12" i="30"/>
  <c r="AH12" i="30"/>
  <c r="AG12" i="30"/>
  <c r="AE12" i="30"/>
  <c r="Z12" i="30"/>
  <c r="S12" i="30"/>
  <c r="N12" i="30"/>
  <c r="I12" i="30"/>
  <c r="AI11" i="30"/>
  <c r="AH11" i="30"/>
  <c r="AG11" i="30"/>
  <c r="AE11" i="30"/>
  <c r="Z11" i="30"/>
  <c r="S11" i="30"/>
  <c r="N11" i="30"/>
  <c r="I11" i="30"/>
  <c r="AI10" i="30"/>
  <c r="AH10" i="30"/>
  <c r="AG10" i="30"/>
  <c r="AE10" i="30"/>
  <c r="Z10" i="30"/>
  <c r="S10" i="30"/>
  <c r="N10" i="30"/>
  <c r="I10" i="30"/>
  <c r="AI9" i="30"/>
  <c r="AH9" i="30"/>
  <c r="AG9" i="30"/>
  <c r="AE9" i="30"/>
  <c r="Z9" i="30"/>
  <c r="S9" i="30"/>
  <c r="N9" i="30"/>
  <c r="I9" i="30"/>
  <c r="AI8" i="30"/>
  <c r="AH8" i="30"/>
  <c r="AG8" i="30"/>
  <c r="AE8" i="30"/>
  <c r="Z8" i="30"/>
  <c r="S8" i="30"/>
  <c r="N8" i="30"/>
  <c r="I8" i="30"/>
  <c r="J37" i="28"/>
  <c r="D33" i="28"/>
  <c r="D34" i="28" s="1"/>
  <c r="D35" i="28" s="1"/>
  <c r="H27" i="28"/>
  <c r="E24" i="28"/>
  <c r="E25" i="28" s="1"/>
  <c r="E26" i="28" s="1"/>
  <c r="E17" i="28"/>
  <c r="E18" i="28" s="1"/>
  <c r="E19" i="28" s="1"/>
  <c r="I15" i="27"/>
  <c r="K15" i="27" s="1"/>
  <c r="I14" i="27"/>
  <c r="K14" i="27" s="1"/>
  <c r="I13" i="27"/>
  <c r="K13" i="27" s="1"/>
  <c r="I12" i="27"/>
  <c r="K12" i="27" s="1"/>
  <c r="I11" i="27"/>
  <c r="K11" i="27" s="1"/>
  <c r="I10" i="27"/>
  <c r="K10" i="27" s="1"/>
  <c r="I9" i="27"/>
  <c r="U3" i="26"/>
  <c r="L107" i="25"/>
  <c r="K107" i="25"/>
  <c r="V106" i="25"/>
  <c r="U106" i="25"/>
  <c r="V105" i="25"/>
  <c r="U105" i="25"/>
  <c r="V104" i="25"/>
  <c r="U104" i="25"/>
  <c r="V103" i="25"/>
  <c r="U103" i="25"/>
  <c r="V102" i="25"/>
  <c r="U102" i="25"/>
  <c r="E102" i="25"/>
  <c r="E103" i="25" s="1"/>
  <c r="E104" i="25" s="1"/>
  <c r="E105" i="25" s="1"/>
  <c r="E106" i="25" s="1"/>
  <c r="V101" i="25"/>
  <c r="U101" i="25"/>
  <c r="AC92" i="25"/>
  <c r="AC83" i="25"/>
  <c r="AC82" i="25"/>
  <c r="AF81" i="25"/>
  <c r="AD81" i="25"/>
  <c r="AC81" i="25"/>
  <c r="H81" i="25"/>
  <c r="AE81" i="25" s="1"/>
  <c r="AC80" i="25"/>
  <c r="AC79" i="25"/>
  <c r="AC78" i="25"/>
  <c r="D78" i="25"/>
  <c r="AF77" i="25"/>
  <c r="AD77" i="25"/>
  <c r="AC77" i="25"/>
  <c r="H77" i="25"/>
  <c r="AE77" i="25" s="1"/>
  <c r="AC76" i="25"/>
  <c r="AC75" i="25"/>
  <c r="AC74" i="25"/>
  <c r="AC73" i="25"/>
  <c r="AC72" i="25"/>
  <c r="AC71" i="25"/>
  <c r="AC70" i="25"/>
  <c r="AC69" i="25"/>
  <c r="AC68" i="25"/>
  <c r="AC67" i="25"/>
  <c r="AC66" i="25"/>
  <c r="AC65" i="25"/>
  <c r="AC64" i="25"/>
  <c r="G64" i="25"/>
  <c r="H64" i="25" s="1"/>
  <c r="AC63" i="25"/>
  <c r="G63" i="25"/>
  <c r="AD63" i="25" s="1"/>
  <c r="AC62" i="25"/>
  <c r="G62" i="25"/>
  <c r="AD62" i="25" s="1"/>
  <c r="AC61" i="25"/>
  <c r="G61" i="25"/>
  <c r="H61" i="25" s="1"/>
  <c r="AC60" i="25"/>
  <c r="G60" i="25"/>
  <c r="AD60" i="25" s="1"/>
  <c r="AC59" i="25"/>
  <c r="AC58" i="25"/>
  <c r="AC57" i="25"/>
  <c r="G57" i="25"/>
  <c r="H57" i="25" s="1"/>
  <c r="AF56" i="25"/>
  <c r="AE56" i="25"/>
  <c r="AD56" i="25"/>
  <c r="AC56" i="25"/>
  <c r="G56" i="25"/>
  <c r="AD57" i="25" s="1"/>
  <c r="AF55" i="25"/>
  <c r="AE55" i="25"/>
  <c r="AD55" i="25"/>
  <c r="AC55" i="25"/>
  <c r="AC54" i="25"/>
  <c r="AC53" i="25"/>
  <c r="AC52" i="25"/>
  <c r="AC51" i="25"/>
  <c r="AC50" i="25"/>
  <c r="AC49" i="25"/>
  <c r="AC48" i="25"/>
  <c r="AC47" i="25"/>
  <c r="AC46" i="25"/>
  <c r="G46" i="25"/>
  <c r="H46" i="25" s="1"/>
  <c r="AC45" i="25"/>
  <c r="G45" i="25"/>
  <c r="H45" i="25" s="1"/>
  <c r="AC44" i="25"/>
  <c r="AC43" i="25"/>
  <c r="AC42" i="25"/>
  <c r="G42" i="25"/>
  <c r="AD48" i="25" s="1"/>
  <c r="AC41" i="25"/>
  <c r="AC40" i="25"/>
  <c r="G40" i="25"/>
  <c r="AD46" i="25" s="1"/>
  <c r="AC39" i="25"/>
  <c r="AC38" i="25"/>
  <c r="AC37" i="25"/>
  <c r="AC36" i="25"/>
  <c r="AC35" i="25"/>
  <c r="AC34" i="25"/>
  <c r="AC33" i="25"/>
  <c r="AC32" i="25"/>
  <c r="AF31" i="25"/>
  <c r="AC31" i="25"/>
  <c r="AF30" i="25"/>
  <c r="AC30" i="25"/>
  <c r="AF29" i="25"/>
  <c r="AC29" i="25"/>
  <c r="G29" i="25"/>
  <c r="AD59" i="25" s="1"/>
  <c r="AC28" i="25"/>
  <c r="G28" i="25"/>
  <c r="H28" i="25" s="1"/>
  <c r="AC27" i="25"/>
  <c r="G27" i="25"/>
  <c r="AD27" i="25" s="1"/>
  <c r="AC26" i="25"/>
  <c r="G26" i="25"/>
  <c r="AC25" i="25"/>
  <c r="AC24" i="25"/>
  <c r="G24" i="25"/>
  <c r="H24" i="25" s="1"/>
  <c r="AC23" i="25"/>
  <c r="G23" i="25"/>
  <c r="AD23" i="25" s="1"/>
  <c r="AC22" i="25"/>
  <c r="G22" i="25"/>
  <c r="AC21" i="25"/>
  <c r="G21" i="25"/>
  <c r="AC20" i="25"/>
  <c r="G20" i="25"/>
  <c r="AC19" i="25"/>
  <c r="D19" i="25"/>
  <c r="D20" i="25" s="1"/>
  <c r="D21" i="25" s="1"/>
  <c r="D22" i="25" s="1"/>
  <c r="D23" i="25" s="1"/>
  <c r="D24" i="25" s="1"/>
  <c r="D25" i="25" s="1"/>
  <c r="D26" i="25" s="1"/>
  <c r="D27" i="25" s="1"/>
  <c r="D28" i="25" s="1"/>
  <c r="D29" i="25" s="1"/>
  <c r="D30" i="25" s="1"/>
  <c r="D31" i="25" s="1"/>
  <c r="D32" i="25" s="1"/>
  <c r="D33" i="25" s="1"/>
  <c r="D34" i="25" s="1"/>
  <c r="AC18" i="25"/>
  <c r="I12" i="25"/>
  <c r="D7" i="25"/>
  <c r="D8" i="25" s="1"/>
  <c r="D9" i="25" s="1"/>
  <c r="D10" i="25" s="1"/>
  <c r="D11" i="25" s="1"/>
  <c r="I44" i="23"/>
  <c r="AX43" i="23"/>
  <c r="AY43" i="23" s="1"/>
  <c r="K36" i="23"/>
  <c r="K35" i="23"/>
  <c r="K32" i="23"/>
  <c r="K30" i="23"/>
  <c r="AX18" i="23"/>
  <c r="AY18" i="23" s="1"/>
  <c r="W18" i="23"/>
  <c r="AX17" i="23"/>
  <c r="AY17" i="23" s="1"/>
  <c r="AC17" i="23"/>
  <c r="AD17" i="23" s="1"/>
  <c r="AC16" i="23"/>
  <c r="AD16" i="23" s="1"/>
  <c r="P16" i="23"/>
  <c r="Q16" i="23" s="1"/>
  <c r="AC15" i="23"/>
  <c r="P15" i="23"/>
  <c r="Q15" i="23" s="1"/>
  <c r="R15" i="23" s="1"/>
  <c r="AC14" i="23"/>
  <c r="AD14" i="23" s="1"/>
  <c r="AC13" i="23"/>
  <c r="AD13" i="23" s="1"/>
  <c r="AI11" i="23"/>
  <c r="BC10" i="23"/>
  <c r="AH7" i="23"/>
  <c r="F118" i="44"/>
  <c r="G118" i="44" s="1"/>
  <c r="G117" i="44"/>
  <c r="F114" i="44"/>
  <c r="G114" i="44" s="1"/>
  <c r="G113" i="44"/>
  <c r="F110" i="44"/>
  <c r="G110" i="44" s="1"/>
  <c r="G109" i="44"/>
  <c r="F106" i="44"/>
  <c r="G106" i="44" s="1"/>
  <c r="G105" i="44"/>
  <c r="F102" i="44"/>
  <c r="G102" i="44" s="1"/>
  <c r="G101" i="44"/>
  <c r="F98" i="44"/>
  <c r="G98" i="44" s="1"/>
  <c r="G97" i="44"/>
  <c r="F94" i="44"/>
  <c r="G94" i="44" s="1"/>
  <c r="G93" i="44"/>
  <c r="E89" i="44"/>
  <c r="F89" i="44" s="1"/>
  <c r="F88" i="44"/>
  <c r="E85" i="44"/>
  <c r="F85" i="44" s="1"/>
  <c r="F84" i="44"/>
  <c r="E81" i="44"/>
  <c r="F81" i="44" s="1"/>
  <c r="F80" i="44"/>
  <c r="E73" i="44"/>
  <c r="F73" i="44" s="1"/>
  <c r="F72" i="44"/>
  <c r="E69" i="44"/>
  <c r="F69" i="44" s="1"/>
  <c r="F68" i="44"/>
  <c r="E65" i="44"/>
  <c r="F65" i="44" s="1"/>
  <c r="F64" i="44"/>
  <c r="E61" i="44"/>
  <c r="F61" i="44" s="1"/>
  <c r="F60" i="44"/>
  <c r="E57" i="44"/>
  <c r="F57" i="44" s="1"/>
  <c r="F56" i="44"/>
  <c r="E53" i="44"/>
  <c r="F53" i="44" s="1"/>
  <c r="F52" i="44"/>
  <c r="E49" i="44"/>
  <c r="F49" i="44" s="1"/>
  <c r="F48" i="44"/>
  <c r="E45" i="44"/>
  <c r="F45" i="44" s="1"/>
  <c r="F44" i="44"/>
  <c r="E41" i="44"/>
  <c r="F41" i="44" s="1"/>
  <c r="F40" i="44"/>
  <c r="E37" i="44"/>
  <c r="F37" i="44" s="1"/>
  <c r="F36" i="44"/>
  <c r="E33" i="44"/>
  <c r="F33" i="44" s="1"/>
  <c r="F32" i="44"/>
  <c r="E29" i="44"/>
  <c r="F29" i="44" s="1"/>
  <c r="F28" i="44"/>
  <c r="I35" i="43"/>
  <c r="C39" i="43" s="1"/>
  <c r="E21" i="44"/>
  <c r="F21" i="44" s="1"/>
  <c r="F20" i="44"/>
  <c r="E17" i="44"/>
  <c r="F17" i="44" s="1"/>
  <c r="F16" i="44"/>
  <c r="E13" i="44"/>
  <c r="F13" i="44" s="1"/>
  <c r="F12" i="44"/>
  <c r="E7" i="44"/>
  <c r="E8" i="44" s="1"/>
  <c r="F8" i="44" s="1"/>
  <c r="N12" i="59"/>
  <c r="L12" i="59"/>
  <c r="K12" i="59"/>
  <c r="M10" i="59"/>
  <c r="M9" i="59"/>
  <c r="M8" i="59"/>
  <c r="D8" i="59"/>
  <c r="D9" i="59" s="1"/>
  <c r="D10" i="59" s="1"/>
  <c r="M7" i="59"/>
  <c r="L53" i="24"/>
  <c r="K53" i="24"/>
  <c r="R51" i="24"/>
  <c r="M51" i="24"/>
  <c r="R50" i="24"/>
  <c r="M50" i="24"/>
  <c r="R49" i="24"/>
  <c r="M49" i="24"/>
  <c r="R48" i="24"/>
  <c r="M48" i="24"/>
  <c r="D48" i="24"/>
  <c r="D49" i="24" s="1"/>
  <c r="D50" i="24" s="1"/>
  <c r="D51" i="24" s="1"/>
  <c r="R47" i="24"/>
  <c r="M47" i="24"/>
  <c r="L40" i="24"/>
  <c r="K40" i="24"/>
  <c r="M38" i="24"/>
  <c r="M37" i="24"/>
  <c r="M36" i="24"/>
  <c r="M35" i="24"/>
  <c r="D35" i="24"/>
  <c r="D36" i="24" s="1"/>
  <c r="D37" i="24" s="1"/>
  <c r="D38" i="24" s="1"/>
  <c r="M34" i="24"/>
  <c r="L26" i="24"/>
  <c r="K26" i="24"/>
  <c r="M24" i="24"/>
  <c r="M23" i="24"/>
  <c r="M22" i="24"/>
  <c r="M21" i="24"/>
  <c r="D21" i="24"/>
  <c r="D22" i="24" s="1"/>
  <c r="D23" i="24" s="1"/>
  <c r="D24" i="24" s="1"/>
  <c r="M20" i="24"/>
  <c r="L13" i="24"/>
  <c r="K13" i="24"/>
  <c r="M11" i="24"/>
  <c r="M10" i="24"/>
  <c r="M9" i="24"/>
  <c r="M8" i="24"/>
  <c r="D8" i="24"/>
  <c r="D9" i="24" s="1"/>
  <c r="D10" i="24" s="1"/>
  <c r="D11" i="24" s="1"/>
  <c r="M7" i="24"/>
  <c r="I14" i="22"/>
  <c r="E67" i="39" s="1"/>
  <c r="E12" i="22"/>
  <c r="F11" i="22"/>
  <c r="I5" i="22"/>
  <c r="E66" i="39" s="1"/>
  <c r="F4" i="22"/>
  <c r="F17" i="51"/>
  <c r="L7" i="8" s="1"/>
  <c r="K99" i="12" s="1"/>
  <c r="F16" i="51"/>
  <c r="L6" i="8" s="1"/>
  <c r="K87" i="12" s="1"/>
  <c r="J4" i="51"/>
  <c r="J17" i="21"/>
  <c r="I17" i="21"/>
  <c r="G17" i="21"/>
  <c r="AC29" i="19" s="1"/>
  <c r="AC32" i="19" s="1"/>
  <c r="E17" i="21"/>
  <c r="K16" i="21"/>
  <c r="K15" i="21"/>
  <c r="K14" i="21"/>
  <c r="K13" i="21"/>
  <c r="K12" i="21"/>
  <c r="K11" i="21"/>
  <c r="K10" i="21"/>
  <c r="K9" i="21"/>
  <c r="K8" i="21"/>
  <c r="C8" i="21"/>
  <c r="C9" i="21" s="1"/>
  <c r="C10" i="21" s="1"/>
  <c r="C11" i="21" s="1"/>
  <c r="C12" i="21" s="1"/>
  <c r="C13" i="21" s="1"/>
  <c r="C14" i="21" s="1"/>
  <c r="C15" i="21" s="1"/>
  <c r="C16" i="21" s="1"/>
  <c r="S43" i="19"/>
  <c r="T15" i="20"/>
  <c r="Q15" i="20"/>
  <c r="I15" i="20"/>
  <c r="T14" i="20"/>
  <c r="Q14" i="20"/>
  <c r="I14" i="20"/>
  <c r="T13" i="20"/>
  <c r="Q13" i="20"/>
  <c r="I13" i="20"/>
  <c r="T12" i="20"/>
  <c r="Q12" i="20"/>
  <c r="I12" i="20"/>
  <c r="T11" i="20"/>
  <c r="Q11" i="20"/>
  <c r="I11" i="20"/>
  <c r="T10" i="20"/>
  <c r="Q10" i="20"/>
  <c r="I10" i="20"/>
  <c r="T9" i="20"/>
  <c r="Q9" i="20"/>
  <c r="I45" i="19"/>
  <c r="H45" i="19"/>
  <c r="G45" i="19"/>
  <c r="S34" i="19"/>
  <c r="S33" i="19"/>
  <c r="I23" i="19"/>
  <c r="H23" i="19"/>
  <c r="G23" i="19"/>
  <c r="F9" i="19"/>
  <c r="J9" i="19" s="1"/>
  <c r="F31" i="19" s="1"/>
  <c r="R6" i="19"/>
  <c r="G6" i="19"/>
  <c r="T99" i="18"/>
  <c r="T98" i="18"/>
  <c r="AB73" i="18"/>
  <c r="AA73" i="18"/>
  <c r="Z73" i="18"/>
  <c r="AB72" i="18"/>
  <c r="AA72" i="18"/>
  <c r="Z72" i="18"/>
  <c r="AB71" i="18"/>
  <c r="AA71" i="18"/>
  <c r="Z71" i="18"/>
  <c r="F71" i="18"/>
  <c r="F72" i="18" s="1"/>
  <c r="F73" i="18" s="1"/>
  <c r="F74" i="18" s="1"/>
  <c r="AB70" i="18"/>
  <c r="AA70" i="18"/>
  <c r="AM69" i="18"/>
  <c r="N68" i="18" s="1"/>
  <c r="F22" i="19" s="1"/>
  <c r="J22" i="19" s="1"/>
  <c r="F44" i="19" s="1"/>
  <c r="J44" i="19" s="1"/>
  <c r="G19" i="25" s="1"/>
  <c r="AD66" i="18"/>
  <c r="AC66" i="18"/>
  <c r="AB66" i="18"/>
  <c r="AD65" i="18"/>
  <c r="AC65" i="18"/>
  <c r="AB65" i="18"/>
  <c r="AD64" i="18"/>
  <c r="AC64" i="18"/>
  <c r="AB64" i="18"/>
  <c r="AD63" i="18"/>
  <c r="AC63" i="18"/>
  <c r="AB63" i="18"/>
  <c r="F63" i="18"/>
  <c r="F64" i="18" s="1"/>
  <c r="F65" i="18" s="1"/>
  <c r="F66" i="18" s="1"/>
  <c r="J61" i="18"/>
  <c r="AC57" i="18"/>
  <c r="AB57" i="18"/>
  <c r="Y57" i="18"/>
  <c r="X57" i="18"/>
  <c r="AC56" i="18"/>
  <c r="AB56" i="18"/>
  <c r="Y56" i="18"/>
  <c r="X56" i="18"/>
  <c r="AC55" i="18"/>
  <c r="AB55" i="18"/>
  <c r="Y55" i="18"/>
  <c r="X55" i="18"/>
  <c r="AC54" i="18"/>
  <c r="AB54" i="18"/>
  <c r="Y54" i="18"/>
  <c r="X54" i="18"/>
  <c r="F54" i="18"/>
  <c r="F55" i="18" s="1"/>
  <c r="F56" i="18" s="1"/>
  <c r="F57" i="18" s="1"/>
  <c r="F58" i="18" s="1"/>
  <c r="J52" i="18"/>
  <c r="J51" i="18"/>
  <c r="I18" i="25" s="1"/>
  <c r="AF18" i="25" s="1"/>
  <c r="F48" i="18"/>
  <c r="F49" i="18" s="1"/>
  <c r="J45" i="18"/>
  <c r="AJ51" i="18" s="1"/>
  <c r="J38" i="18"/>
  <c r="G50" i="25" s="1"/>
  <c r="F34" i="18"/>
  <c r="J19" i="18"/>
  <c r="R11" i="63"/>
  <c r="L11" i="63"/>
  <c r="AB9" i="63"/>
  <c r="O9" i="63"/>
  <c r="J9" i="63"/>
  <c r="AB8" i="63"/>
  <c r="O8" i="63"/>
  <c r="J8" i="63"/>
  <c r="AB7" i="63"/>
  <c r="O7" i="63"/>
  <c r="J7" i="63"/>
  <c r="D7" i="63"/>
  <c r="D8" i="63" s="1"/>
  <c r="D9" i="63" s="1"/>
  <c r="AB6" i="63"/>
  <c r="O6" i="63"/>
  <c r="J6" i="63"/>
  <c r="R11" i="62"/>
  <c r="L11" i="62"/>
  <c r="AF9" i="62"/>
  <c r="O9" i="62"/>
  <c r="J9" i="62"/>
  <c r="AF8" i="62"/>
  <c r="O8" i="62"/>
  <c r="J8" i="62"/>
  <c r="AF7" i="62"/>
  <c r="O7" i="62"/>
  <c r="J7" i="62"/>
  <c r="D7" i="62"/>
  <c r="D8" i="62" s="1"/>
  <c r="D9" i="62" s="1"/>
  <c r="AF6" i="62"/>
  <c r="O6" i="62"/>
  <c r="AG429" i="17"/>
  <c r="AG428" i="17"/>
  <c r="AG427" i="17"/>
  <c r="AG425" i="17"/>
  <c r="AE425" i="17"/>
  <c r="AG424" i="17"/>
  <c r="AG422" i="17"/>
  <c r="AG421" i="17"/>
  <c r="AG420" i="17"/>
  <c r="AG419" i="17"/>
  <c r="AE419" i="17"/>
  <c r="G392" i="17"/>
  <c r="G393" i="17" s="1"/>
  <c r="G394" i="17" s="1"/>
  <c r="G395" i="17" s="1"/>
  <c r="G396" i="17" s="1"/>
  <c r="G397" i="17" s="1"/>
  <c r="G398" i="17" s="1"/>
  <c r="K389" i="17"/>
  <c r="AE427" i="17" s="1"/>
  <c r="G388" i="17"/>
  <c r="L384" i="17"/>
  <c r="AE428" i="17" s="1"/>
  <c r="G383" i="17"/>
  <c r="L379" i="17"/>
  <c r="AE429" i="17" s="1"/>
  <c r="G378" i="17"/>
  <c r="L374" i="17"/>
  <c r="AE424" i="17" s="1"/>
  <c r="G373" i="17"/>
  <c r="G368" i="17"/>
  <c r="K364" i="17"/>
  <c r="AE422" i="17" s="1"/>
  <c r="G363" i="17"/>
  <c r="L359" i="17"/>
  <c r="G358" i="17"/>
  <c r="L354" i="17"/>
  <c r="G353" i="17"/>
  <c r="L349" i="17"/>
  <c r="AE421" i="17" s="1"/>
  <c r="G348" i="17"/>
  <c r="S340" i="17"/>
  <c r="G338" i="17"/>
  <c r="AU335" i="17"/>
  <c r="S335" i="17"/>
  <c r="P408" i="17" s="1"/>
  <c r="S334" i="17"/>
  <c r="AA330" i="17"/>
  <c r="Z330" i="17"/>
  <c r="AB330" i="17" s="1"/>
  <c r="AA329" i="17"/>
  <c r="Z329" i="17"/>
  <c r="G329" i="17"/>
  <c r="G330" i="17" s="1"/>
  <c r="AF328" i="17"/>
  <c r="S323" i="17"/>
  <c r="S322" i="17"/>
  <c r="Y322" i="17" s="1"/>
  <c r="Y314" i="17"/>
  <c r="S314" i="17"/>
  <c r="Y313" i="17"/>
  <c r="Y312" i="17"/>
  <c r="Y311" i="17"/>
  <c r="Y310" i="17"/>
  <c r="Y309" i="17"/>
  <c r="Y308" i="17"/>
  <c r="Y307" i="17"/>
  <c r="Y306" i="17"/>
  <c r="Y305" i="17"/>
  <c r="Q303" i="17"/>
  <c r="Y302" i="17"/>
  <c r="Y301" i="17"/>
  <c r="Y300" i="17"/>
  <c r="Y299" i="17"/>
  <c r="Y298" i="17"/>
  <c r="Y297" i="17"/>
  <c r="Q295" i="17"/>
  <c r="Y294" i="17"/>
  <c r="Y293" i="17"/>
  <c r="Y292" i="17"/>
  <c r="Y289" i="17"/>
  <c r="Q288" i="17"/>
  <c r="Y288" i="17" s="1"/>
  <c r="Y287" i="17"/>
  <c r="Y286" i="17"/>
  <c r="Y284" i="17"/>
  <c r="Y283" i="17"/>
  <c r="S283" i="17"/>
  <c r="AB152" i="17" s="1"/>
  <c r="Y282" i="17"/>
  <c r="Y281" i="17"/>
  <c r="Y280" i="17"/>
  <c r="S280" i="17"/>
  <c r="AB151" i="17" s="1"/>
  <c r="Y279" i="17"/>
  <c r="Y278" i="17"/>
  <c r="Y277" i="17"/>
  <c r="Y272" i="17"/>
  <c r="Y271" i="17"/>
  <c r="Q269" i="17"/>
  <c r="Y269" i="17" s="1"/>
  <c r="Y268" i="17"/>
  <c r="Y267" i="17"/>
  <c r="Y266" i="17"/>
  <c r="Y265" i="17"/>
  <c r="Y263" i="17"/>
  <c r="Q262" i="17"/>
  <c r="Y262" i="17" s="1"/>
  <c r="Y261" i="17"/>
  <c r="Y260" i="17"/>
  <c r="Y258" i="17"/>
  <c r="Y257" i="17"/>
  <c r="Y256" i="17"/>
  <c r="Q254" i="17"/>
  <c r="Y254" i="17" s="1"/>
  <c r="Y253" i="17"/>
  <c r="Y252" i="17"/>
  <c r="Y251" i="17"/>
  <c r="Y250" i="17"/>
  <c r="Y248" i="17"/>
  <c r="Q247" i="17"/>
  <c r="Y247" i="17" s="1"/>
  <c r="Y246" i="17"/>
  <c r="Y245" i="17"/>
  <c r="Y243" i="17"/>
  <c r="Y242" i="17"/>
  <c r="Y241" i="17"/>
  <c r="Q239" i="17"/>
  <c r="Y239" i="17" s="1"/>
  <c r="Y238" i="17"/>
  <c r="Y237" i="17"/>
  <c r="Y236" i="17"/>
  <c r="Y235" i="17"/>
  <c r="Y233" i="17"/>
  <c r="Q232" i="17"/>
  <c r="Q234" i="17" s="1"/>
  <c r="Y231" i="17"/>
  <c r="Y230" i="17"/>
  <c r="Y229" i="17"/>
  <c r="Y228" i="17"/>
  <c r="Y227" i="17"/>
  <c r="S227" i="17"/>
  <c r="Y226" i="17"/>
  <c r="Y225" i="17"/>
  <c r="Y224" i="17"/>
  <c r="Y217" i="17"/>
  <c r="Y216" i="17"/>
  <c r="Y215" i="17"/>
  <c r="Q213" i="17"/>
  <c r="Q214" i="17" s="1"/>
  <c r="S219" i="17" s="1"/>
  <c r="AB140" i="17" s="1"/>
  <c r="Y212" i="17"/>
  <c r="Y211" i="17"/>
  <c r="Y210" i="17"/>
  <c r="Y208" i="17"/>
  <c r="Y204" i="17"/>
  <c r="Y203" i="17"/>
  <c r="Y202" i="17"/>
  <c r="Q200" i="17"/>
  <c r="Q201" i="17" s="1"/>
  <c r="S206" i="17" s="1"/>
  <c r="AB139" i="17" s="1"/>
  <c r="Y199" i="17"/>
  <c r="Y198" i="17"/>
  <c r="Y197" i="17"/>
  <c r="Y195" i="17"/>
  <c r="Y191" i="17"/>
  <c r="Y190" i="17"/>
  <c r="Y189" i="17"/>
  <c r="Q187" i="17"/>
  <c r="Q188" i="17" s="1"/>
  <c r="Y186" i="17"/>
  <c r="Y185" i="17"/>
  <c r="Y184" i="17"/>
  <c r="Y182" i="17"/>
  <c r="Q179" i="17"/>
  <c r="Y178" i="17"/>
  <c r="Y177" i="17"/>
  <c r="Y176" i="17"/>
  <c r="Q175" i="17"/>
  <c r="Y174" i="17"/>
  <c r="Y173" i="17"/>
  <c r="G165" i="17"/>
  <c r="G166" i="17" s="1"/>
  <c r="Q160" i="17"/>
  <c r="Y159" i="17"/>
  <c r="Y158" i="17"/>
  <c r="Y157" i="17"/>
  <c r="Y156" i="17"/>
  <c r="Y154" i="17"/>
  <c r="Y153" i="17"/>
  <c r="Y152" i="17"/>
  <c r="Y151" i="17"/>
  <c r="Q150" i="17"/>
  <c r="Y148" i="17"/>
  <c r="Y142" i="17"/>
  <c r="Y139" i="17"/>
  <c r="Y138" i="17"/>
  <c r="Y137" i="17"/>
  <c r="AB134" i="17"/>
  <c r="S130" i="17"/>
  <c r="G122" i="17"/>
  <c r="S118" i="17"/>
  <c r="M408" i="17" s="1"/>
  <c r="S117" i="17"/>
  <c r="Y124" i="17" s="1"/>
  <c r="AA113" i="17"/>
  <c r="Z113" i="17"/>
  <c r="AS112" i="17"/>
  <c r="AA112" i="17"/>
  <c r="Z112" i="17"/>
  <c r="G112" i="17"/>
  <c r="G113" i="17" s="1"/>
  <c r="S103" i="17"/>
  <c r="Y103" i="17" s="1"/>
  <c r="Q94" i="17"/>
  <c r="Y93" i="17"/>
  <c r="Y92" i="17"/>
  <c r="Y91" i="17"/>
  <c r="Y89" i="17"/>
  <c r="Q87" i="17"/>
  <c r="Y86" i="17"/>
  <c r="Y85" i="17"/>
  <c r="Y84" i="17"/>
  <c r="Y80" i="17"/>
  <c r="Q79" i="17"/>
  <c r="Y79" i="17" s="1"/>
  <c r="Y78" i="17"/>
  <c r="Y77" i="17"/>
  <c r="Q71" i="17"/>
  <c r="Y65" i="17"/>
  <c r="Q64" i="17"/>
  <c r="Q66" i="17" s="1"/>
  <c r="Y63" i="17"/>
  <c r="Y62" i="17"/>
  <c r="Y55" i="17"/>
  <c r="Q53" i="17"/>
  <c r="Q54" i="17" s="1"/>
  <c r="S56" i="17" s="1"/>
  <c r="AC11" i="17" s="1"/>
  <c r="Y52" i="17"/>
  <c r="Y51" i="17"/>
  <c r="Y50" i="17"/>
  <c r="Y48" i="17"/>
  <c r="Y45" i="17"/>
  <c r="Q43" i="17"/>
  <c r="Q44" i="17" s="1"/>
  <c r="S46" i="17" s="1"/>
  <c r="AC10" i="17" s="1"/>
  <c r="Y42" i="17"/>
  <c r="Y41" i="17"/>
  <c r="Y40" i="17"/>
  <c r="Y38" i="17"/>
  <c r="S36" i="17"/>
  <c r="AC9" i="17" s="1"/>
  <c r="Y35" i="17"/>
  <c r="Y34" i="17"/>
  <c r="G26" i="17"/>
  <c r="G27" i="17" s="1"/>
  <c r="Q21" i="17"/>
  <c r="Y20" i="17"/>
  <c r="Y19" i="17"/>
  <c r="Y18" i="17"/>
  <c r="Y17" i="17"/>
  <c r="Q15" i="17"/>
  <c r="Y14" i="17"/>
  <c r="AC13" i="17"/>
  <c r="Y13" i="17"/>
  <c r="AC12" i="17"/>
  <c r="Y12" i="17"/>
  <c r="Q10" i="17"/>
  <c r="Y10" i="17" s="1"/>
  <c r="AP9" i="17"/>
  <c r="Y9" i="17"/>
  <c r="AC8" i="17"/>
  <c r="Y8" i="17"/>
  <c r="S8" i="17"/>
  <c r="F14" i="15"/>
  <c r="E14" i="15"/>
  <c r="G13" i="15"/>
  <c r="G5" i="15"/>
  <c r="J42" i="14"/>
  <c r="J41" i="14"/>
  <c r="J40" i="14"/>
  <c r="H38" i="14"/>
  <c r="H37" i="14"/>
  <c r="H36" i="14"/>
  <c r="H33" i="14"/>
  <c r="H32" i="14"/>
  <c r="H31" i="14"/>
  <c r="H30" i="14"/>
  <c r="H29" i="14"/>
  <c r="H28" i="14"/>
  <c r="H27" i="14"/>
  <c r="H26" i="14"/>
  <c r="F53" i="13"/>
  <c r="L42" i="13"/>
  <c r="L44" i="13" s="1"/>
  <c r="K42" i="13"/>
  <c r="K44" i="13" s="1"/>
  <c r="J42" i="13"/>
  <c r="J44" i="13" s="1"/>
  <c r="I42" i="13"/>
  <c r="I44" i="13" s="1"/>
  <c r="H42" i="13"/>
  <c r="H44" i="13" s="1"/>
  <c r="G42" i="13"/>
  <c r="G44" i="13" s="1"/>
  <c r="L39" i="13"/>
  <c r="L43" i="13" s="1"/>
  <c r="K39" i="13"/>
  <c r="K43" i="13" s="1"/>
  <c r="J39" i="13"/>
  <c r="J43" i="13" s="1"/>
  <c r="I39" i="13"/>
  <c r="I43" i="13" s="1"/>
  <c r="H39" i="13"/>
  <c r="H43" i="13" s="1"/>
  <c r="G39" i="13"/>
  <c r="G43" i="13" s="1"/>
  <c r="AV17" i="13"/>
  <c r="AV19" i="13" s="1"/>
  <c r="AU17" i="13"/>
  <c r="AU19" i="13" s="1"/>
  <c r="AT17" i="13"/>
  <c r="AT19" i="13" s="1"/>
  <c r="AS17" i="13"/>
  <c r="AS19" i="13" s="1"/>
  <c r="Y16" i="13"/>
  <c r="X16" i="13"/>
  <c r="W16" i="13"/>
  <c r="V16" i="13"/>
  <c r="U16" i="13"/>
  <c r="T16" i="13"/>
  <c r="I16" i="13"/>
  <c r="I18" i="13" s="1"/>
  <c r="H16" i="13"/>
  <c r="H18" i="13" s="1"/>
  <c r="G16" i="13"/>
  <c r="G18" i="13" s="1"/>
  <c r="G22" i="13" s="1"/>
  <c r="G28" i="13" s="1"/>
  <c r="F16" i="13"/>
  <c r="F18" i="13" s="1"/>
  <c r="F22" i="13" s="1"/>
  <c r="F28" i="13" s="1"/>
  <c r="AV14" i="13"/>
  <c r="AV18" i="13" s="1"/>
  <c r="AU14" i="13"/>
  <c r="AU18" i="13" s="1"/>
  <c r="AT14" i="13"/>
  <c r="AT18" i="13" s="1"/>
  <c r="AS14" i="13"/>
  <c r="AS18" i="13" s="1"/>
  <c r="I17" i="13"/>
  <c r="H13" i="13"/>
  <c r="H17" i="13" s="1"/>
  <c r="Z11" i="13"/>
  <c r="Y11" i="13"/>
  <c r="X11" i="13"/>
  <c r="W11" i="13"/>
  <c r="V11" i="13"/>
  <c r="U11" i="13"/>
  <c r="T11" i="13"/>
  <c r="K136" i="12"/>
  <c r="K139" i="12" s="1"/>
  <c r="K143" i="12" s="1"/>
  <c r="I97" i="12"/>
  <c r="I92" i="12"/>
  <c r="I81" i="12"/>
  <c r="I69" i="12"/>
  <c r="K56" i="12"/>
  <c r="I53" i="12"/>
  <c r="I54" i="12" s="1"/>
  <c r="I42" i="12"/>
  <c r="I43" i="12" s="1"/>
  <c r="H39" i="12"/>
  <c r="H40" i="12" s="1"/>
  <c r="F39" i="12"/>
  <c r="F40" i="12" s="1"/>
  <c r="I26" i="12"/>
  <c r="K129" i="12" s="1"/>
  <c r="J10" i="28" s="1"/>
  <c r="I25" i="12"/>
  <c r="I24" i="12"/>
  <c r="I23" i="12"/>
  <c r="I22" i="12"/>
  <c r="I20" i="12"/>
  <c r="I12" i="12"/>
  <c r="N59" i="11"/>
  <c r="N6" i="19"/>
  <c r="I23" i="11"/>
  <c r="K24" i="11" s="1"/>
  <c r="K25" i="11" s="1"/>
  <c r="I26" i="11" s="1"/>
  <c r="K28" i="11" s="1"/>
  <c r="F18" i="11"/>
  <c r="F19" i="11" s="1"/>
  <c r="F9" i="11"/>
  <c r="F10" i="11" s="1"/>
  <c r="F11" i="11" s="1"/>
  <c r="F12" i="11" s="1"/>
  <c r="F13" i="11" s="1"/>
  <c r="F14" i="11" s="1"/>
  <c r="F8" i="19"/>
  <c r="F10" i="29"/>
  <c r="Q8" i="29"/>
  <c r="P8" i="29"/>
  <c r="O8" i="29"/>
  <c r="T8" i="29" s="1"/>
  <c r="Q7" i="29"/>
  <c r="P7" i="29"/>
  <c r="O7" i="29"/>
  <c r="T7" i="29" s="1"/>
  <c r="Q6" i="29"/>
  <c r="P6" i="29"/>
  <c r="O6" i="29"/>
  <c r="T6" i="29" s="1"/>
  <c r="B6" i="29"/>
  <c r="B7" i="29" s="1"/>
  <c r="B8" i="29" s="1"/>
  <c r="Q5" i="29"/>
  <c r="P5" i="29"/>
  <c r="O5" i="29"/>
  <c r="R5" i="29" s="1"/>
  <c r="S5" i="29" s="1"/>
  <c r="D24" i="38"/>
  <c r="D23" i="38"/>
  <c r="D22" i="38"/>
  <c r="D18" i="38"/>
  <c r="F19" i="38" s="1"/>
  <c r="D17" i="38"/>
  <c r="D16" i="38"/>
  <c r="D15" i="38"/>
  <c r="D13" i="38"/>
  <c r="D12" i="38"/>
  <c r="D11" i="38"/>
  <c r="D10" i="38"/>
  <c r="A2" i="38"/>
  <c r="L101" i="8"/>
  <c r="L100" i="8"/>
  <c r="L90" i="8"/>
  <c r="I66" i="12" s="1"/>
  <c r="L80" i="8"/>
  <c r="I93" i="12" s="1"/>
  <c r="L70" i="8"/>
  <c r="I65" i="12" s="1"/>
  <c r="L62" i="8"/>
  <c r="I64" i="12" s="1"/>
  <c r="L51" i="8"/>
  <c r="I63" i="12" s="1"/>
  <c r="L40" i="8"/>
  <c r="I62" i="12" s="1"/>
  <c r="L20" i="8"/>
  <c r="L198" i="7"/>
  <c r="L193" i="7"/>
  <c r="L188" i="7"/>
  <c r="L186" i="7"/>
  <c r="L181" i="7"/>
  <c r="K177" i="7"/>
  <c r="I105" i="12" s="1"/>
  <c r="K176" i="7"/>
  <c r="J176" i="7"/>
  <c r="W174" i="7"/>
  <c r="V174" i="7"/>
  <c r="W173" i="7"/>
  <c r="V173" i="7"/>
  <c r="W172" i="7"/>
  <c r="V172" i="7"/>
  <c r="W171" i="7"/>
  <c r="V171" i="7"/>
  <c r="W170" i="7"/>
  <c r="V170" i="7"/>
  <c r="W169" i="7"/>
  <c r="V169" i="7"/>
  <c r="W168" i="7"/>
  <c r="V168" i="7"/>
  <c r="W167" i="7"/>
  <c r="V167" i="7"/>
  <c r="W166" i="7"/>
  <c r="V166" i="7"/>
  <c r="D166" i="7"/>
  <c r="D167" i="7" s="1"/>
  <c r="D168" i="7" s="1"/>
  <c r="D169" i="7" s="1"/>
  <c r="D170" i="7" s="1"/>
  <c r="D171" i="7" s="1"/>
  <c r="D172" i="7" s="1"/>
  <c r="D173" i="7" s="1"/>
  <c r="D174" i="7" s="1"/>
  <c r="W165" i="7"/>
  <c r="V165" i="7"/>
  <c r="D153" i="7"/>
  <c r="D154" i="7" s="1"/>
  <c r="K146" i="7"/>
  <c r="I103" i="12" s="1"/>
  <c r="K143" i="7"/>
  <c r="D141" i="7"/>
  <c r="D142" i="7" s="1"/>
  <c r="L128" i="7"/>
  <c r="L121" i="7"/>
  <c r="Q119" i="7"/>
  <c r="E115" i="7"/>
  <c r="E116" i="7" s="1"/>
  <c r="E117" i="7" s="1"/>
  <c r="T114" i="7"/>
  <c r="L110" i="7"/>
  <c r="F104" i="7"/>
  <c r="F105" i="7" s="1"/>
  <c r="F106" i="7" s="1"/>
  <c r="F107" i="7" s="1"/>
  <c r="F108" i="7" s="1"/>
  <c r="F109" i="7" s="1"/>
  <c r="L99" i="7"/>
  <c r="G96" i="7"/>
  <c r="G97" i="7" s="1"/>
  <c r="G98" i="7" s="1"/>
  <c r="L91" i="7"/>
  <c r="L69" i="7"/>
  <c r="L65" i="7"/>
  <c r="L61" i="7"/>
  <c r="L51" i="7"/>
  <c r="L43" i="7"/>
  <c r="J22" i="7"/>
  <c r="L24" i="7" s="1"/>
  <c r="G19" i="7"/>
  <c r="G20" i="7" s="1"/>
  <c r="G21" i="7" s="1"/>
  <c r="N54" i="58"/>
  <c r="F38" i="58"/>
  <c r="N32" i="58"/>
  <c r="N26" i="58"/>
  <c r="N15" i="58"/>
  <c r="F11" i="58"/>
  <c r="R27" i="57"/>
  <c r="R22" i="57"/>
  <c r="R11" i="57"/>
  <c r="R8" i="57"/>
  <c r="L84" i="6"/>
  <c r="L78" i="6"/>
  <c r="L72" i="6"/>
  <c r="L64" i="6"/>
  <c r="L57" i="6"/>
  <c r="L52" i="6"/>
  <c r="L43" i="6"/>
  <c r="L38" i="6"/>
  <c r="J31" i="6"/>
  <c r="L33" i="6" s="1"/>
  <c r="L24" i="6"/>
  <c r="J19" i="6"/>
  <c r="L20" i="6" s="1"/>
  <c r="L11" i="6"/>
  <c r="L12" i="6" s="1"/>
  <c r="M7" i="5"/>
  <c r="N7" i="5" s="1"/>
  <c r="M6" i="5"/>
  <c r="N6" i="5" s="1"/>
  <c r="M5" i="5"/>
  <c r="N5" i="5" s="1"/>
  <c r="Q3" i="5"/>
  <c r="P3" i="5"/>
  <c r="N3" i="5"/>
  <c r="E113" i="1"/>
  <c r="E114" i="1" s="1"/>
  <c r="E115" i="1" s="1"/>
  <c r="E101" i="1"/>
  <c r="E102" i="1" s="1"/>
  <c r="E103" i="1" s="1"/>
  <c r="E104" i="1" s="1"/>
  <c r="E105" i="1" s="1"/>
  <c r="E106" i="1" s="1"/>
  <c r="E73" i="1"/>
  <c r="E74" i="1" s="1"/>
  <c r="E67" i="1"/>
  <c r="E61" i="1"/>
  <c r="E62" i="1" s="1"/>
  <c r="E28" i="1"/>
  <c r="BB19" i="1"/>
  <c r="B9" i="39" s="1"/>
  <c r="C6" i="41"/>
  <c r="C7" i="41" s="1"/>
  <c r="C8" i="41" s="1"/>
  <c r="C9" i="41" s="1"/>
  <c r="C10" i="41" s="1"/>
  <c r="C11" i="41" s="1"/>
  <c r="C12" i="41" s="1"/>
  <c r="C13" i="41" s="1"/>
  <c r="C14" i="41" s="1"/>
  <c r="C15" i="41" s="1"/>
  <c r="C16" i="41" s="1"/>
  <c r="C17" i="41" s="1"/>
  <c r="C18" i="41" s="1"/>
  <c r="C19" i="41" s="1"/>
  <c r="C20" i="41" s="1"/>
  <c r="C21" i="41" s="1"/>
  <c r="C22" i="41" s="1"/>
  <c r="C23" i="41" s="1"/>
  <c r="C24" i="41" s="1"/>
  <c r="C25" i="41" s="1"/>
  <c r="C26" i="41" s="1"/>
  <c r="C27" i="41" s="1"/>
  <c r="C28" i="41" s="1"/>
  <c r="C29" i="41" s="1"/>
  <c r="C30" i="41" s="1"/>
  <c r="F4" i="41"/>
  <c r="B74" i="39"/>
  <c r="B238" i="39" a="1"/>
  <c r="B332" i="39" a="1"/>
  <c r="B287" i="39" a="1"/>
  <c r="B311" i="39" a="1"/>
  <c r="AF72" i="18"/>
  <c r="AF73" i="18"/>
  <c r="B27" i="36"/>
  <c r="AF71" i="18"/>
  <c r="AF70" i="18"/>
  <c r="H22" i="13" l="1"/>
  <c r="H28" i="13" s="1"/>
  <c r="R51" i="25"/>
  <c r="G52" i="25" s="1"/>
  <c r="H52" i="25" s="1"/>
  <c r="B332" i="39"/>
  <c r="B311" i="39"/>
  <c r="B287" i="39"/>
  <c r="B238" i="39"/>
  <c r="J47" i="13"/>
  <c r="J53" i="13" s="1"/>
  <c r="D35" i="25"/>
  <c r="D36" i="25"/>
  <c r="N22" i="50"/>
  <c r="C31" i="41"/>
  <c r="C32" i="41" s="1"/>
  <c r="C33" i="41" s="1"/>
  <c r="C34" i="41" s="1"/>
  <c r="C35" i="41" s="1"/>
  <c r="C36" i="41" s="1"/>
  <c r="C37" i="41" s="1"/>
  <c r="C38" i="41" s="1"/>
  <c r="C39" i="41" s="1"/>
  <c r="C40" i="41" s="1"/>
  <c r="C41" i="41" s="1"/>
  <c r="C42" i="41" s="1"/>
  <c r="C43" i="41" s="1"/>
  <c r="C44" i="41" s="1"/>
  <c r="C45" i="41" s="1"/>
  <c r="C46" i="41" s="1"/>
  <c r="AB113" i="17"/>
  <c r="R55" i="25"/>
  <c r="G54" i="25" s="1"/>
  <c r="AD35" i="25" s="1"/>
  <c r="AL74" i="18"/>
  <c r="AO74" i="18"/>
  <c r="AS74" i="18"/>
  <c r="AU74" i="18"/>
  <c r="AW74" i="18"/>
  <c r="AY74" i="18"/>
  <c r="BA74" i="18"/>
  <c r="AC74" i="18"/>
  <c r="AE74" i="18" s="1"/>
  <c r="AD74" i="18"/>
  <c r="G24" i="19"/>
  <c r="G20" i="20" s="1"/>
  <c r="U19" i="25"/>
  <c r="AY72" i="18"/>
  <c r="AU75" i="18"/>
  <c r="AN55" i="18"/>
  <c r="AN54" i="18"/>
  <c r="AY6" i="18"/>
  <c r="S180" i="17"/>
  <c r="AB137" i="17" s="1"/>
  <c r="D79" i="25"/>
  <c r="D82" i="25" s="1"/>
  <c r="D81" i="25"/>
  <c r="R90" i="25"/>
  <c r="G90" i="25" s="1"/>
  <c r="AY11" i="18"/>
  <c r="K47" i="13"/>
  <c r="K53" i="13" s="1"/>
  <c r="L47" i="13"/>
  <c r="L53" i="13" s="1"/>
  <c r="H47" i="13"/>
  <c r="H53" i="13" s="1"/>
  <c r="AA9" i="49"/>
  <c r="W9" i="49"/>
  <c r="V9" i="49"/>
  <c r="T9" i="49"/>
  <c r="Z9" i="49"/>
  <c r="AA13" i="49"/>
  <c r="W13" i="49"/>
  <c r="V13" i="49"/>
  <c r="T13" i="49"/>
  <c r="Z13" i="49"/>
  <c r="I47" i="13"/>
  <c r="I53" i="13" s="1"/>
  <c r="D80" i="25"/>
  <c r="D83" i="25" s="1"/>
  <c r="D84" i="25" s="1"/>
  <c r="K9" i="27"/>
  <c r="I19" i="27"/>
  <c r="W12" i="49"/>
  <c r="AA12" i="49"/>
  <c r="V12" i="49"/>
  <c r="T12" i="49"/>
  <c r="Z12" i="49"/>
  <c r="AA11" i="49"/>
  <c r="W11" i="49"/>
  <c r="V11" i="49"/>
  <c r="T11" i="49"/>
  <c r="Z11" i="49"/>
  <c r="AA15" i="49"/>
  <c r="W15" i="49"/>
  <c r="V15" i="49"/>
  <c r="T15" i="49"/>
  <c r="Z15" i="49"/>
  <c r="V8" i="49"/>
  <c r="T8" i="49"/>
  <c r="W8" i="49"/>
  <c r="AA8" i="49"/>
  <c r="Z8" i="49"/>
  <c r="AA10" i="49"/>
  <c r="W10" i="49"/>
  <c r="V10" i="49"/>
  <c r="T10" i="49"/>
  <c r="Z10" i="49"/>
  <c r="AA14" i="49"/>
  <c r="W14" i="49"/>
  <c r="V14" i="49"/>
  <c r="T14" i="49"/>
  <c r="Z14" i="49"/>
  <c r="Z7" i="49"/>
  <c r="T7" i="49"/>
  <c r="W7" i="49" s="1"/>
  <c r="U84" i="18"/>
  <c r="AC52" i="18"/>
  <c r="G47" i="13"/>
  <c r="G53" i="13" s="1"/>
  <c r="AB154" i="17"/>
  <c r="C33" i="39"/>
  <c r="C34" i="39"/>
  <c r="B26" i="39"/>
  <c r="I22" i="13"/>
  <c r="I28" i="13" s="1"/>
  <c r="R8" i="19"/>
  <c r="R10" i="19" s="1"/>
  <c r="R11" i="19" s="1"/>
  <c r="R12" i="19" s="1"/>
  <c r="K131" i="12"/>
  <c r="K134" i="12" s="1"/>
  <c r="P290" i="39"/>
  <c r="AR330" i="17"/>
  <c r="AD56" i="17" s="1"/>
  <c r="AO113" i="17"/>
  <c r="M6" i="62"/>
  <c r="K6" i="62" s="1"/>
  <c r="M7" i="62"/>
  <c r="K7" i="62" s="1"/>
  <c r="S7" i="62" s="1"/>
  <c r="T7" i="62" s="1"/>
  <c r="U85" i="18"/>
  <c r="J5" i="18" s="1"/>
  <c r="AS7" i="18"/>
  <c r="AW6" i="18"/>
  <c r="AS11" i="18"/>
  <c r="AU11" i="18"/>
  <c r="AW11" i="18"/>
  <c r="AN53" i="18"/>
  <c r="AL53" i="18"/>
  <c r="AJ53" i="18"/>
  <c r="D138" i="39"/>
  <c r="E138" i="39" s="1"/>
  <c r="R84" i="25"/>
  <c r="G84" i="25" s="1"/>
  <c r="R88" i="25"/>
  <c r="G88" i="25" s="1"/>
  <c r="R85" i="25"/>
  <c r="G85" i="25" s="1"/>
  <c r="AU6" i="18"/>
  <c r="L79" i="6"/>
  <c r="N27" i="58"/>
  <c r="N29" i="58" s="1"/>
  <c r="L44" i="6"/>
  <c r="Y104" i="17"/>
  <c r="Q81" i="17"/>
  <c r="Y82" i="17" s="1"/>
  <c r="AC16" i="17"/>
  <c r="AC8" i="49"/>
  <c r="L25" i="6"/>
  <c r="R6" i="29"/>
  <c r="S6" i="29" s="1"/>
  <c r="G333" i="39"/>
  <c r="Q310" i="39" s="1"/>
  <c r="X101" i="25"/>
  <c r="N38" i="28"/>
  <c r="U7" i="29"/>
  <c r="R8" i="29"/>
  <c r="S8" i="29" s="1"/>
  <c r="AF329" i="17"/>
  <c r="M6" i="63"/>
  <c r="K6" i="63" s="1"/>
  <c r="S6" i="63" s="1"/>
  <c r="M7" i="63"/>
  <c r="K7" i="63" s="1"/>
  <c r="S7" i="63" s="1"/>
  <c r="T7" i="63" s="1"/>
  <c r="F12" i="22"/>
  <c r="E13" i="22"/>
  <c r="F13" i="22" s="1"/>
  <c r="N10" i="50"/>
  <c r="R23" i="57"/>
  <c r="R28" i="57" s="1"/>
  <c r="N55" i="58" s="1"/>
  <c r="L194" i="7"/>
  <c r="U8" i="29"/>
  <c r="S161" i="17"/>
  <c r="AH329" i="17"/>
  <c r="AV329" i="17"/>
  <c r="M53" i="24"/>
  <c r="U6" i="29"/>
  <c r="R7" i="29"/>
  <c r="S7" i="29" s="1"/>
  <c r="AD330" i="17"/>
  <c r="W101" i="25"/>
  <c r="F187" i="39"/>
  <c r="G223" i="39" s="1"/>
  <c r="AY12" i="18"/>
  <c r="AW12" i="18"/>
  <c r="AW20" i="18"/>
  <c r="N16" i="50"/>
  <c r="N7" i="50"/>
  <c r="N13" i="50"/>
  <c r="N28" i="50"/>
  <c r="N25" i="50"/>
  <c r="S193" i="17"/>
  <c r="AB138" i="17" s="1"/>
  <c r="Y188" i="17"/>
  <c r="I37" i="43"/>
  <c r="C41" i="43" s="1"/>
  <c r="I33" i="23"/>
  <c r="K33" i="23" s="1"/>
  <c r="E191" i="39"/>
  <c r="F191" i="39" s="1"/>
  <c r="G227" i="39" s="1"/>
  <c r="C191" i="39"/>
  <c r="T5" i="29"/>
  <c r="AI112" i="17"/>
  <c r="AI113" i="17"/>
  <c r="AL330" i="17"/>
  <c r="K58" i="24"/>
  <c r="F7" i="44"/>
  <c r="B206" i="39"/>
  <c r="W51" i="7"/>
  <c r="D26" i="38"/>
  <c r="U5" i="29"/>
  <c r="Q16" i="17"/>
  <c r="S22" i="17" s="1"/>
  <c r="Q290" i="17"/>
  <c r="Q296" i="17" s="1"/>
  <c r="S304" i="17" s="1"/>
  <c r="AB153" i="17" s="1"/>
  <c r="AP329" i="17"/>
  <c r="AD50" i="17" s="1"/>
  <c r="E9" i="44"/>
  <c r="F9" i="44" s="1"/>
  <c r="AJ8" i="30"/>
  <c r="AJ9" i="30"/>
  <c r="AJ10" i="30"/>
  <c r="AG99" i="39"/>
  <c r="D128" i="39"/>
  <c r="E128" i="39" s="1"/>
  <c r="M12" i="59"/>
  <c r="C227" i="39"/>
  <c r="F202" i="39"/>
  <c r="H227" i="39" s="1"/>
  <c r="L59" i="6"/>
  <c r="L65" i="6" s="1"/>
  <c r="L80" i="6" s="1"/>
  <c r="G14" i="15"/>
  <c r="I91" i="12" s="1"/>
  <c r="K100" i="12" s="1"/>
  <c r="AG112" i="17"/>
  <c r="N31" i="50"/>
  <c r="J28" i="10"/>
  <c r="M26" i="24"/>
  <c r="L58" i="24"/>
  <c r="M13" i="24"/>
  <c r="AY9" i="18"/>
  <c r="AU5" i="18"/>
  <c r="S3" i="26"/>
  <c r="K17" i="21"/>
  <c r="Q18" i="20"/>
  <c r="T18" i="20"/>
  <c r="I18" i="20"/>
  <c r="H56" i="25"/>
  <c r="I56" i="25" s="1"/>
  <c r="AF57" i="25" s="1"/>
  <c r="J13" i="35"/>
  <c r="J84" i="10" s="1"/>
  <c r="L86" i="10" s="1"/>
  <c r="AD50" i="25"/>
  <c r="H40" i="25"/>
  <c r="I40" i="25" s="1"/>
  <c r="AF46" i="25" s="1"/>
  <c r="S31" i="19"/>
  <c r="W31" i="19" s="1"/>
  <c r="S36" i="19"/>
  <c r="S39" i="19"/>
  <c r="V84" i="39"/>
  <c r="X81" i="39"/>
  <c r="L81" i="39"/>
  <c r="U80" i="39"/>
  <c r="X77" i="39"/>
  <c r="T82" i="39"/>
  <c r="S81" i="39"/>
  <c r="X79" i="39"/>
  <c r="U78" i="39"/>
  <c r="V83" i="39"/>
  <c r="M81" i="39"/>
  <c r="Y80" i="39"/>
  <c r="S79" i="39"/>
  <c r="Y77" i="39"/>
  <c r="S85" i="39"/>
  <c r="W81" i="39"/>
  <c r="H81" i="39"/>
  <c r="V78" i="39"/>
  <c r="T77" i="39"/>
  <c r="S82" i="39"/>
  <c r="B8" i="39"/>
  <c r="B11" i="39" s="1"/>
  <c r="B72" i="39" s="1"/>
  <c r="AK28" i="19"/>
  <c r="O11" i="62"/>
  <c r="AD19" i="25"/>
  <c r="O402" i="17"/>
  <c r="M8" i="62"/>
  <c r="K8" i="62" s="1"/>
  <c r="S8" i="62" s="1"/>
  <c r="T8" i="62" s="1"/>
  <c r="H17" i="21"/>
  <c r="M40" i="24"/>
  <c r="I36" i="43"/>
  <c r="C40" i="43" s="1"/>
  <c r="I31" i="23"/>
  <c r="K31" i="23" s="1"/>
  <c r="AD21" i="25"/>
  <c r="AM113" i="17"/>
  <c r="AE113" i="17"/>
  <c r="AM112" i="17"/>
  <c r="AD42" i="17" s="1"/>
  <c r="AE112" i="17"/>
  <c r="AK113" i="17"/>
  <c r="AK112" i="17"/>
  <c r="AD41" i="17" s="1"/>
  <c r="AB112" i="17"/>
  <c r="AO112" i="17"/>
  <c r="AD59" i="17" s="1"/>
  <c r="AP330" i="17"/>
  <c r="AF48" i="17" s="1"/>
  <c r="AH330" i="17"/>
  <c r="AT329" i="17"/>
  <c r="AL329" i="17"/>
  <c r="AD48" i="17" s="1"/>
  <c r="AD329" i="17"/>
  <c r="AN330" i="17"/>
  <c r="AF47" i="17" s="1"/>
  <c r="AF330" i="17"/>
  <c r="AR329" i="17"/>
  <c r="AD55" i="17" s="1"/>
  <c r="AJ329" i="17"/>
  <c r="AD45" i="17" s="1"/>
  <c r="AB329" i="17"/>
  <c r="AN329" i="17"/>
  <c r="AJ330" i="17"/>
  <c r="AE420" i="17"/>
  <c r="M9" i="62"/>
  <c r="K9" i="62" s="1"/>
  <c r="S9" i="62" s="1"/>
  <c r="T9" i="62" s="1"/>
  <c r="AQ76" i="18"/>
  <c r="AS18" i="18"/>
  <c r="BA17" i="18"/>
  <c r="AI19" i="18"/>
  <c r="AW17" i="18"/>
  <c r="AW18" i="18"/>
  <c r="AD52" i="25"/>
  <c r="H50" i="25"/>
  <c r="B7" i="39"/>
  <c r="AJ11" i="30"/>
  <c r="AJ12" i="30"/>
  <c r="B75" i="39"/>
  <c r="I19" i="12"/>
  <c r="O3" i="5"/>
  <c r="AG98" i="39"/>
  <c r="K113" i="12"/>
  <c r="K30" i="11"/>
  <c r="J11" i="62"/>
  <c r="M9" i="63"/>
  <c r="K9" i="63" s="1"/>
  <c r="S9" i="63" s="1"/>
  <c r="T9" i="63" s="1"/>
  <c r="B22" i="39"/>
  <c r="E39" i="39"/>
  <c r="AE68" i="39"/>
  <c r="L27" i="6"/>
  <c r="AQ112" i="17"/>
  <c r="AD63" i="17" s="1"/>
  <c r="AG113" i="17"/>
  <c r="AD20" i="25"/>
  <c r="H26" i="25"/>
  <c r="M333" i="39" s="1"/>
  <c r="Q312" i="39" s="1"/>
  <c r="AD25" i="25"/>
  <c r="AE78" i="39"/>
  <c r="Y105" i="17"/>
  <c r="AD58" i="25"/>
  <c r="P9" i="66"/>
  <c r="P10" i="66" s="1"/>
  <c r="AE72" i="39"/>
  <c r="B147" i="39"/>
  <c r="F21" i="19"/>
  <c r="J21" i="19" s="1"/>
  <c r="F43" i="19" s="1"/>
  <c r="O43" i="19" s="1"/>
  <c r="I29" i="23"/>
  <c r="H29" i="25"/>
  <c r="H63" i="25"/>
  <c r="E4" i="39"/>
  <c r="B68" i="39"/>
  <c r="V85" i="39"/>
  <c r="R85" i="39"/>
  <c r="W84" i="39"/>
  <c r="S84" i="39"/>
  <c r="X83" i="39"/>
  <c r="T83" i="39"/>
  <c r="Y82" i="39"/>
  <c r="U82" i="39"/>
  <c r="V81" i="39"/>
  <c r="R81" i="39"/>
  <c r="N81" i="39"/>
  <c r="J81" i="39"/>
  <c r="F81" i="39"/>
  <c r="V80" i="39"/>
  <c r="R80" i="39"/>
  <c r="V79" i="39"/>
  <c r="R79" i="39"/>
  <c r="W78" i="39"/>
  <c r="S78" i="39"/>
  <c r="W77" i="39"/>
  <c r="S77" i="39"/>
  <c r="W85" i="39"/>
  <c r="U84" i="39"/>
  <c r="Y83" i="39"/>
  <c r="S83" i="39"/>
  <c r="W82" i="39"/>
  <c r="R82" i="39"/>
  <c r="U81" i="39"/>
  <c r="P81" i="39"/>
  <c r="K81" i="39"/>
  <c r="X80" i="39"/>
  <c r="S80" i="39"/>
  <c r="U79" i="39"/>
  <c r="Y78" i="39"/>
  <c r="T78" i="39"/>
  <c r="V77" i="39"/>
  <c r="B90" i="39"/>
  <c r="U85" i="39"/>
  <c r="Y84" i="39"/>
  <c r="T84" i="39"/>
  <c r="W83" i="39"/>
  <c r="R83" i="39"/>
  <c r="V82" i="39"/>
  <c r="Y81" i="39"/>
  <c r="T81" i="39"/>
  <c r="O81" i="39"/>
  <c r="I81" i="39"/>
  <c r="W80" i="39"/>
  <c r="Y79" i="39"/>
  <c r="T79" i="39"/>
  <c r="X78" i="39"/>
  <c r="R78" i="39"/>
  <c r="U77" i="39"/>
  <c r="Y85" i="39"/>
  <c r="T85" i="39"/>
  <c r="X84" i="39"/>
  <c r="R84" i="39"/>
  <c r="R77" i="39"/>
  <c r="W79" i="39"/>
  <c r="T80" i="39"/>
  <c r="G81" i="39"/>
  <c r="Q81" i="39"/>
  <c r="X82" i="39"/>
  <c r="U83" i="39"/>
  <c r="X85" i="39"/>
  <c r="E177" i="39"/>
  <c r="F177" i="39" s="1"/>
  <c r="D201" i="39"/>
  <c r="C201" i="39" s="1"/>
  <c r="C223" i="39"/>
  <c r="D190" i="39"/>
  <c r="C190" i="39" s="1"/>
  <c r="D199" i="39"/>
  <c r="E199" i="39" s="1"/>
  <c r="F199" i="39" s="1"/>
  <c r="B195" i="39"/>
  <c r="B173" i="39"/>
  <c r="D178" i="39"/>
  <c r="C187" i="39"/>
  <c r="B184" i="39"/>
  <c r="D188" i="39"/>
  <c r="E188" i="39" s="1"/>
  <c r="F188" i="39" s="1"/>
  <c r="G224" i="39" s="1"/>
  <c r="C176" i="39"/>
  <c r="C180" i="39"/>
  <c r="F198" i="39"/>
  <c r="B160" i="39"/>
  <c r="C177" i="39"/>
  <c r="C179" i="39"/>
  <c r="C198" i="39"/>
  <c r="C200" i="39"/>
  <c r="C202" i="39"/>
  <c r="L3" i="5"/>
  <c r="P4" i="5" s="1"/>
  <c r="M3" i="5"/>
  <c r="K88" i="12"/>
  <c r="I21" i="12"/>
  <c r="J11" i="28"/>
  <c r="I38" i="43" s="1"/>
  <c r="C42" i="43" s="1"/>
  <c r="I28" i="25"/>
  <c r="AF28" i="25" s="1"/>
  <c r="AE28" i="25"/>
  <c r="AD28" i="25"/>
  <c r="G159" i="12"/>
  <c r="N21" i="20"/>
  <c r="AS17" i="18"/>
  <c r="AL1" i="18"/>
  <c r="AU12" i="18"/>
  <c r="AS12" i="18"/>
  <c r="BA12" i="18"/>
  <c r="AY17" i="18"/>
  <c r="AU18" i="18"/>
  <c r="AY19" i="18"/>
  <c r="AU17" i="18"/>
  <c r="AI18" i="18"/>
  <c r="AS19" i="18"/>
  <c r="AI20" i="18"/>
  <c r="AY20" i="18"/>
  <c r="AO69" i="18"/>
  <c r="AS70" i="18"/>
  <c r="AS71" i="18"/>
  <c r="AU72" i="18"/>
  <c r="AS73" i="18"/>
  <c r="BA73" i="18"/>
  <c r="AO77" i="18"/>
  <c r="AY18" i="18"/>
  <c r="AU19" i="18"/>
  <c r="AS20" i="18"/>
  <c r="AS69" i="18"/>
  <c r="AU70" i="18"/>
  <c r="AU71" i="18"/>
  <c r="AW72" i="18"/>
  <c r="AU73" i="18"/>
  <c r="AO75" i="18"/>
  <c r="AQ77" i="18"/>
  <c r="AW19" i="18"/>
  <c r="AU20" i="18"/>
  <c r="AU69" i="18"/>
  <c r="AO70" i="18"/>
  <c r="AO71" i="18"/>
  <c r="AO72" i="18"/>
  <c r="AW73" i="18"/>
  <c r="AO76" i="18"/>
  <c r="R18" i="25"/>
  <c r="G18" i="25" s="1"/>
  <c r="AD18" i="25" s="1"/>
  <c r="R25" i="25"/>
  <c r="G25" i="25" s="1"/>
  <c r="AQ70" i="18"/>
  <c r="AQ71" i="18"/>
  <c r="AS72" i="18"/>
  <c r="AO73" i="18"/>
  <c r="AY73" i="18"/>
  <c r="M8" i="63"/>
  <c r="K8" i="63" s="1"/>
  <c r="S8" i="63" s="1"/>
  <c r="T8" i="63" s="1"/>
  <c r="O11" i="63"/>
  <c r="J11" i="63"/>
  <c r="AU4" i="18"/>
  <c r="AS3" i="18"/>
  <c r="AN2" i="18"/>
  <c r="AU9" i="18"/>
  <c r="AS9" i="18"/>
  <c r="AY4" i="18"/>
  <c r="BA3" i="18"/>
  <c r="AJ50" i="18"/>
  <c r="AN47" i="18"/>
  <c r="Q240" i="17"/>
  <c r="S242" i="17" s="1"/>
  <c r="Q249" i="17"/>
  <c r="Y249" i="17" s="1"/>
  <c r="Y232" i="17"/>
  <c r="L12" i="47"/>
  <c r="Q72" i="17"/>
  <c r="S74" i="17" s="1"/>
  <c r="AC14" i="17" s="1"/>
  <c r="AN1" i="18"/>
  <c r="AL73" i="18"/>
  <c r="AL2" i="18"/>
  <c r="AL70" i="18"/>
  <c r="AL75" i="18"/>
  <c r="AL71" i="18"/>
  <c r="AL72" i="18"/>
  <c r="AY5" i="18"/>
  <c r="AW3" i="18"/>
  <c r="AS8" i="18"/>
  <c r="AU3" i="18"/>
  <c r="AS4" i="18"/>
  <c r="BA4" i="18"/>
  <c r="AW5" i="18"/>
  <c r="AU8" i="18"/>
  <c r="AY3" i="18"/>
  <c r="AW4" i="18"/>
  <c r="AS5" i="18"/>
  <c r="AW8" i="18"/>
  <c r="AW9" i="18"/>
  <c r="AY8" i="18"/>
  <c r="AL48" i="18"/>
  <c r="AN50" i="18"/>
  <c r="AL47" i="18"/>
  <c r="AN51" i="18"/>
  <c r="AN48" i="18"/>
  <c r="AC73" i="18"/>
  <c r="AE73" i="18" s="1"/>
  <c r="R21" i="25"/>
  <c r="R22" i="25"/>
  <c r="R23" i="25"/>
  <c r="AL49" i="18"/>
  <c r="AJ56" i="18"/>
  <c r="AC72" i="18"/>
  <c r="AE72" i="18" s="1"/>
  <c r="AN49" i="18"/>
  <c r="AL52" i="18"/>
  <c r="AJ55" i="18"/>
  <c r="AN56" i="18"/>
  <c r="AN52" i="18"/>
  <c r="AJ47" i="18"/>
  <c r="AJ48" i="18"/>
  <c r="AJ49" i="18"/>
  <c r="AL50" i="18"/>
  <c r="AL51" i="18"/>
  <c r="AJ52" i="18"/>
  <c r="AP56" i="18"/>
  <c r="R20" i="25"/>
  <c r="R29" i="25"/>
  <c r="R33" i="25"/>
  <c r="G33" i="25" s="1"/>
  <c r="H33" i="25" s="1"/>
  <c r="R39" i="25"/>
  <c r="G39" i="25" s="1"/>
  <c r="AD45" i="25" s="1"/>
  <c r="R41" i="25"/>
  <c r="G41" i="25" s="1"/>
  <c r="H41" i="25" s="1"/>
  <c r="R42" i="25"/>
  <c r="R30" i="25"/>
  <c r="G30" i="25" s="1"/>
  <c r="H30" i="25" s="1"/>
  <c r="AE36" i="25" s="1"/>
  <c r="R31" i="25"/>
  <c r="G31" i="25" s="1"/>
  <c r="H31" i="25" s="1"/>
  <c r="I31" i="25" s="1"/>
  <c r="AF37" i="25" s="1"/>
  <c r="R32" i="25"/>
  <c r="G32" i="25" s="1"/>
  <c r="AD38" i="25" s="1"/>
  <c r="R36" i="25"/>
  <c r="G36" i="25" s="1"/>
  <c r="AD42" i="25" s="1"/>
  <c r="R38" i="25"/>
  <c r="G38" i="25" s="1"/>
  <c r="H38" i="25" s="1"/>
  <c r="R40" i="25"/>
  <c r="R44" i="25"/>
  <c r="G44" i="25" s="1"/>
  <c r="R45" i="25"/>
  <c r="R49" i="25"/>
  <c r="AE53" i="25" s="1"/>
  <c r="AL55" i="18"/>
  <c r="AL56" i="18"/>
  <c r="AD72" i="18"/>
  <c r="AD73" i="18"/>
  <c r="R24" i="25"/>
  <c r="R35" i="25"/>
  <c r="G35" i="25" s="1"/>
  <c r="H35" i="25" s="1"/>
  <c r="R37" i="25"/>
  <c r="G37" i="25" s="1"/>
  <c r="R48" i="25"/>
  <c r="G48" i="25" s="1"/>
  <c r="AD51" i="25" s="1"/>
  <c r="R52" i="25"/>
  <c r="R54" i="25"/>
  <c r="R19" i="25"/>
  <c r="R26" i="25"/>
  <c r="R27" i="25"/>
  <c r="G55" i="25" s="1"/>
  <c r="H55" i="25" s="1"/>
  <c r="R34" i="25"/>
  <c r="G34" i="25" s="1"/>
  <c r="AD40" i="25" s="1"/>
  <c r="R43" i="25"/>
  <c r="G43" i="25" s="1"/>
  <c r="H43" i="25" s="1"/>
  <c r="R47" i="25"/>
  <c r="G47" i="25" s="1"/>
  <c r="AD32" i="25" s="1"/>
  <c r="R50" i="25"/>
  <c r="H27" i="25"/>
  <c r="L30" i="47"/>
  <c r="L24" i="47"/>
  <c r="L18" i="47"/>
  <c r="Q11" i="23"/>
  <c r="BC11" i="23"/>
  <c r="Q264" i="17"/>
  <c r="Y64" i="17"/>
  <c r="I415" i="17"/>
  <c r="I412" i="17"/>
  <c r="Y335" i="17"/>
  <c r="N8" i="19"/>
  <c r="J8" i="19"/>
  <c r="F30" i="19" s="1"/>
  <c r="J30" i="19" s="1"/>
  <c r="H24" i="13"/>
  <c r="H7" i="14" s="1"/>
  <c r="J49" i="13"/>
  <c r="J19" i="14" s="1"/>
  <c r="J34" i="14"/>
  <c r="J39" i="14"/>
  <c r="AT26" i="13"/>
  <c r="AT29" i="13" s="1"/>
  <c r="AU26" i="13"/>
  <c r="H10" i="14" s="1"/>
  <c r="AV26" i="13"/>
  <c r="I49" i="13"/>
  <c r="H17" i="14" s="1"/>
  <c r="AS26" i="13"/>
  <c r="AE64" i="25"/>
  <c r="I64" i="25"/>
  <c r="AF64" i="25" s="1"/>
  <c r="AD64" i="25"/>
  <c r="AE61" i="25"/>
  <c r="I61" i="25"/>
  <c r="AD61" i="25"/>
  <c r="I46" i="25"/>
  <c r="AF26" i="25" s="1"/>
  <c r="AE26" i="25"/>
  <c r="AD26" i="25"/>
  <c r="AE50" i="25"/>
  <c r="I45" i="25"/>
  <c r="I24" i="25"/>
  <c r="AF22" i="25" s="1"/>
  <c r="AE22" i="25"/>
  <c r="AD22" i="25"/>
  <c r="AE58" i="25"/>
  <c r="I57" i="25"/>
  <c r="AF58" i="25" s="1"/>
  <c r="H42" i="25"/>
  <c r="L33" i="10"/>
  <c r="L31" i="10"/>
  <c r="J31" i="19"/>
  <c r="H19" i="25"/>
  <c r="AE31" i="25" s="1"/>
  <c r="AD31" i="25"/>
  <c r="AD10" i="23"/>
  <c r="AD11" i="23" s="1"/>
  <c r="AD9" i="23"/>
  <c r="AD8" i="23" s="1"/>
  <c r="S44" i="10"/>
  <c r="BC7" i="23"/>
  <c r="BC6" i="23" s="1"/>
  <c r="BC8" i="23"/>
  <c r="BC9" i="23" s="1"/>
  <c r="M21" i="20" l="1"/>
  <c r="D85" i="25"/>
  <c r="D86" i="25"/>
  <c r="D88" i="25" s="1"/>
  <c r="D38" i="25"/>
  <c r="D39" i="25" s="1"/>
  <c r="D40" i="25" s="1"/>
  <c r="D41" i="25" s="1"/>
  <c r="D42" i="25" s="1"/>
  <c r="D43" i="25" s="1"/>
  <c r="D44" i="25" s="1"/>
  <c r="D45" i="25" s="1"/>
  <c r="D46" i="25" s="1"/>
  <c r="D47" i="25" s="1"/>
  <c r="G21" i="20"/>
  <c r="G91" i="25" a="1"/>
  <c r="G91" i="25" s="1"/>
  <c r="H91" i="25" s="1"/>
  <c r="I91" i="25" s="1"/>
  <c r="AF91" i="25" s="1"/>
  <c r="AD90" i="25"/>
  <c r="H90" i="25"/>
  <c r="C47" i="41"/>
  <c r="C48" i="41" s="1"/>
  <c r="C49" i="41" s="1"/>
  <c r="Y15" i="49"/>
  <c r="X15" i="49"/>
  <c r="U15" i="49" s="1"/>
  <c r="Y13" i="49"/>
  <c r="X13" i="49"/>
  <c r="U13" i="49" s="1"/>
  <c r="N56" i="58"/>
  <c r="L4" i="7" s="1"/>
  <c r="L25" i="7" s="1"/>
  <c r="L124" i="7" s="1"/>
  <c r="L130" i="7" s="1"/>
  <c r="O6" i="12" s="1"/>
  <c r="Y14" i="49"/>
  <c r="X14" i="49"/>
  <c r="U14" i="49" s="1"/>
  <c r="Y8" i="49"/>
  <c r="X8" i="49"/>
  <c r="Y11" i="49"/>
  <c r="X11" i="49"/>
  <c r="U11" i="49" s="1"/>
  <c r="Y9" i="49"/>
  <c r="X9" i="49"/>
  <c r="U9" i="49" s="1"/>
  <c r="Y10" i="49"/>
  <c r="X10" i="49"/>
  <c r="U10" i="49" s="1"/>
  <c r="Y12" i="49"/>
  <c r="X12" i="49"/>
  <c r="U12" i="49" s="1"/>
  <c r="AA7" i="49"/>
  <c r="Y7" i="49"/>
  <c r="X7" i="49"/>
  <c r="U7" i="49" s="1"/>
  <c r="V7" i="49"/>
  <c r="T21" i="29" s="1"/>
  <c r="Q88" i="17"/>
  <c r="H84" i="25"/>
  <c r="AD84" i="25"/>
  <c r="H85" i="25"/>
  <c r="AD85" i="25"/>
  <c r="H88" i="25"/>
  <c r="AE88" i="25" s="1"/>
  <c r="AD88" i="25"/>
  <c r="B33" i="39"/>
  <c r="B103" i="39" s="1"/>
  <c r="O4" i="5"/>
  <c r="G158" i="12"/>
  <c r="P157" i="12" s="1"/>
  <c r="P158" i="12" s="1"/>
  <c r="Z20" i="20"/>
  <c r="L85" i="6"/>
  <c r="Y290" i="17"/>
  <c r="AG100" i="39"/>
  <c r="E178" i="39"/>
  <c r="F178" i="39" s="1"/>
  <c r="AC37" i="18"/>
  <c r="J4" i="18"/>
  <c r="D139" i="39"/>
  <c r="C224" i="39"/>
  <c r="G71" i="25"/>
  <c r="H71" i="25" s="1"/>
  <c r="I71" i="25" s="1"/>
  <c r="AF71" i="25" s="1"/>
  <c r="G86" i="25"/>
  <c r="G87" i="25"/>
  <c r="G89" i="25"/>
  <c r="AE57" i="25"/>
  <c r="G72" i="25"/>
  <c r="H72" i="25" s="1"/>
  <c r="AE72" i="25" s="1"/>
  <c r="AD33" i="25"/>
  <c r="AF61" i="25"/>
  <c r="AD39" i="17"/>
  <c r="AH40" i="17" s="1"/>
  <c r="AF50" i="25"/>
  <c r="Q290" i="39"/>
  <c r="P292" i="39"/>
  <c r="D129" i="39"/>
  <c r="C178" i="39"/>
  <c r="AD80" i="25"/>
  <c r="G79" i="25"/>
  <c r="AD79" i="25" s="1"/>
  <c r="G75" i="25"/>
  <c r="AD75" i="25" s="1"/>
  <c r="G83" i="25"/>
  <c r="H83" i="25" s="1"/>
  <c r="I83" i="25" s="1"/>
  <c r="AF83" i="25" s="1"/>
  <c r="G70" i="25"/>
  <c r="AD70" i="25" s="1"/>
  <c r="G65" i="25"/>
  <c r="H65" i="25" s="1"/>
  <c r="AE65" i="25" s="1"/>
  <c r="AD54" i="17"/>
  <c r="H9" i="14"/>
  <c r="G73" i="25"/>
  <c r="H73" i="25" s="1"/>
  <c r="I73" i="25" s="1"/>
  <c r="AF73" i="25" s="1"/>
  <c r="Z5" i="49"/>
  <c r="G74" i="25"/>
  <c r="AD74" i="25" s="1"/>
  <c r="M58" i="24"/>
  <c r="I26" i="25"/>
  <c r="AF25" i="25" s="1"/>
  <c r="I17" i="12"/>
  <c r="H18" i="25"/>
  <c r="AE18" i="25" s="1"/>
  <c r="O408" i="17"/>
  <c r="G76" i="25"/>
  <c r="AD76" i="25" s="1"/>
  <c r="G92" i="25"/>
  <c r="G67" i="25"/>
  <c r="AD67" i="25" s="1"/>
  <c r="AD39" i="25"/>
  <c r="BC12" i="18"/>
  <c r="J408" i="17"/>
  <c r="G82" i="25"/>
  <c r="H82" i="25" s="1"/>
  <c r="AE82" i="25" s="1"/>
  <c r="W36" i="19"/>
  <c r="W37" i="19" s="1"/>
  <c r="J43" i="19"/>
  <c r="AE25" i="25"/>
  <c r="AE46" i="25"/>
  <c r="X20" i="20"/>
  <c r="O31" i="19"/>
  <c r="B12" i="39"/>
  <c r="B13" i="39" s="1"/>
  <c r="H224" i="39"/>
  <c r="AE59" i="25"/>
  <c r="H25" i="25"/>
  <c r="E104" i="39" s="1"/>
  <c r="E189" i="39"/>
  <c r="F189" i="39" s="1"/>
  <c r="G225" i="39" s="1"/>
  <c r="C199" i="39"/>
  <c r="AE63" i="25"/>
  <c r="I63" i="25"/>
  <c r="AF63" i="25" s="1"/>
  <c r="K29" i="23"/>
  <c r="I39" i="23"/>
  <c r="M11" i="62"/>
  <c r="P333" i="39"/>
  <c r="N312" i="39"/>
  <c r="L239" i="39"/>
  <c r="L288" i="39"/>
  <c r="AE52" i="25"/>
  <c r="I50" i="25"/>
  <c r="H223" i="39"/>
  <c r="E200" i="39"/>
  <c r="F200" i="39" s="1"/>
  <c r="K11" i="62"/>
  <c r="S6" i="62"/>
  <c r="I29" i="25"/>
  <c r="AF59" i="25" s="1"/>
  <c r="AU29" i="13"/>
  <c r="AD24" i="25"/>
  <c r="G66" i="25"/>
  <c r="H66" i="25" s="1"/>
  <c r="AE66" i="25" s="1"/>
  <c r="U8" i="49"/>
  <c r="Y3" i="26"/>
  <c r="I409" i="17"/>
  <c r="I414" i="17"/>
  <c r="G69" i="25"/>
  <c r="H69" i="25" s="1"/>
  <c r="G68" i="25"/>
  <c r="AD68" i="25" s="1"/>
  <c r="T31" i="49"/>
  <c r="J96" i="10" s="1"/>
  <c r="R31" i="49"/>
  <c r="J99" i="10" s="1"/>
  <c r="R24" i="29"/>
  <c r="P24" i="29"/>
  <c r="C188" i="39"/>
  <c r="P11" i="66"/>
  <c r="P13" i="66" s="1"/>
  <c r="J39" i="28"/>
  <c r="L43" i="10"/>
  <c r="J36" i="18"/>
  <c r="J27" i="10" s="1"/>
  <c r="M11" i="63"/>
  <c r="K11" i="63"/>
  <c r="S11" i="63"/>
  <c r="T6" i="63"/>
  <c r="T11" i="63" s="1"/>
  <c r="Q274" i="17" s="1"/>
  <c r="S276" i="17" s="1"/>
  <c r="AF49" i="17" s="1"/>
  <c r="H36" i="25"/>
  <c r="I36" i="25" s="1"/>
  <c r="AF42" i="25" s="1"/>
  <c r="AD47" i="25"/>
  <c r="H48" i="25"/>
  <c r="AE51" i="25" s="1"/>
  <c r="H32" i="25"/>
  <c r="I32" i="25" s="1"/>
  <c r="AF38" i="25" s="1"/>
  <c r="AD54" i="25"/>
  <c r="Y240" i="17"/>
  <c r="Q255" i="17"/>
  <c r="S257" i="17" s="1"/>
  <c r="I410" i="17"/>
  <c r="AD37" i="25"/>
  <c r="H47" i="25"/>
  <c r="AE32" i="25" s="1"/>
  <c r="AB148" i="17"/>
  <c r="AD46" i="17"/>
  <c r="AD58" i="17"/>
  <c r="K408" i="17"/>
  <c r="H39" i="25"/>
  <c r="I39" i="25" s="1"/>
  <c r="AF45" i="25" s="1"/>
  <c r="I30" i="25"/>
  <c r="AF36" i="25" s="1"/>
  <c r="AD49" i="25"/>
  <c r="H54" i="25"/>
  <c r="I54" i="25" s="1"/>
  <c r="AF35" i="25" s="1"/>
  <c r="BC3" i="18"/>
  <c r="G78" i="25"/>
  <c r="AD44" i="25"/>
  <c r="AF53" i="25"/>
  <c r="AD34" i="25"/>
  <c r="AD41" i="25"/>
  <c r="I38" i="25"/>
  <c r="AF44" i="25" s="1"/>
  <c r="AE44" i="25"/>
  <c r="AE39" i="25"/>
  <c r="I33" i="25"/>
  <c r="AF39" i="25" s="1"/>
  <c r="AD53" i="25"/>
  <c r="AD36" i="25"/>
  <c r="H34" i="25"/>
  <c r="I34" i="25" s="1"/>
  <c r="AF40" i="25" s="1"/>
  <c r="AE37" i="25"/>
  <c r="AD43" i="25"/>
  <c r="H37" i="25"/>
  <c r="AE27" i="25"/>
  <c r="I27" i="25"/>
  <c r="AF27" i="25" s="1"/>
  <c r="Y264" i="17"/>
  <c r="Q270" i="17"/>
  <c r="AE54" i="25"/>
  <c r="I55" i="25"/>
  <c r="AF54" i="25" s="1"/>
  <c r="AE34" i="25"/>
  <c r="I52" i="25"/>
  <c r="AF34" i="25" s="1"/>
  <c r="AE49" i="25"/>
  <c r="I43" i="25"/>
  <c r="AF49" i="25" s="1"/>
  <c r="AE41" i="25"/>
  <c r="I35" i="25"/>
  <c r="AF41" i="25" s="1"/>
  <c r="AE47" i="25"/>
  <c r="I41" i="25"/>
  <c r="AF47" i="25" s="1"/>
  <c r="G24" i="13"/>
  <c r="H6" i="14" s="1"/>
  <c r="J43" i="14"/>
  <c r="G49" i="13"/>
  <c r="H15" i="14" s="1"/>
  <c r="H8" i="14"/>
  <c r="AS29" i="13"/>
  <c r="F24" i="13"/>
  <c r="H5" i="14" s="1"/>
  <c r="K49" i="13"/>
  <c r="J20" i="14" s="1"/>
  <c r="H11" i="14"/>
  <c r="AV29" i="13"/>
  <c r="I24" i="13"/>
  <c r="H12" i="14" s="1"/>
  <c r="L49" i="13"/>
  <c r="J21" i="14" s="1"/>
  <c r="H49" i="13"/>
  <c r="H16" i="14" s="1"/>
  <c r="I42" i="25"/>
  <c r="AF48" i="25" s="1"/>
  <c r="AE48" i="25"/>
  <c r="AB5" i="49" l="1" a="1"/>
  <c r="AB5" i="49" s="1"/>
  <c r="AA5" i="49" s="1" a="1"/>
  <c r="AA5" i="49" s="1"/>
  <c r="D48" i="25"/>
  <c r="D49" i="25" s="1"/>
  <c r="D50" i="25"/>
  <c r="D51" i="25" s="1"/>
  <c r="D52" i="25" s="1"/>
  <c r="D53" i="25" s="1"/>
  <c r="D54" i="25" s="1"/>
  <c r="D55" i="25" s="1"/>
  <c r="D56" i="25" s="1"/>
  <c r="D57" i="25" s="1"/>
  <c r="D58" i="25" s="1"/>
  <c r="D59" i="25" s="1"/>
  <c r="D60" i="25" s="1"/>
  <c r="D87" i="25"/>
  <c r="D89" i="25" s="1"/>
  <c r="D90" i="25" s="1"/>
  <c r="D91" i="25" s="1"/>
  <c r="D92" i="25" s="1"/>
  <c r="AC71" i="18"/>
  <c r="AE71" i="18" s="1"/>
  <c r="AD71" i="18"/>
  <c r="AD91" i="25"/>
  <c r="D61" i="25"/>
  <c r="D62" i="25" s="1"/>
  <c r="D63" i="25" s="1"/>
  <c r="D64" i="25" s="1"/>
  <c r="D65" i="25" s="1"/>
  <c r="D66" i="25" s="1"/>
  <c r="D67" i="25" s="1"/>
  <c r="D68" i="25" s="1"/>
  <c r="D69" i="25" s="1"/>
  <c r="AE91" i="25"/>
  <c r="I90" i="25"/>
  <c r="AF90" i="25" s="1"/>
  <c r="AE90" i="25"/>
  <c r="U16" i="29"/>
  <c r="L87" i="18"/>
  <c r="J26" i="10" s="1"/>
  <c r="L29" i="10" s="1"/>
  <c r="P288" i="39"/>
  <c r="I88" i="25"/>
  <c r="AF88" i="25" s="1"/>
  <c r="I85" i="25"/>
  <c r="AF85" i="25" s="1"/>
  <c r="AE85" i="25"/>
  <c r="H89" i="25"/>
  <c r="AE89" i="25" s="1"/>
  <c r="AD89" i="25"/>
  <c r="H92" i="25"/>
  <c r="AE92" i="25" s="1"/>
  <c r="AD92" i="25"/>
  <c r="H87" i="25"/>
  <c r="AD87" i="25"/>
  <c r="H86" i="25"/>
  <c r="AD86" i="25"/>
  <c r="I84" i="25"/>
  <c r="AF84" i="25" s="1"/>
  <c r="AE84" i="25"/>
  <c r="U20" i="29"/>
  <c r="U17" i="29"/>
  <c r="W21" i="49"/>
  <c r="W26" i="49"/>
  <c r="T24" i="29"/>
  <c r="W24" i="49"/>
  <c r="V30" i="49"/>
  <c r="C81" i="39" s="1"/>
  <c r="T3" i="29"/>
  <c r="W20" i="49"/>
  <c r="U22" i="29"/>
  <c r="T19" i="29"/>
  <c r="V23" i="49"/>
  <c r="U24" i="29"/>
  <c r="U19" i="29"/>
  <c r="T15" i="29"/>
  <c r="W30" i="49"/>
  <c r="V27" i="49"/>
  <c r="T14" i="29"/>
  <c r="T22" i="29"/>
  <c r="U21" i="29"/>
  <c r="V28" i="49"/>
  <c r="E81" i="39" s="1"/>
  <c r="V29" i="49"/>
  <c r="D81" i="39" s="1"/>
  <c r="V20" i="49"/>
  <c r="U23" i="29"/>
  <c r="U13" i="29"/>
  <c r="T20" i="29"/>
  <c r="T13" i="29"/>
  <c r="T23" i="29"/>
  <c r="W22" i="49"/>
  <c r="W31" i="49"/>
  <c r="V24" i="49"/>
  <c r="T16" i="29"/>
  <c r="T18" i="29"/>
  <c r="U15" i="29"/>
  <c r="U14" i="29"/>
  <c r="U18" i="29"/>
  <c r="T17" i="29"/>
  <c r="V21" i="49"/>
  <c r="V25" i="49"/>
  <c r="V31" i="49"/>
  <c r="B81" i="39" s="1"/>
  <c r="W23" i="49"/>
  <c r="V26" i="49"/>
  <c r="W28" i="49"/>
  <c r="W27" i="49"/>
  <c r="W29" i="49"/>
  <c r="W25" i="49"/>
  <c r="V22" i="49"/>
  <c r="V5" i="49"/>
  <c r="L133" i="7"/>
  <c r="L135" i="7" s="1"/>
  <c r="L137" i="7" s="1"/>
  <c r="Q292" i="39"/>
  <c r="E179" i="39"/>
  <c r="F179" i="39" s="1"/>
  <c r="P289" i="39"/>
  <c r="AC70" i="18"/>
  <c r="AD70" i="18"/>
  <c r="AE71" i="25"/>
  <c r="E139" i="39"/>
  <c r="D140" i="39"/>
  <c r="E140" i="39" s="1"/>
  <c r="H44" i="25"/>
  <c r="I44" i="25" s="1"/>
  <c r="AF33" i="25" s="1"/>
  <c r="AD71" i="25"/>
  <c r="I72" i="25"/>
  <c r="AF72" i="25" s="1"/>
  <c r="AD72" i="25"/>
  <c r="H75" i="25"/>
  <c r="AE75" i="25" s="1"/>
  <c r="AD73" i="25"/>
  <c r="H70" i="25"/>
  <c r="I70" i="25" s="1"/>
  <c r="AF70" i="25" s="1"/>
  <c r="AF80" i="25"/>
  <c r="H79" i="25"/>
  <c r="AE79" i="25" s="1"/>
  <c r="E190" i="39"/>
  <c r="F190" i="39" s="1"/>
  <c r="G226" i="39" s="1"/>
  <c r="E129" i="39"/>
  <c r="D130" i="39"/>
  <c r="E130" i="39" s="1"/>
  <c r="AE83" i="25"/>
  <c r="AD83" i="25"/>
  <c r="I65" i="25"/>
  <c r="AF65" i="25" s="1"/>
  <c r="H68" i="25"/>
  <c r="I68" i="25" s="1"/>
  <c r="AF68" i="25" s="1"/>
  <c r="AD65" i="25"/>
  <c r="AE73" i="25"/>
  <c r="H76" i="25"/>
  <c r="AE76" i="25" s="1"/>
  <c r="H67" i="25"/>
  <c r="AE67" i="25" s="1"/>
  <c r="I82" i="25"/>
  <c r="AF82" i="25" s="1"/>
  <c r="H74" i="25"/>
  <c r="AE74" i="25" s="1"/>
  <c r="AD66" i="25"/>
  <c r="AD82" i="25"/>
  <c r="AD69" i="25"/>
  <c r="M312" i="39"/>
  <c r="O333" i="39"/>
  <c r="K288" i="39"/>
  <c r="K239" i="39"/>
  <c r="AI66" i="39"/>
  <c r="AI67" i="39" s="1"/>
  <c r="F20" i="39"/>
  <c r="AE24" i="25"/>
  <c r="I25" i="25"/>
  <c r="AF24" i="25" s="1"/>
  <c r="B67" i="39"/>
  <c r="L100" i="10"/>
  <c r="S11" i="62"/>
  <c r="T6" i="62"/>
  <c r="T11" i="62" s="1"/>
  <c r="Q221" i="17" s="1"/>
  <c r="S223" i="17" s="1"/>
  <c r="AF50" i="17" s="1"/>
  <c r="H225" i="39"/>
  <c r="U31" i="49"/>
  <c r="U29" i="49"/>
  <c r="U30" i="49"/>
  <c r="U27" i="49"/>
  <c r="U28" i="49"/>
  <c r="S24" i="29"/>
  <c r="S22" i="29"/>
  <c r="S23" i="29"/>
  <c r="S21" i="29"/>
  <c r="S20" i="29"/>
  <c r="E201" i="39"/>
  <c r="F201" i="39" s="1"/>
  <c r="E339" i="39"/>
  <c r="E318" i="39"/>
  <c r="E245" i="39"/>
  <c r="E294" i="39"/>
  <c r="H219" i="39"/>
  <c r="AF52" i="25"/>
  <c r="E295" i="39"/>
  <c r="E246" i="39"/>
  <c r="AE38" i="25"/>
  <c r="I48" i="25"/>
  <c r="AF51" i="25" s="1"/>
  <c r="AE42" i="25"/>
  <c r="Y255" i="17"/>
  <c r="I66" i="25"/>
  <c r="AF66" i="25" s="1"/>
  <c r="I47" i="25"/>
  <c r="AF32" i="25" s="1"/>
  <c r="AE45" i="25"/>
  <c r="AE40" i="25"/>
  <c r="AE35" i="25"/>
  <c r="H78" i="25"/>
  <c r="AD78" i="25"/>
  <c r="AE43" i="25"/>
  <c r="I37" i="25"/>
  <c r="AF43" i="25" s="1"/>
  <c r="Y270" i="17"/>
  <c r="S272" i="17"/>
  <c r="AD47" i="17"/>
  <c r="AB149" i="17"/>
  <c r="AE69" i="25"/>
  <c r="I69" i="25"/>
  <c r="AF69" i="25" s="1"/>
  <c r="Q90" i="17"/>
  <c r="S131" i="17"/>
  <c r="H36" i="43"/>
  <c r="C36" i="43" s="1"/>
  <c r="J13" i="14"/>
  <c r="H35" i="43"/>
  <c r="C35" i="43" s="1"/>
  <c r="J18" i="14"/>
  <c r="D70" i="25" l="1"/>
  <c r="D71" i="25"/>
  <c r="Q3" i="26"/>
  <c r="T1" i="71"/>
  <c r="I6" i="19"/>
  <c r="I24" i="19" s="1"/>
  <c r="F20" i="19"/>
  <c r="N20" i="19" s="1"/>
  <c r="R20" i="19" s="1"/>
  <c r="R21" i="19" s="1"/>
  <c r="R14" i="19" s="1"/>
  <c r="L88" i="18"/>
  <c r="L95" i="18" s="1"/>
  <c r="T6" i="19"/>
  <c r="P21" i="19" s="1"/>
  <c r="Q288" i="39"/>
  <c r="R318" i="39" s="1"/>
  <c r="I89" i="25"/>
  <c r="AF89" i="25" s="1"/>
  <c r="Q289" i="39"/>
  <c r="R319" i="39" s="1"/>
  <c r="I86" i="25"/>
  <c r="AF86" i="25" s="1"/>
  <c r="AE86" i="25"/>
  <c r="I92" i="25"/>
  <c r="AF92" i="25" s="1"/>
  <c r="I87" i="25"/>
  <c r="AF87" i="25" s="1"/>
  <c r="AE87" i="25"/>
  <c r="F21" i="39"/>
  <c r="K44" i="12"/>
  <c r="K55" i="12" s="1"/>
  <c r="AE70" i="18"/>
  <c r="BA72" i="18"/>
  <c r="C226" i="39"/>
  <c r="C225" i="39"/>
  <c r="AE33" i="25"/>
  <c r="I75" i="25"/>
  <c r="AF75" i="25" s="1"/>
  <c r="AE70" i="25"/>
  <c r="AE68" i="25"/>
  <c r="AE80" i="25"/>
  <c r="N408" i="17"/>
  <c r="I74" i="25"/>
  <c r="AF74" i="25" s="1"/>
  <c r="Z9" i="17"/>
  <c r="I79" i="25"/>
  <c r="AF79" i="25" s="1"/>
  <c r="I76" i="25"/>
  <c r="AF76" i="25" s="1"/>
  <c r="I67" i="25"/>
  <c r="AF67" i="25" s="1"/>
  <c r="G248" i="39"/>
  <c r="G321" i="39"/>
  <c r="R223" i="39"/>
  <c r="R224" i="39" s="1"/>
  <c r="R225" i="39" s="1"/>
  <c r="R226" i="39" s="1"/>
  <c r="F258" i="39"/>
  <c r="F259" i="39" s="1"/>
  <c r="F260" i="39" s="1"/>
  <c r="F261" i="39" s="1"/>
  <c r="AI69" i="39"/>
  <c r="AI68" i="39"/>
  <c r="AI70" i="39"/>
  <c r="G342" i="39"/>
  <c r="R227" i="39"/>
  <c r="F262" i="39"/>
  <c r="G297" i="39"/>
  <c r="H226" i="39"/>
  <c r="S341" i="17"/>
  <c r="I413" i="17"/>
  <c r="I78" i="25"/>
  <c r="AF78" i="25" s="1"/>
  <c r="AE78" i="25"/>
  <c r="AB150" i="17"/>
  <c r="AD49" i="17"/>
  <c r="S95" i="17"/>
  <c r="AC17" i="17"/>
  <c r="J22" i="14"/>
  <c r="I58" i="12" s="1"/>
  <c r="K60" i="12" s="1"/>
  <c r="D72" i="25" l="1"/>
  <c r="D73" i="25" s="1"/>
  <c r="D74" i="25" s="1"/>
  <c r="D75" i="25" s="1"/>
  <c r="D76" i="25" s="1"/>
  <c r="J20" i="19"/>
  <c r="F42" i="19" s="1"/>
  <c r="J42" i="19" s="1"/>
  <c r="T21" i="19"/>
  <c r="P8" i="19" s="1"/>
  <c r="N21" i="19"/>
  <c r="G25" i="39"/>
  <c r="H23" i="39"/>
  <c r="H24" i="39"/>
  <c r="H22" i="39"/>
  <c r="K61" i="12"/>
  <c r="K101" i="12" s="1"/>
  <c r="K121" i="12" s="1"/>
  <c r="I128" i="12" s="1"/>
  <c r="K122" i="12" s="1"/>
  <c r="S6" i="19" s="1"/>
  <c r="L408" i="17"/>
  <c r="L410" i="17" s="1"/>
  <c r="J410" i="17" s="1"/>
  <c r="M410" i="17" s="1"/>
  <c r="S132" i="17"/>
  <c r="S342" i="17" s="1"/>
  <c r="AD62" i="17"/>
  <c r="AC15" i="17"/>
  <c r="I411" i="17"/>
  <c r="R15" i="19"/>
  <c r="K411" i="17" l="1"/>
  <c r="K414" i="17" s="1"/>
  <c r="K409" i="17" s="1"/>
  <c r="T8" i="19"/>
  <c r="T9" i="19" s="1"/>
  <c r="T10" i="19" s="1"/>
  <c r="T11" i="19" s="1"/>
  <c r="F24" i="39"/>
  <c r="F23" i="39"/>
  <c r="F22" i="39"/>
  <c r="K148" i="12"/>
  <c r="J7" i="10"/>
  <c r="I157" i="12"/>
  <c r="I158" i="12" s="1"/>
  <c r="H6" i="19"/>
  <c r="H24" i="19" s="1"/>
  <c r="L20" i="20" s="1"/>
  <c r="F10" i="19"/>
  <c r="N10" i="19" s="1"/>
  <c r="O9" i="19"/>
  <c r="S9" i="19"/>
  <c r="Q410" i="17"/>
  <c r="R18" i="19"/>
  <c r="L21" i="20" l="1"/>
  <c r="J411" i="17"/>
  <c r="M411" i="17" s="1"/>
  <c r="Q411" i="17" s="1"/>
  <c r="L414" i="17"/>
  <c r="P9" i="19"/>
  <c r="J10" i="19"/>
  <c r="F32" i="19" s="1"/>
  <c r="J32" i="19" s="1"/>
  <c r="P10" i="19"/>
  <c r="Y20" i="20"/>
  <c r="S20" i="19"/>
  <c r="O20" i="19"/>
  <c r="K158" i="12"/>
  <c r="K413" i="17"/>
  <c r="K412" i="17" s="1"/>
  <c r="F14" i="19"/>
  <c r="J15" i="10"/>
  <c r="I159" i="12"/>
  <c r="K159" i="12" s="1"/>
  <c r="T12" i="19"/>
  <c r="R13" i="19"/>
  <c r="Q284" i="39" l="1"/>
  <c r="Q285" i="39" s="1"/>
  <c r="Q286" i="39" s="1" a="1"/>
  <c r="Q286" i="39" s="1"/>
  <c r="J414" i="17"/>
  <c r="N414" i="17" s="1"/>
  <c r="M414" i="17" s="1"/>
  <c r="L409" i="17"/>
  <c r="L413" i="17" s="1"/>
  <c r="L412" i="17" s="1"/>
  <c r="P32" i="19"/>
  <c r="I160" i="12"/>
  <c r="I161" i="12" s="1"/>
  <c r="K415" i="17"/>
  <c r="K416" i="17" s="1"/>
  <c r="K417" i="17" s="1"/>
  <c r="J9" i="10"/>
  <c r="F12" i="19"/>
  <c r="J16" i="10"/>
  <c r="F15" i="19"/>
  <c r="H7" i="26"/>
  <c r="J14" i="19"/>
  <c r="F36" i="19" s="1"/>
  <c r="N14" i="19"/>
  <c r="J8" i="10"/>
  <c r="F11" i="19"/>
  <c r="O21" i="19"/>
  <c r="S21" i="19"/>
  <c r="R17" i="19"/>
  <c r="P14" i="19"/>
  <c r="T14" i="19"/>
  <c r="M409" i="17" l="1"/>
  <c r="Q409" i="17" s="1"/>
  <c r="O413" i="17"/>
  <c r="J413" i="17" s="1"/>
  <c r="O36" i="19"/>
  <c r="J36" i="19"/>
  <c r="N12" i="19"/>
  <c r="J12" i="19"/>
  <c r="F34" i="19" s="1"/>
  <c r="J34" i="19" s="1"/>
  <c r="P12" i="19"/>
  <c r="J15" i="19"/>
  <c r="F37" i="19" s="1"/>
  <c r="N15" i="19"/>
  <c r="L415" i="17"/>
  <c r="L416" i="17" s="1"/>
  <c r="L417" i="17" s="1"/>
  <c r="N11" i="19"/>
  <c r="J11" i="19"/>
  <c r="F33" i="19" s="1"/>
  <c r="P11" i="19"/>
  <c r="S14" i="19"/>
  <c r="O14" i="19"/>
  <c r="L11" i="10"/>
  <c r="P414" i="17"/>
  <c r="Q414" i="17" s="1"/>
  <c r="P15" i="19"/>
  <c r="T15" i="19"/>
  <c r="M413" i="17" l="1"/>
  <c r="P413" i="17" s="1"/>
  <c r="P416" i="17" s="1"/>
  <c r="P417" i="17" s="1"/>
  <c r="E99" i="39"/>
  <c r="B50" i="39"/>
  <c r="J21" i="10"/>
  <c r="F18" i="19"/>
  <c r="P18" i="19" s="1"/>
  <c r="S15" i="19"/>
  <c r="O15" i="19"/>
  <c r="O415" i="17"/>
  <c r="P33" i="19"/>
  <c r="AC33" i="19" s="1"/>
  <c r="J33" i="19"/>
  <c r="O37" i="19"/>
  <c r="J37" i="19"/>
  <c r="E100" i="39" s="1"/>
  <c r="J412" i="17"/>
  <c r="F13" i="19"/>
  <c r="J14" i="10"/>
  <c r="T18" i="19"/>
  <c r="L257" i="39" l="1"/>
  <c r="Q95" i="39"/>
  <c r="E105" i="39"/>
  <c r="B172" i="39" s="1"/>
  <c r="B96" i="39"/>
  <c r="J415" i="17"/>
  <c r="J416" i="17" s="1"/>
  <c r="J417" i="17" s="1"/>
  <c r="Q413" i="17"/>
  <c r="F17" i="19" s="1"/>
  <c r="J13" i="19"/>
  <c r="F35" i="19" s="1"/>
  <c r="J35" i="19" s="1"/>
  <c r="N13" i="19"/>
  <c r="O18" i="19"/>
  <c r="S18" i="19"/>
  <c r="P34" i="19"/>
  <c r="AC34" i="19"/>
  <c r="J18" i="19"/>
  <c r="F40" i="19" s="1"/>
  <c r="AQ35" i="19" s="1"/>
  <c r="N18" i="19"/>
  <c r="Q412" i="17"/>
  <c r="R5" i="24"/>
  <c r="O416" i="17"/>
  <c r="O417" i="17" s="1"/>
  <c r="P13" i="19"/>
  <c r="T13" i="19"/>
  <c r="N415" i="17" l="1"/>
  <c r="M415" i="17" s="1"/>
  <c r="M416" i="17" s="1"/>
  <c r="M417" i="17" s="1"/>
  <c r="J20" i="10"/>
  <c r="AI28" i="19"/>
  <c r="J40" i="19"/>
  <c r="W40" i="19"/>
  <c r="AJ36" i="19"/>
  <c r="AK36" i="19" s="1"/>
  <c r="O13" i="19"/>
  <c r="S13" i="19"/>
  <c r="J17" i="10"/>
  <c r="J18" i="10" s="1"/>
  <c r="F16" i="19"/>
  <c r="J16" i="19" s="1"/>
  <c r="F38" i="19" s="1"/>
  <c r="J38" i="19" s="1"/>
  <c r="N23" i="24"/>
  <c r="N8" i="24"/>
  <c r="N24" i="24"/>
  <c r="N21" i="24"/>
  <c r="N9" i="24"/>
  <c r="N22" i="24"/>
  <c r="N20" i="24"/>
  <c r="N10" i="24"/>
  <c r="N7" i="24"/>
  <c r="N11" i="24"/>
  <c r="AC31" i="19"/>
  <c r="P31" i="19"/>
  <c r="J17" i="19"/>
  <c r="F39" i="19" s="1"/>
  <c r="N17" i="19"/>
  <c r="T17" i="19"/>
  <c r="P17" i="19"/>
  <c r="O21" i="20" l="1"/>
  <c r="N416" i="17"/>
  <c r="N417" i="17" s="1"/>
  <c r="Q415" i="17"/>
  <c r="J22" i="10" s="1"/>
  <c r="J23" i="10" s="1"/>
  <c r="L24" i="10" s="1"/>
  <c r="L30" i="10" s="1"/>
  <c r="J39" i="19"/>
  <c r="AI29" i="19"/>
  <c r="AJ33" i="19" s="1"/>
  <c r="N26" i="24"/>
  <c r="G58" i="25"/>
  <c r="O17" i="19"/>
  <c r="S17" i="19"/>
  <c r="AC42" i="19"/>
  <c r="P42" i="19"/>
  <c r="N13" i="24"/>
  <c r="O40" i="19"/>
  <c r="AI42" i="19"/>
  <c r="X40" i="19"/>
  <c r="O35" i="19" s="1"/>
  <c r="R21" i="20" l="1"/>
  <c r="L45" i="10"/>
  <c r="F19" i="19"/>
  <c r="J19" i="19" s="1"/>
  <c r="F41" i="19" s="1"/>
  <c r="J41" i="19" s="1"/>
  <c r="G59" i="25" s="1"/>
  <c r="H59" i="25" s="1"/>
  <c r="AE30" i="25" s="1"/>
  <c r="W3" i="26"/>
  <c r="L32" i="10"/>
  <c r="L34" i="10" s="1"/>
  <c r="X35" i="19"/>
  <c r="W35" i="19"/>
  <c r="AJ37" i="19" s="1"/>
  <c r="AK37" i="19" s="1"/>
  <c r="H58" i="25"/>
  <c r="AD29" i="25"/>
  <c r="Z24" i="23" l="1"/>
  <c r="O10" i="71"/>
  <c r="O9" i="71"/>
  <c r="O8" i="71"/>
  <c r="O7" i="71"/>
  <c r="W39" i="19"/>
  <c r="AQ36" i="19"/>
  <c r="AK42" i="19"/>
  <c r="O39" i="19"/>
  <c r="AE29" i="25"/>
  <c r="B240" i="39"/>
  <c r="B334" i="39"/>
  <c r="B289" i="39"/>
  <c r="B313" i="39"/>
  <c r="B97" i="39"/>
  <c r="L35" i="10"/>
  <c r="AD30" i="25"/>
  <c r="G95" i="25"/>
  <c r="J46" i="19"/>
  <c r="O12" i="71" l="1"/>
  <c r="S91" i="10"/>
  <c r="B330" i="39"/>
  <c r="B285" i="39"/>
  <c r="B236" i="39"/>
  <c r="B39" i="39"/>
  <c r="B308" i="39"/>
  <c r="W3" i="23"/>
  <c r="K43" i="23" l="1"/>
  <c r="K17" i="23"/>
  <c r="K42" i="23"/>
  <c r="K41" i="23"/>
  <c r="K10" i="23"/>
  <c r="K11" i="23"/>
  <c r="L20" i="64"/>
  <c r="I13" i="23" s="1"/>
  <c r="K13" i="23" s="1"/>
  <c r="K18" i="23"/>
  <c r="K6" i="23"/>
  <c r="K19" i="23"/>
  <c r="S15" i="23"/>
  <c r="AE14" i="23"/>
  <c r="BC14" i="23"/>
  <c r="W5" i="23"/>
  <c r="AE13" i="23"/>
  <c r="Y3" i="23"/>
  <c r="K34" i="23" s="1"/>
  <c r="R16" i="23"/>
  <c r="K20" i="23"/>
  <c r="AD15" i="23"/>
  <c r="AE15" i="23" s="1"/>
  <c r="K38" i="23"/>
  <c r="K9" i="23"/>
  <c r="K37" i="23"/>
  <c r="AI13" i="23"/>
  <c r="K26" i="23"/>
  <c r="K21" i="23"/>
  <c r="K22" i="23"/>
  <c r="K39" i="23" l="1"/>
  <c r="K44" i="23"/>
  <c r="K7" i="23"/>
  <c r="AG9" i="23" s="1"/>
  <c r="R11" i="23"/>
  <c r="R13" i="23" s="1"/>
  <c r="T15" i="23" s="1"/>
  <c r="K15" i="23" s="1"/>
  <c r="AB33" i="23"/>
  <c r="AB34" i="23"/>
  <c r="K8" i="23" l="1"/>
  <c r="T29" i="24" s="1"/>
  <c r="U21" i="24" s="1"/>
  <c r="U22" i="24" s="1"/>
  <c r="U23" i="24" s="1"/>
  <c r="Z25" i="23"/>
  <c r="J38" i="10"/>
  <c r="U27" i="23" s="1"/>
  <c r="E65" i="39"/>
  <c r="E68" i="39" s="1"/>
  <c r="B122" i="39" l="1"/>
  <c r="C254" i="39"/>
  <c r="L256" i="39"/>
  <c r="L258" i="39" s="1"/>
  <c r="U24" i="24"/>
  <c r="N254" i="39" l="1"/>
  <c r="L259" i="39" s="1"/>
  <c r="P266" i="39" s="1"/>
  <c r="N266" i="39" s="1"/>
  <c r="L260" i="39" l="1"/>
  <c r="L262" i="39" s="1"/>
  <c r="N264" i="39" s="1"/>
  <c r="N268" i="39"/>
  <c r="N275" i="39"/>
  <c r="N277" i="39" l="1"/>
  <c r="B120" i="39" l="1"/>
  <c r="B114" i="39" l="1"/>
  <c r="G274" i="39" l="1"/>
  <c r="G272" i="39"/>
  <c r="G275" i="39"/>
  <c r="G276" i="39"/>
  <c r="G273" i="39"/>
  <c r="P291" i="39"/>
  <c r="H276" i="39" l="1"/>
  <c r="I276" i="39" s="1"/>
  <c r="H273" i="39"/>
  <c r="I273" i="39" s="1"/>
  <c r="H272" i="39"/>
  <c r="I272" i="39" s="1"/>
  <c r="H275" i="39"/>
  <c r="I275" i="39" s="1"/>
  <c r="H274" i="39"/>
  <c r="I274" i="39" s="1"/>
  <c r="Q291" i="39"/>
  <c r="L217" i="39" l="1"/>
  <c r="G82" i="39" l="1"/>
  <c r="G83" i="39" s="1"/>
  <c r="G84" i="39" s="1"/>
  <c r="H77" i="39" s="1"/>
  <c r="H78" i="39" s="1"/>
  <c r="H79" i="39" s="1"/>
  <c r="G85" i="39" l="1"/>
  <c r="H80" i="39" s="1"/>
  <c r="H82" i="39" l="1"/>
  <c r="H83" i="39" s="1"/>
  <c r="H84" i="39" s="1"/>
  <c r="I77" i="39" s="1"/>
  <c r="I78" i="39" s="1"/>
  <c r="I79" i="39" s="1"/>
  <c r="M78" i="39"/>
  <c r="M79" i="39" s="1"/>
  <c r="H85" i="39" l="1"/>
  <c r="I80" i="39" s="1"/>
  <c r="M82" i="39"/>
  <c r="M83" i="39" s="1"/>
  <c r="M84" i="39" s="1"/>
  <c r="N77" i="39" s="1"/>
  <c r="I82" i="39" l="1"/>
  <c r="I83" i="39" s="1"/>
  <c r="I84" i="39" s="1"/>
  <c r="J77" i="39" s="1"/>
  <c r="N78" i="39"/>
  <c r="N79" i="39" s="1"/>
  <c r="M85" i="39"/>
  <c r="N80" i="39" s="1"/>
  <c r="J78" i="39" l="1"/>
  <c r="J79" i="39" s="1"/>
  <c r="J84" i="39"/>
  <c r="K77" i="39" s="1"/>
  <c r="K78" i="39" s="1"/>
  <c r="I85" i="39"/>
  <c r="N82" i="39"/>
  <c r="N83" i="39" s="1"/>
  <c r="N84" i="39" s="1"/>
  <c r="O77" i="39" s="1"/>
  <c r="K79" i="39" l="1"/>
  <c r="J80" i="39"/>
  <c r="J82" i="39" s="1"/>
  <c r="J85" i="39" s="1"/>
  <c r="K80" i="39" s="1"/>
  <c r="N85" i="39"/>
  <c r="O78" i="39"/>
  <c r="O79" i="39" s="1"/>
  <c r="K82" i="39" l="1"/>
  <c r="K83" i="39" s="1"/>
  <c r="K84" i="39" s="1"/>
  <c r="L77" i="39" s="1"/>
  <c r="L78" i="39" s="1"/>
  <c r="L79" i="39" s="1"/>
  <c r="B88" i="39" s="1"/>
  <c r="O80" i="39"/>
  <c r="K85" i="39" l="1"/>
  <c r="L80" i="39" s="1"/>
  <c r="O82" i="39"/>
  <c r="O83" i="39" s="1"/>
  <c r="O84" i="39" s="1"/>
  <c r="P77" i="39" s="1"/>
  <c r="L82" i="39" l="1"/>
  <c r="L83" i="39" s="1"/>
  <c r="L84" i="39" s="1"/>
  <c r="M77" i="39" s="1"/>
  <c r="P78" i="39"/>
  <c r="P79" i="39" s="1"/>
  <c r="O85" i="39"/>
  <c r="P80" i="39" s="1"/>
  <c r="L85" i="39" l="1"/>
  <c r="M80" i="39" s="1"/>
  <c r="P82" i="39"/>
  <c r="P83" i="39" s="1"/>
  <c r="P84" i="39" s="1"/>
  <c r="Q77" i="39" s="1"/>
  <c r="Q78" i="39" l="1"/>
  <c r="Q79" i="39" s="1"/>
  <c r="B89" i="39" s="1"/>
  <c r="P85" i="39"/>
  <c r="Q80" i="39" s="1"/>
  <c r="Q82" i="39" l="1"/>
  <c r="Q83" i="39" s="1"/>
  <c r="Q84" i="39" s="1"/>
  <c r="Q85" i="39"/>
  <c r="S32" i="19" l="1"/>
  <c r="W32" i="19" s="1"/>
  <c r="I34" i="43"/>
  <c r="C38" i="43" s="1"/>
  <c r="W33" i="19" l="1"/>
  <c r="W34" i="19" s="1"/>
  <c r="O33" i="19"/>
  <c r="O34" i="19"/>
  <c r="O32" i="19"/>
  <c r="Y91" i="10" l="1"/>
  <c r="K25" i="23" l="1"/>
  <c r="U4" i="24" s="1"/>
  <c r="N37" i="24" l="1"/>
  <c r="N35" i="24"/>
  <c r="N34" i="24"/>
  <c r="N38" i="24"/>
  <c r="V4" i="24"/>
  <c r="N36" i="24"/>
  <c r="S4" i="24" l="1"/>
  <c r="N40" i="24" s="1"/>
  <c r="T25" i="24" s="1"/>
  <c r="W4" i="24" l="1"/>
  <c r="N50" i="24" s="1"/>
  <c r="N51" i="24" l="1"/>
  <c r="N48" i="24"/>
  <c r="T53" i="24"/>
  <c r="N49" i="24"/>
  <c r="N47" i="24"/>
  <c r="N53" i="24"/>
  <c r="N58" i="24" s="1"/>
  <c r="K23" i="23" s="1"/>
  <c r="I23" i="23" l="1"/>
  <c r="I27" i="23" s="1"/>
  <c r="I45" i="23" s="1"/>
  <c r="T4" i="24"/>
  <c r="W31" i="23"/>
  <c r="AA39" i="23" s="1"/>
  <c r="P35" i="23"/>
  <c r="Q20" i="23"/>
  <c r="K24" i="23" s="1"/>
  <c r="K27" i="23" s="1"/>
  <c r="K45" i="23" s="1"/>
  <c r="AB31" i="23"/>
  <c r="J37" i="10" l="1"/>
  <c r="L39" i="10" l="1"/>
  <c r="L40" i="10" s="1"/>
  <c r="C100" i="39" s="1"/>
  <c r="H6" i="26"/>
  <c r="H9" i="26" s="1"/>
  <c r="B100" i="39" l="1"/>
  <c r="P11" i="26"/>
  <c r="AC52" i="10" s="1"/>
  <c r="P7" i="26"/>
  <c r="X52" i="10" s="1"/>
  <c r="P13" i="26"/>
  <c r="S52" i="10" s="1"/>
  <c r="J13" i="26"/>
  <c r="P9" i="26"/>
  <c r="AH52" i="10" s="1"/>
  <c r="B109" i="39"/>
  <c r="B108" i="39"/>
  <c r="F120" i="39" s="1"/>
  <c r="L41" i="10"/>
  <c r="C232" i="39"/>
  <c r="C281" i="39"/>
  <c r="E304" i="39"/>
  <c r="E305" i="39" s="1"/>
  <c r="C326" i="39"/>
  <c r="E232" i="39"/>
  <c r="E233" i="39" s="1"/>
  <c r="E281" i="39"/>
  <c r="E282" i="39" s="1"/>
  <c r="C304" i="39"/>
  <c r="E326" i="39"/>
  <c r="E327" i="39" s="1"/>
  <c r="M13" i="26"/>
  <c r="D119" i="39"/>
  <c r="D117" i="39"/>
  <c r="D121" i="39"/>
  <c r="D118" i="39"/>
  <c r="D120" i="39"/>
  <c r="C117" i="39" l="1"/>
  <c r="E117" i="39"/>
  <c r="E118" i="39" s="1"/>
  <c r="E119" i="39" s="1"/>
  <c r="E120" i="39" s="1"/>
  <c r="I109" i="39"/>
  <c r="F109" i="39"/>
  <c r="C118" i="39"/>
  <c r="C121" i="39"/>
  <c r="E121" i="39"/>
  <c r="C119" i="39"/>
  <c r="C120" i="39"/>
  <c r="B235" i="39"/>
  <c r="AG88" i="39"/>
  <c r="B98" i="39"/>
  <c r="AE69" i="39"/>
  <c r="AI71" i="39" s="1"/>
  <c r="AG83" i="39" s="1"/>
  <c r="B329" i="39"/>
  <c r="B38" i="39"/>
  <c r="AN71" i="39"/>
  <c r="AN85" i="39" s="1"/>
  <c r="AG90" i="39" s="1"/>
  <c r="B307" i="39"/>
  <c r="B284" i="39"/>
  <c r="S89" i="10"/>
  <c r="S102" i="10" s="1"/>
  <c r="W11" i="23"/>
  <c r="U21" i="25"/>
  <c r="U30" i="25" s="1"/>
  <c r="O3" i="26"/>
  <c r="M3" i="26" s="1"/>
  <c r="J4" i="26" s="1"/>
  <c r="J10" i="26" s="1"/>
  <c r="J12" i="26" s="1"/>
  <c r="S87" i="10"/>
  <c r="S101" i="10" s="1"/>
  <c r="G120" i="39"/>
  <c r="F121" i="39"/>
  <c r="F119" i="39"/>
  <c r="G119" i="39" s="1"/>
  <c r="F118" i="39"/>
  <c r="G118" i="39" s="1"/>
  <c r="F117" i="39"/>
  <c r="G117" i="39" s="1"/>
  <c r="H119" i="39"/>
  <c r="H118" i="39"/>
  <c r="H120" i="39"/>
  <c r="H117" i="39"/>
  <c r="G121" i="39" l="1"/>
  <c r="I119" i="39"/>
  <c r="B225" i="39" s="1"/>
  <c r="I118" i="39"/>
  <c r="B224" i="39" s="1"/>
  <c r="I117" i="39"/>
  <c r="B223" i="39" s="1"/>
  <c r="I120" i="39"/>
  <c r="B226" i="39" s="1"/>
  <c r="L46" i="10"/>
  <c r="AJ53" i="10"/>
  <c r="Z53" i="10"/>
  <c r="AE53" i="10"/>
  <c r="U53" i="10"/>
  <c r="B40" i="39"/>
  <c r="B44" i="39"/>
  <c r="U32" i="25"/>
  <c r="H21" i="25" s="1"/>
  <c r="W32" i="25"/>
  <c r="Q281" i="39"/>
  <c r="Q283" i="39" s="1"/>
  <c r="B291" i="39"/>
  <c r="B296" i="39" s="1"/>
  <c r="G300" i="39"/>
  <c r="J219" i="39" s="1"/>
  <c r="B286" i="39"/>
  <c r="H301" i="39"/>
  <c r="B336" i="39"/>
  <c r="B341" i="39" s="1"/>
  <c r="B331" i="39"/>
  <c r="B237" i="39"/>
  <c r="B242" i="39"/>
  <c r="B247" i="39" s="1"/>
  <c r="B309" i="39"/>
  <c r="B315" i="39"/>
  <c r="B320" i="39" s="1"/>
  <c r="L49" i="10"/>
  <c r="H330" i="39"/>
  <c r="H236" i="39"/>
  <c r="F110" i="39"/>
  <c r="G236" i="39"/>
  <c r="G330" i="39"/>
  <c r="H235" i="39"/>
  <c r="G235" i="39"/>
  <c r="G307" i="39"/>
  <c r="G284" i="39"/>
  <c r="H307" i="39"/>
  <c r="G234" i="39"/>
  <c r="H328" i="39"/>
  <c r="H306" i="39"/>
  <c r="H308" i="39"/>
  <c r="H329" i="39"/>
  <c r="G308" i="39"/>
  <c r="G306" i="39"/>
  <c r="I110" i="39"/>
  <c r="G329" i="39"/>
  <c r="G285" i="39"/>
  <c r="G283" i="39"/>
  <c r="H234" i="39"/>
  <c r="G328" i="39"/>
  <c r="B112" i="39" l="1"/>
  <c r="H121" i="39" s="1"/>
  <c r="I121" i="39" s="1"/>
  <c r="B227" i="39" s="1"/>
  <c r="B243" i="39"/>
  <c r="E244" i="39" s="1"/>
  <c r="E247" i="39" s="1"/>
  <c r="J239" i="39"/>
  <c r="H239" i="39"/>
  <c r="E239" i="39"/>
  <c r="I239" i="39"/>
  <c r="E288" i="39"/>
  <c r="H288" i="39"/>
  <c r="Q282" i="39"/>
  <c r="Q287" i="39" s="1"/>
  <c r="R317" i="39" s="1"/>
  <c r="B292" i="39"/>
  <c r="E293" i="39" s="1"/>
  <c r="E296" i="39" s="1"/>
  <c r="J288" i="39"/>
  <c r="E333" i="39"/>
  <c r="N333" i="39"/>
  <c r="L333" i="39"/>
  <c r="K333" i="39"/>
  <c r="B337" i="39"/>
  <c r="E338" i="39" s="1"/>
  <c r="J312" i="39"/>
  <c r="B316" i="39"/>
  <c r="E317" i="39" s="1"/>
  <c r="K312" i="39"/>
  <c r="E312" i="39"/>
  <c r="L312" i="39"/>
  <c r="W33" i="25"/>
  <c r="U33" i="25"/>
  <c r="H20" i="25" s="1"/>
  <c r="AC53" i="10"/>
  <c r="AC62" i="10" s="1"/>
  <c r="X53" i="10"/>
  <c r="X62" i="10" s="1"/>
  <c r="S53" i="10"/>
  <c r="S62" i="10" s="1"/>
  <c r="AH53" i="10"/>
  <c r="E330" i="39"/>
  <c r="E103" i="39"/>
  <c r="B146" i="39" s="1"/>
  <c r="E285" i="39"/>
  <c r="E236" i="39"/>
  <c r="B54" i="39"/>
  <c r="E308" i="39"/>
  <c r="I21" i="25"/>
  <c r="AF20" i="25" s="1"/>
  <c r="AE20" i="25"/>
  <c r="M9" i="26"/>
  <c r="M10" i="26"/>
  <c r="B59" i="39"/>
  <c r="B60" i="39"/>
  <c r="E41" i="39"/>
  <c r="E46" i="39"/>
  <c r="E48" i="39"/>
  <c r="E47" i="39"/>
  <c r="E42" i="39"/>
  <c r="E43" i="39" s="1"/>
  <c r="B45" i="39" s="1"/>
  <c r="E40" i="39"/>
  <c r="AH51" i="10"/>
  <c r="AC51" i="10"/>
  <c r="S51" i="10"/>
  <c r="X51" i="10"/>
  <c r="D154" i="39"/>
  <c r="D153" i="39"/>
  <c r="D152" i="39"/>
  <c r="D151" i="39"/>
  <c r="D150" i="39"/>
  <c r="S55" i="10" l="1"/>
  <c r="S73" i="10" s="1"/>
  <c r="S76" i="10" s="1"/>
  <c r="AC55" i="10"/>
  <c r="AC73" i="10" s="1"/>
  <c r="W79" i="10" s="1"/>
  <c r="X55" i="10"/>
  <c r="X73" i="10" s="1"/>
  <c r="X76" i="10" s="1"/>
  <c r="E154" i="39"/>
  <c r="F154" i="39" s="1"/>
  <c r="D227" i="39" s="1"/>
  <c r="C154" i="39"/>
  <c r="E150" i="39"/>
  <c r="F150" i="39" s="1"/>
  <c r="D223" i="39" s="1"/>
  <c r="C150" i="39"/>
  <c r="C151" i="39"/>
  <c r="C152" i="39"/>
  <c r="C153" i="39"/>
  <c r="AH62" i="10"/>
  <c r="AH55" i="10"/>
  <c r="E51" i="39"/>
  <c r="E50" i="39"/>
  <c r="E49" i="39"/>
  <c r="W38" i="25"/>
  <c r="U38" i="25"/>
  <c r="H60" i="25" s="1"/>
  <c r="G288" i="39" s="1"/>
  <c r="P294" i="39"/>
  <c r="E235" i="39"/>
  <c r="H312" i="39"/>
  <c r="E307" i="39"/>
  <c r="E284" i="39"/>
  <c r="E329" i="39"/>
  <c r="I333" i="39"/>
  <c r="Q313" i="39" s="1"/>
  <c r="B53" i="39"/>
  <c r="E102" i="39"/>
  <c r="I20" i="25"/>
  <c r="AE19" i="25"/>
  <c r="G239" i="39" l="1"/>
  <c r="AH73" i="10"/>
  <c r="AH76" i="10" s="1"/>
  <c r="Q294" i="39"/>
  <c r="AF19" i="25"/>
  <c r="U34" i="25"/>
  <c r="H22" i="25" s="1"/>
  <c r="W34" i="25"/>
  <c r="B194" i="39"/>
  <c r="B159" i="39"/>
  <c r="E151" i="39"/>
  <c r="Q304" i="39"/>
  <c r="Q307" i="39"/>
  <c r="Q308" i="39" s="1"/>
  <c r="J333" i="39"/>
  <c r="Q311" i="39" s="1"/>
  <c r="I312" i="39"/>
  <c r="AE60" i="25"/>
  <c r="I60" i="25"/>
  <c r="AF60" i="25" s="1"/>
  <c r="AC76" i="10"/>
  <c r="V79" i="10" s="1"/>
  <c r="L50" i="10" s="1"/>
  <c r="D166" i="39"/>
  <c r="D167" i="39"/>
  <c r="D165" i="39"/>
  <c r="D163" i="39"/>
  <c r="D164" i="39"/>
  <c r="C164" i="39" l="1"/>
  <c r="C165" i="39"/>
  <c r="C167" i="39"/>
  <c r="E167" i="39"/>
  <c r="F167" i="39" s="1"/>
  <c r="E227" i="39" s="1"/>
  <c r="E163" i="39"/>
  <c r="F163" i="39" s="1"/>
  <c r="E223" i="39" s="1"/>
  <c r="C163" i="39"/>
  <c r="C166" i="39"/>
  <c r="L51" i="10"/>
  <c r="L52" i="10" s="1"/>
  <c r="E254" i="39" s="1"/>
  <c r="N279" i="39"/>
  <c r="L263" i="39" s="1"/>
  <c r="L264" i="39" s="1"/>
  <c r="L265" i="39" s="1"/>
  <c r="U35" i="25"/>
  <c r="H23" i="25" s="1"/>
  <c r="W35" i="25"/>
  <c r="F151" i="39"/>
  <c r="D224" i="39" s="1"/>
  <c r="E152" i="39"/>
  <c r="B52" i="39"/>
  <c r="B46" i="39" s="1"/>
  <c r="B51" i="39" s="1"/>
  <c r="E54" i="39" s="1"/>
  <c r="G312" i="39"/>
  <c r="H333" i="39"/>
  <c r="I22" i="25"/>
  <c r="AF21" i="25" s="1"/>
  <c r="AE21" i="25"/>
  <c r="B261" i="39" l="1"/>
  <c r="B258" i="39"/>
  <c r="B260" i="39"/>
  <c r="B259" i="39"/>
  <c r="E164" i="39"/>
  <c r="F164" i="39" s="1"/>
  <c r="E224" i="39" s="1"/>
  <c r="L4" i="27"/>
  <c r="E153" i="39"/>
  <c r="F153" i="39" s="1"/>
  <c r="D226" i="39" s="1"/>
  <c r="F152" i="39"/>
  <c r="D225" i="39" s="1"/>
  <c r="W36" i="25"/>
  <c r="U36" i="25"/>
  <c r="H62" i="25" s="1"/>
  <c r="F312" i="39" s="1"/>
  <c r="D60" i="39"/>
  <c r="D61" i="39"/>
  <c r="D62" i="39"/>
  <c r="E55" i="39" s="1"/>
  <c r="P295" i="39"/>
  <c r="P96" i="25"/>
  <c r="I23" i="25"/>
  <c r="AE23" i="25"/>
  <c r="E165" i="39" l="1"/>
  <c r="E166" i="39" s="1"/>
  <c r="F166" i="39" s="1"/>
  <c r="E226" i="39" s="1"/>
  <c r="F333" i="39"/>
  <c r="Q309" i="39" s="1"/>
  <c r="Q314" i="39" s="1"/>
  <c r="Q315" i="39" s="1"/>
  <c r="T313" i="39" s="1"/>
  <c r="E61" i="39"/>
  <c r="E60" i="39"/>
  <c r="E62" i="39"/>
  <c r="B55" i="39" s="1"/>
  <c r="E56" i="39" s="1"/>
  <c r="F165" i="39"/>
  <c r="E225" i="39" s="1"/>
  <c r="Q295" i="39"/>
  <c r="AF23" i="25"/>
  <c r="L42" i="10"/>
  <c r="P293" i="39"/>
  <c r="P296" i="39" s="1"/>
  <c r="E328" i="39"/>
  <c r="J328" i="39" s="1"/>
  <c r="E334" i="39" s="1"/>
  <c r="F239" i="39"/>
  <c r="C27" i="43"/>
  <c r="E101" i="39"/>
  <c r="F288" i="39"/>
  <c r="E283" i="39"/>
  <c r="J283" i="39" s="1"/>
  <c r="E289" i="39" s="1"/>
  <c r="H95" i="25"/>
  <c r="I62" i="25"/>
  <c r="E234" i="39"/>
  <c r="J234" i="39" s="1"/>
  <c r="E240" i="39" s="1"/>
  <c r="AE62" i="25"/>
  <c r="E306" i="39"/>
  <c r="J306" i="39" s="1"/>
  <c r="E313" i="39" s="1"/>
  <c r="T314" i="39" l="1"/>
  <c r="T312" i="39"/>
  <c r="U309" i="39" s="1"/>
  <c r="L44" i="10"/>
  <c r="O44" i="10"/>
  <c r="S42" i="10"/>
  <c r="AF62" i="25"/>
  <c r="Q293" i="39"/>
  <c r="Q296" i="39" s="1"/>
  <c r="L61" i="10"/>
  <c r="C262" i="39" s="1"/>
  <c r="D262" i="39" s="1"/>
  <c r="G262" i="39" s="1"/>
  <c r="H262" i="39" s="1"/>
  <c r="I95" i="25"/>
  <c r="B217" i="39" s="1"/>
  <c r="B101" i="39"/>
  <c r="B205" i="39"/>
  <c r="P297" i="39"/>
  <c r="E291" i="39"/>
  <c r="F289" i="39" s="1"/>
  <c r="E290" i="39"/>
  <c r="E315" i="39"/>
  <c r="F313" i="39" s="1"/>
  <c r="E314" i="39"/>
  <c r="F60" i="39"/>
  <c r="F62" i="39"/>
  <c r="B56" i="39" s="1"/>
  <c r="E57" i="39" s="1"/>
  <c r="F61" i="39"/>
  <c r="E242" i="39"/>
  <c r="F240" i="39" s="1"/>
  <c r="E241" i="39"/>
  <c r="E336" i="39"/>
  <c r="F334" i="39" s="1"/>
  <c r="E335" i="39"/>
  <c r="D211" i="39"/>
  <c r="D212" i="39"/>
  <c r="D213" i="39"/>
  <c r="D209" i="39"/>
  <c r="D210" i="39"/>
  <c r="C209" i="39" l="1"/>
  <c r="E209" i="39"/>
  <c r="F209" i="39" s="1"/>
  <c r="F223" i="39" s="1"/>
  <c r="C211" i="39"/>
  <c r="C213" i="39"/>
  <c r="E213" i="39"/>
  <c r="F213" i="39" s="1"/>
  <c r="F227" i="39" s="1"/>
  <c r="J227" i="39" s="1"/>
  <c r="C212" i="39"/>
  <c r="C210" i="39"/>
  <c r="F336" i="39"/>
  <c r="G334" i="39" s="1"/>
  <c r="F335" i="39"/>
  <c r="R309" i="39" s="1"/>
  <c r="F291" i="39"/>
  <c r="G289" i="39" s="1"/>
  <c r="F290" i="39"/>
  <c r="AG82" i="39"/>
  <c r="C258" i="39"/>
  <c r="C259" i="39"/>
  <c r="L62" i="10"/>
  <c r="C261" i="39"/>
  <c r="D261" i="39" s="1"/>
  <c r="G261" i="39" s="1"/>
  <c r="H261" i="39" s="1"/>
  <c r="C260" i="39"/>
  <c r="D260" i="39" s="1"/>
  <c r="G260" i="39" s="1"/>
  <c r="H260" i="39" s="1"/>
  <c r="F315" i="39"/>
  <c r="G313" i="39" s="1"/>
  <c r="F314" i="39"/>
  <c r="G60" i="39"/>
  <c r="G61" i="39"/>
  <c r="B57" i="39" s="1"/>
  <c r="G62" i="39"/>
  <c r="F241" i="39"/>
  <c r="F242" i="39"/>
  <c r="G240" i="39" s="1"/>
  <c r="P298" i="39"/>
  <c r="T295" i="39" s="1"/>
  <c r="O82" i="10"/>
  <c r="B23" i="39"/>
  <c r="AE71" i="39"/>
  <c r="Y85" i="10"/>
  <c r="Y88" i="10" s="1"/>
  <c r="AC80" i="10"/>
  <c r="AC92" i="10" s="1"/>
  <c r="AC79" i="10"/>
  <c r="AC84" i="10" l="1"/>
  <c r="AC85" i="10" s="1"/>
  <c r="E210" i="39"/>
  <c r="T297" i="39"/>
  <c r="G241" i="39"/>
  <c r="G242" i="39"/>
  <c r="H240" i="39" s="1"/>
  <c r="AC81" i="10"/>
  <c r="G26" i="39"/>
  <c r="F25" i="39" s="1" a="1"/>
  <c r="F25" i="39" s="1"/>
  <c r="B25" i="39"/>
  <c r="F26" i="39"/>
  <c r="G27" i="39"/>
  <c r="S86" i="10"/>
  <c r="B306" i="39"/>
  <c r="B319" i="39" s="1"/>
  <c r="B283" i="39"/>
  <c r="B295" i="39" s="1"/>
  <c r="L74" i="10"/>
  <c r="B234" i="39"/>
  <c r="B246" i="39" s="1"/>
  <c r="B115" i="39"/>
  <c r="L218" i="39" s="1"/>
  <c r="B328" i="39"/>
  <c r="B340" i="39" s="1"/>
  <c r="I224" i="39"/>
  <c r="I223" i="39"/>
  <c r="J223" i="39" s="1"/>
  <c r="K223" i="39" s="1"/>
  <c r="I226" i="39"/>
  <c r="I225" i="39"/>
  <c r="G335" i="39"/>
  <c r="R310" i="39" s="1"/>
  <c r="G336" i="39"/>
  <c r="H334" i="39" s="1"/>
  <c r="T293" i="39"/>
  <c r="AC93" i="10"/>
  <c r="AC94" i="10" s="1"/>
  <c r="AC95" i="10" s="1"/>
  <c r="G314" i="39"/>
  <c r="G315" i="39"/>
  <c r="H313" i="39" s="1"/>
  <c r="E259" i="39"/>
  <c r="G259" i="39" s="1"/>
  <c r="H259" i="39" s="1"/>
  <c r="D259" i="39"/>
  <c r="T296" i="39"/>
  <c r="AE73" i="39"/>
  <c r="AE75" i="39"/>
  <c r="AE76" i="39" s="1"/>
  <c r="AG81" i="39" s="1"/>
  <c r="AG84" i="39" s="1"/>
  <c r="AG89" i="39" s="1"/>
  <c r="AE74" i="39"/>
  <c r="P300" i="39"/>
  <c r="P301" i="39"/>
  <c r="P299" i="39"/>
  <c r="P302" i="39"/>
  <c r="H39" i="39"/>
  <c r="H41" i="39"/>
  <c r="H42" i="39" s="1"/>
  <c r="B58" i="39" s="1"/>
  <c r="B61" i="39" s="1"/>
  <c r="H40" i="39"/>
  <c r="E258" i="39"/>
  <c r="G258" i="39" s="1"/>
  <c r="H258" i="39" s="1"/>
  <c r="D258" i="39"/>
  <c r="G291" i="39"/>
  <c r="H289" i="39" s="1"/>
  <c r="G290" i="39"/>
  <c r="T294" i="39"/>
  <c r="AC87" i="10" l="1"/>
  <c r="AC88" i="10" s="1"/>
  <c r="L77" i="10" s="1"/>
  <c r="M7" i="70" s="1"/>
  <c r="R299" i="39"/>
  <c r="F210" i="39"/>
  <c r="F224" i="39" s="1"/>
  <c r="J224" i="39" s="1"/>
  <c r="K224" i="39" s="1"/>
  <c r="E211" i="39"/>
  <c r="H314" i="39"/>
  <c r="H315" i="39"/>
  <c r="I313" i="39" s="1"/>
  <c r="U293" i="39"/>
  <c r="L219" i="39"/>
  <c r="H220" i="39"/>
  <c r="D29" i="39"/>
  <c r="B27" i="39"/>
  <c r="B29" i="39"/>
  <c r="D30" i="39" s="1"/>
  <c r="B30" i="39" s="1"/>
  <c r="B28" i="39"/>
  <c r="H241" i="39"/>
  <c r="H242" i="39"/>
  <c r="I240" i="39" s="1"/>
  <c r="AN70" i="39"/>
  <c r="AG91" i="39"/>
  <c r="AG92" i="39" s="1"/>
  <c r="H335" i="39"/>
  <c r="H336" i="39"/>
  <c r="I334" i="39" s="1"/>
  <c r="H291" i="39"/>
  <c r="I289" i="39" s="1"/>
  <c r="H290" i="39"/>
  <c r="R300" i="39"/>
  <c r="L75" i="10"/>
  <c r="L5" i="27"/>
  <c r="L79" i="10"/>
  <c r="R35" i="10"/>
  <c r="X79" i="10"/>
  <c r="J66" i="10" s="1"/>
  <c r="G151" i="39"/>
  <c r="H151" i="39" s="1"/>
  <c r="I151" i="39" s="1"/>
  <c r="G166" i="39"/>
  <c r="H166" i="39" s="1"/>
  <c r="I166" i="39" s="1"/>
  <c r="G154" i="39"/>
  <c r="H154" i="39" s="1"/>
  <c r="I154" i="39" s="1"/>
  <c r="G179" i="39"/>
  <c r="H179" i="39" s="1"/>
  <c r="I179" i="39" s="1"/>
  <c r="F127" i="39"/>
  <c r="G127" i="39" s="1"/>
  <c r="H127" i="39" s="1"/>
  <c r="G213" i="39"/>
  <c r="H213" i="39" s="1"/>
  <c r="I213" i="39" s="1"/>
  <c r="G165" i="39"/>
  <c r="H165" i="39" s="1"/>
  <c r="I165" i="39" s="1"/>
  <c r="F128" i="39"/>
  <c r="G128" i="39" s="1"/>
  <c r="H128" i="39" s="1"/>
  <c r="J121" i="39"/>
  <c r="L121" i="39" s="1"/>
  <c r="G190" i="39"/>
  <c r="H190" i="39" s="1"/>
  <c r="I190" i="39" s="1"/>
  <c r="F141" i="39"/>
  <c r="G141" i="39" s="1"/>
  <c r="H141" i="39" s="1"/>
  <c r="G178" i="39"/>
  <c r="H178" i="39" s="1"/>
  <c r="I178" i="39" s="1"/>
  <c r="F140" i="39"/>
  <c r="G140" i="39" s="1"/>
  <c r="H140" i="39" s="1"/>
  <c r="G177" i="39"/>
  <c r="H177" i="39" s="1"/>
  <c r="I177" i="39" s="1"/>
  <c r="G152" i="39"/>
  <c r="H152" i="39" s="1"/>
  <c r="I152" i="39" s="1"/>
  <c r="G176" i="39"/>
  <c r="H176" i="39" s="1"/>
  <c r="I176" i="39" s="1"/>
  <c r="F111" i="39"/>
  <c r="F112" i="39" s="1"/>
  <c r="F113" i="39" s="1"/>
  <c r="G209" i="39"/>
  <c r="H209" i="39" s="1"/>
  <c r="I209" i="39" s="1"/>
  <c r="G163" i="39"/>
  <c r="H163" i="39" s="1"/>
  <c r="I163" i="39" s="1"/>
  <c r="G191" i="39"/>
  <c r="H191" i="39" s="1"/>
  <c r="I191" i="39" s="1"/>
  <c r="G150" i="39"/>
  <c r="H150" i="39" s="1"/>
  <c r="I150" i="39" s="1"/>
  <c r="G212" i="39"/>
  <c r="G164" i="39"/>
  <c r="H164" i="39" s="1"/>
  <c r="I164" i="39" s="1"/>
  <c r="G187" i="39"/>
  <c r="H187" i="39" s="1"/>
  <c r="I187" i="39" s="1"/>
  <c r="J117" i="39"/>
  <c r="K117" i="39" s="1"/>
  <c r="L117" i="39" s="1"/>
  <c r="G153" i="39"/>
  <c r="H153" i="39" s="1"/>
  <c r="I153" i="39" s="1"/>
  <c r="F139" i="39"/>
  <c r="G139" i="39" s="1"/>
  <c r="H139" i="39" s="1"/>
  <c r="G201" i="39"/>
  <c r="H201" i="39" s="1"/>
  <c r="I201" i="39" s="1"/>
  <c r="G188" i="39"/>
  <c r="H188" i="39" s="1"/>
  <c r="I188" i="39" s="1"/>
  <c r="F130" i="39"/>
  <c r="G130" i="39" s="1"/>
  <c r="H130" i="39" s="1"/>
  <c r="F137" i="39"/>
  <c r="G137" i="39" s="1"/>
  <c r="H137" i="39" s="1"/>
  <c r="J120" i="39"/>
  <c r="K120" i="39" s="1"/>
  <c r="L120" i="39" s="1"/>
  <c r="G167" i="39"/>
  <c r="H167" i="39" s="1"/>
  <c r="I167" i="39" s="1"/>
  <c r="G199" i="39"/>
  <c r="H199" i="39" s="1"/>
  <c r="I199" i="39" s="1"/>
  <c r="G180" i="39"/>
  <c r="H180" i="39" s="1"/>
  <c r="I180" i="39" s="1"/>
  <c r="I111" i="39"/>
  <c r="I112" i="39" s="1"/>
  <c r="I113" i="39" s="1"/>
  <c r="B218" i="39"/>
  <c r="B219" i="39" s="1"/>
  <c r="B220" i="39" s="1"/>
  <c r="J118" i="39"/>
  <c r="K118" i="39" s="1"/>
  <c r="L118" i="39" s="1"/>
  <c r="F138" i="39"/>
  <c r="G138" i="39" s="1"/>
  <c r="H138" i="39" s="1"/>
  <c r="G189" i="39"/>
  <c r="H189" i="39" s="1"/>
  <c r="I189" i="39" s="1"/>
  <c r="G202" i="39"/>
  <c r="H202" i="39" s="1"/>
  <c r="I202" i="39" s="1"/>
  <c r="G210" i="39"/>
  <c r="J119" i="39"/>
  <c r="K119" i="39" s="1"/>
  <c r="L119" i="39" s="1"/>
  <c r="G198" i="39"/>
  <c r="H198" i="39" s="1"/>
  <c r="I198" i="39" s="1"/>
  <c r="F131" i="39"/>
  <c r="G131" i="39" s="1"/>
  <c r="H131" i="39" s="1"/>
  <c r="G200" i="39"/>
  <c r="H200" i="39" s="1"/>
  <c r="I200" i="39" s="1"/>
  <c r="F129" i="39"/>
  <c r="G129" i="39" s="1"/>
  <c r="H129" i="39" s="1"/>
  <c r="H210" i="39" l="1"/>
  <c r="I210" i="39" s="1"/>
  <c r="F211" i="39"/>
  <c r="F225" i="39" s="1"/>
  <c r="J225" i="39" s="1"/>
  <c r="K225" i="39" s="1"/>
  <c r="E212" i="39"/>
  <c r="F212" i="39" s="1"/>
  <c r="F226" i="39" s="1"/>
  <c r="J226" i="39" s="1"/>
  <c r="K227" i="39" s="1"/>
  <c r="L76" i="10"/>
  <c r="L6" i="27"/>
  <c r="G18" i="27"/>
  <c r="I291" i="39"/>
  <c r="J289" i="39" s="1"/>
  <c r="I290" i="39"/>
  <c r="J293" i="39" s="1"/>
  <c r="E319" i="39"/>
  <c r="V293" i="39"/>
  <c r="E340" i="39"/>
  <c r="AG94" i="39"/>
  <c r="AG93" i="39"/>
  <c r="I315" i="39"/>
  <c r="J313" i="39" s="1"/>
  <c r="I314" i="39"/>
  <c r="Q306" i="39"/>
  <c r="I336" i="39"/>
  <c r="J334" i="39" s="1"/>
  <c r="I335" i="39"/>
  <c r="R313" i="39" s="1"/>
  <c r="I242" i="39"/>
  <c r="J240" i="39" s="1"/>
  <c r="I241" i="39"/>
  <c r="J244" i="39" s="1"/>
  <c r="K226" i="39" l="1"/>
  <c r="B99" i="39"/>
  <c r="G211" i="39" s="1"/>
  <c r="H211" i="39" s="1"/>
  <c r="I211" i="39" s="1"/>
  <c r="B37" i="39"/>
  <c r="H212" i="39"/>
  <c r="I212" i="39" s="1"/>
  <c r="L80" i="10"/>
  <c r="L87" i="10" s="1"/>
  <c r="J242" i="39"/>
  <c r="K240" i="39" s="1"/>
  <c r="J241" i="39"/>
  <c r="E341" i="39"/>
  <c r="J291" i="39"/>
  <c r="K289" i="39" s="1"/>
  <c r="J290" i="39"/>
  <c r="J314" i="39"/>
  <c r="J315" i="39"/>
  <c r="K313" i="39" s="1"/>
  <c r="K18" i="27"/>
  <c r="K19" i="27" s="1"/>
  <c r="K21" i="27" s="1"/>
  <c r="G19" i="27"/>
  <c r="Q305" i="39"/>
  <c r="R311" i="39" s="1"/>
  <c r="J336" i="39"/>
  <c r="K334" i="39" s="1"/>
  <c r="J335" i="39"/>
  <c r="AG95" i="39"/>
  <c r="AG101" i="39" s="1"/>
  <c r="E320" i="39"/>
  <c r="L94" i="10" l="1"/>
  <c r="L101" i="10" s="1"/>
  <c r="B70" i="39"/>
  <c r="B16" i="39"/>
  <c r="K314" i="39"/>
  <c r="J317" i="39" s="1"/>
  <c r="K315" i="39"/>
  <c r="L313" i="39" s="1"/>
  <c r="K291" i="39"/>
  <c r="K290" i="39"/>
  <c r="K335" i="39"/>
  <c r="K336" i="39"/>
  <c r="L334" i="39" s="1"/>
  <c r="K242" i="39"/>
  <c r="K241" i="39"/>
  <c r="E13" i="39"/>
  <c r="L102" i="10" l="1"/>
  <c r="D3" i="39"/>
  <c r="B3" i="39" s="1"/>
  <c r="B4" i="39" s="1"/>
  <c r="B15" i="39" s="1"/>
  <c r="H263" i="39"/>
  <c r="B71" i="39"/>
  <c r="B77" i="39" s="1"/>
  <c r="B78" i="39" s="1"/>
  <c r="B79" i="39" s="1"/>
  <c r="L335" i="39"/>
  <c r="J338" i="39" s="1"/>
  <c r="L336" i="39"/>
  <c r="M334" i="39" s="1"/>
  <c r="L315" i="39"/>
  <c r="M313" i="39" s="1"/>
  <c r="L314" i="39"/>
  <c r="G244" i="39"/>
  <c r="L240" i="39"/>
  <c r="G293" i="39"/>
  <c r="L289" i="39"/>
  <c r="B65" i="39" l="1"/>
  <c r="M315" i="39"/>
  <c r="M314" i="39"/>
  <c r="L241" i="39"/>
  <c r="B245" i="39" s="1"/>
  <c r="L242" i="39"/>
  <c r="M336" i="39"/>
  <c r="N334" i="39" s="1"/>
  <c r="M335" i="39"/>
  <c r="R312" i="39" s="1"/>
  <c r="L290" i="39"/>
  <c r="B294" i="39" s="1"/>
  <c r="L291" i="39"/>
  <c r="E297" i="39" l="1"/>
  <c r="E298" i="39" s="1"/>
  <c r="G294" i="39" s="1"/>
  <c r="G295" i="39" s="1"/>
  <c r="G298" i="39" s="1"/>
  <c r="B297" i="39"/>
  <c r="B298" i="39" s="1"/>
  <c r="E248" i="39"/>
  <c r="E249" i="39" s="1"/>
  <c r="G245" i="39" s="1"/>
  <c r="G246" i="39" s="1"/>
  <c r="G249" i="39" s="1"/>
  <c r="B248" i="39"/>
  <c r="B249" i="39" s="1"/>
  <c r="R315" i="39"/>
  <c r="R314" i="39"/>
  <c r="N336" i="39"/>
  <c r="O334" i="39" s="1"/>
  <c r="N335" i="39"/>
  <c r="N313" i="39"/>
  <c r="G317" i="39"/>
  <c r="O335" i="39" l="1"/>
  <c r="O336" i="39"/>
  <c r="N314" i="39"/>
  <c r="B318" i="39" s="1"/>
  <c r="N315" i="39"/>
  <c r="E321" i="39" l="1"/>
  <c r="E322" i="39" s="1"/>
  <c r="G318" i="39" s="1"/>
  <c r="G319" i="39" s="1"/>
  <c r="G322" i="39" s="1"/>
  <c r="B321" i="39"/>
  <c r="B322" i="39" s="1"/>
  <c r="G338" i="39"/>
  <c r="P334" i="39"/>
  <c r="P335" i="39" l="1"/>
  <c r="B339" i="39" s="1"/>
  <c r="P336" i="39"/>
  <c r="E342" i="39" l="1"/>
  <c r="B342" i="39"/>
  <c r="B343" i="39" s="1"/>
  <c r="E343" i="39" l="1"/>
  <c r="G339" i="39" s="1"/>
  <c r="G340" i="39" s="1"/>
  <c r="G343" i="39" s="1"/>
  <c r="G301" i="39" s="1"/>
  <c r="J220" i="39" s="1"/>
  <c r="E344" i="39"/>
  <c r="L227" i="39" l="1"/>
  <c r="M227" i="39" s="1"/>
  <c r="N227" i="39" s="1"/>
  <c r="L223" i="39"/>
  <c r="M223" i="39" s="1"/>
  <c r="N223" i="39" s="1"/>
  <c r="O223" i="39" s="1"/>
  <c r="L225" i="39"/>
  <c r="M225" i="39" s="1"/>
  <c r="N225" i="39" s="1"/>
  <c r="L224" i="39"/>
  <c r="M224" i="39" s="1"/>
  <c r="N224" i="39" s="1"/>
  <c r="O224" i="39" s="1"/>
  <c r="O225" i="39" l="1"/>
  <c r="P225" i="39" s="1"/>
  <c r="S225" i="39" s="1"/>
  <c r="T225" i="39" s="1"/>
  <c r="L226" i="39"/>
  <c r="M226" i="39" s="1"/>
  <c r="N226" i="39" s="1"/>
  <c r="O227" i="39" s="1"/>
  <c r="P224" i="39"/>
  <c r="Q224" i="39"/>
  <c r="S224" i="39" s="1"/>
  <c r="T224" i="39" s="1"/>
  <c r="Q223" i="39"/>
  <c r="S223" i="39" s="1"/>
  <c r="P223" i="39"/>
  <c r="O226" i="39" l="1"/>
  <c r="P226" i="39" s="1"/>
  <c r="S226" i="39" s="1"/>
  <c r="T226" i="39" s="1"/>
  <c r="P227" i="39"/>
  <c r="T223" i="39"/>
  <c r="U223" i="39"/>
  <c r="S227" i="39" l="1"/>
  <c r="T227" i="39" s="1"/>
  <c r="R228" i="39"/>
  <c r="B66" i="39" l="1"/>
  <c r="B80" i="39"/>
  <c r="B82" i="39" l="1"/>
  <c r="B83" i="39" s="1"/>
  <c r="B84" i="39" s="1"/>
  <c r="C77" i="39" s="1"/>
  <c r="C78" i="39" s="1"/>
  <c r="C79" i="39" s="1"/>
  <c r="B85" i="39" l="1"/>
  <c r="C80" i="39" s="1"/>
  <c r="C82" i="39" l="1"/>
  <c r="C83" i="39" s="1"/>
  <c r="C84" i="39" s="1"/>
  <c r="D77" i="39" s="1"/>
  <c r="D78" i="39" s="1"/>
  <c r="D79" i="39" s="1"/>
  <c r="C85" i="39" l="1"/>
  <c r="D80" i="39" s="1"/>
  <c r="D82" i="39" l="1"/>
  <c r="D83" i="39" s="1"/>
  <c r="D84" i="39" s="1"/>
  <c r="E77" i="39" s="1"/>
  <c r="E78" i="39" s="1"/>
  <c r="E79" i="39" s="1"/>
  <c r="D85" i="39"/>
  <c r="E80" i="39" l="1"/>
  <c r="E82" i="39" l="1"/>
  <c r="E83" i="39" s="1"/>
  <c r="E84" i="39" s="1"/>
  <c r="F77" i="39" s="1"/>
  <c r="F78" i="39" s="1"/>
  <c r="F79" i="39" s="1"/>
  <c r="B87" i="39" s="1"/>
  <c r="B92" i="39" s="1"/>
  <c r="E85" i="39" l="1"/>
  <c r="F80" i="39" s="1"/>
  <c r="F82" i="39" l="1"/>
  <c r="F83" i="39" s="1"/>
  <c r="F84" i="39" s="1"/>
  <c r="G77" i="39" s="1"/>
  <c r="G78" i="39" s="1"/>
  <c r="G79" i="39" s="1"/>
  <c r="F85" i="39" l="1"/>
  <c r="G80" i="39" s="1"/>
  <c r="N147" i="12"/>
</calcChain>
</file>

<file path=xl/comments1.xml><?xml version="1.0" encoding="utf-8"?>
<comments xmlns="http://schemas.openxmlformats.org/spreadsheetml/2006/main">
  <authors>
    <author>Yogesh</author>
    <author>Bharatesh Patil.</author>
    <author>Prem Kumar M</author>
    <author>Income Tax Department</author>
    <author>Manoj  Tripathi</author>
    <author>Vishesh  Jindal</author>
  </authors>
  <commentList>
    <comment ref="AK8" authorId="0" shapeId="0">
      <text>
        <r>
          <rPr>
            <b/>
            <sz val="9"/>
            <color indexed="81"/>
            <rFont val="Tahoma"/>
            <family val="2"/>
          </rPr>
          <t>Enter PAN (first five Alphabets, next 4 digits and 1 alphabet)</t>
        </r>
      </text>
    </comment>
    <comment ref="E18" authorId="1" shapeId="0">
      <text>
        <r>
          <rPr>
            <b/>
            <sz val="9"/>
            <color indexed="81"/>
            <rFont val="Tahoma"/>
            <family val="2"/>
          </rPr>
          <t>Email address-1 shall be of taxpayer only</t>
        </r>
        <r>
          <rPr>
            <sz val="9"/>
            <color indexed="81"/>
            <rFont val="Tahoma"/>
            <family val="2"/>
          </rPr>
          <t xml:space="preserve">
</t>
        </r>
      </text>
    </comment>
    <comment ref="N18" authorId="1" shapeId="0">
      <text>
        <r>
          <rPr>
            <b/>
            <sz val="9"/>
            <color indexed="81"/>
            <rFont val="Tahoma"/>
            <family val="2"/>
          </rPr>
          <t>Email address-2 shall be of taxpayer or their contact person</t>
        </r>
      </text>
    </comment>
    <comment ref="X18" authorId="1" shapeId="0">
      <text>
        <r>
          <rPr>
            <b/>
            <sz val="9"/>
            <color indexed="81"/>
            <rFont val="Tahoma"/>
            <family val="2"/>
          </rPr>
          <t xml:space="preserve">Mobile no.1 shall be of taxpayer only
</t>
        </r>
        <r>
          <rPr>
            <sz val="9"/>
            <color indexed="81"/>
            <rFont val="Tahoma"/>
            <family val="2"/>
          </rPr>
          <t xml:space="preserve">
</t>
        </r>
      </text>
    </comment>
    <comment ref="AL18" authorId="1" shapeId="0">
      <text>
        <r>
          <rPr>
            <b/>
            <sz val="9"/>
            <color indexed="81"/>
            <rFont val="Tahoma"/>
            <family val="2"/>
          </rPr>
          <t>Mobile no.2 shall be of taxpayer or their contact person</t>
        </r>
        <r>
          <rPr>
            <sz val="9"/>
            <color indexed="81"/>
            <rFont val="Tahoma"/>
            <family val="2"/>
          </rPr>
          <t xml:space="preserve">
</t>
        </r>
      </text>
    </comment>
    <comment ref="AA26" authorId="2" shapeId="0">
      <text>
        <r>
          <rPr>
            <b/>
            <sz val="9"/>
            <color indexed="81"/>
            <rFont val="Tahoma"/>
            <family val="2"/>
          </rPr>
          <t>"In case TIN has not been allotted for Jurisdiction(s) of residence, then, enter passport number along with the name of Country in which Passport is issued."</t>
        </r>
      </text>
    </comment>
    <comment ref="AF48" authorId="1" shapeId="0">
      <text>
        <r>
          <rPr>
            <b/>
            <sz val="9"/>
            <color indexed="81"/>
            <rFont val="Tahoma"/>
            <family val="2"/>
          </rPr>
          <t>Shall ensure Aadhaar is linked to PAN</t>
        </r>
        <r>
          <rPr>
            <sz val="9"/>
            <color indexed="81"/>
            <rFont val="Tahoma"/>
            <family val="2"/>
          </rPr>
          <t xml:space="preserve">
</t>
        </r>
      </text>
    </comment>
    <comment ref="O70" authorId="3" shapeId="0">
      <text>
        <r>
          <rPr>
            <b/>
            <sz val="9"/>
            <color indexed="81"/>
            <rFont val="Tahoma"/>
            <family val="2"/>
          </rPr>
          <t>PAN is Non mandatory for Foreign Company</t>
        </r>
        <r>
          <rPr>
            <sz val="9"/>
            <color indexed="81"/>
            <rFont val="Tahoma"/>
            <family val="2"/>
          </rPr>
          <t xml:space="preserve">
</t>
        </r>
      </text>
    </comment>
    <comment ref="Q96" authorId="4" shapeId="0">
      <text>
        <r>
          <rPr>
            <sz val="9"/>
            <color indexed="81"/>
            <rFont val="Tahoma"/>
            <family val="2"/>
          </rPr>
          <t>Please ensure to submit Form 3CEB</t>
        </r>
      </text>
    </comment>
    <comment ref="O100" authorId="5" shapeId="0">
      <text>
        <r>
          <rPr>
            <sz val="9"/>
            <color indexed="81"/>
            <rFont val="Tahoma"/>
            <family val="2"/>
          </rPr>
          <t>On or after 01/04/2020</t>
        </r>
      </text>
    </comment>
    <comment ref="O101" authorId="5" shapeId="0">
      <text>
        <r>
          <rPr>
            <sz val="9"/>
            <color indexed="81"/>
            <rFont val="Tahoma"/>
            <family val="2"/>
          </rPr>
          <t>On or after 01/04/2020</t>
        </r>
      </text>
    </comment>
    <comment ref="O102" authorId="5" shapeId="0">
      <text>
        <r>
          <rPr>
            <sz val="9"/>
            <color indexed="81"/>
            <rFont val="Tahoma"/>
            <family val="2"/>
          </rPr>
          <t>On or after 01/04/2020</t>
        </r>
      </text>
    </comment>
    <comment ref="O103" authorId="5" shapeId="0">
      <text>
        <r>
          <rPr>
            <sz val="9"/>
            <color indexed="81"/>
            <rFont val="Tahoma"/>
            <family val="2"/>
          </rPr>
          <t>On or after 01/04/2020</t>
        </r>
      </text>
    </comment>
    <comment ref="O104" authorId="5" shapeId="0">
      <text>
        <r>
          <rPr>
            <sz val="9"/>
            <color indexed="81"/>
            <rFont val="Tahoma"/>
            <family val="2"/>
          </rPr>
          <t>On or after 01/04/2020</t>
        </r>
      </text>
    </comment>
    <comment ref="O105" authorId="5" shapeId="0">
      <text>
        <r>
          <rPr>
            <sz val="9"/>
            <color indexed="81"/>
            <rFont val="Tahoma"/>
            <family val="2"/>
          </rPr>
          <t>On or after 01/04/2020</t>
        </r>
      </text>
    </comment>
    <comment ref="O106" authorId="5" shapeId="0">
      <text>
        <r>
          <rPr>
            <sz val="9"/>
            <color indexed="81"/>
            <rFont val="Tahoma"/>
            <family val="2"/>
          </rPr>
          <t>On or after 01/04/2020</t>
        </r>
      </text>
    </comment>
  </commentList>
</comments>
</file>

<file path=xl/comments2.xml><?xml version="1.0" encoding="utf-8"?>
<comments xmlns="http://schemas.openxmlformats.org/spreadsheetml/2006/main">
  <authors>
    <author xml:space="preserve">Sulakshana Gowda </author>
  </authors>
  <commentList>
    <comment ref="E4" authorId="0" shapeId="0">
      <text>
        <r>
          <rPr>
            <sz val="9"/>
            <color indexed="81"/>
            <rFont val="Tahoma"/>
            <family val="2"/>
          </rPr>
          <t xml:space="preserve">"Code list is available at instruction to notified form at below link
https://www.incometaxindia.gov.in/Pages/downloads/income-tax-return.aspx"
</t>
        </r>
      </text>
    </comment>
  </commentList>
</comments>
</file>

<file path=xl/comments3.xml><?xml version="1.0" encoding="utf-8"?>
<comments xmlns="http://schemas.openxmlformats.org/spreadsheetml/2006/main">
  <authors>
    <author>DELL</author>
  </authors>
  <commentList>
    <comment ref="G186" authorId="0" shapeId="0">
      <text>
        <r>
          <rPr>
            <sz val="9"/>
            <color indexed="81"/>
            <rFont val="Tahoma"/>
            <family val="2"/>
          </rPr>
          <t>Loss cannot be claimed without maintenance of books of accounts</t>
        </r>
      </text>
    </comment>
    <comment ref="G193" authorId="0" shapeId="0">
      <text>
        <r>
          <rPr>
            <sz val="9"/>
            <color indexed="81"/>
            <rFont val="Tahoma"/>
            <family val="2"/>
          </rPr>
          <t>Loss cannot be claimed without maintenance of books of accounts</t>
        </r>
      </text>
    </comment>
  </commentList>
</comments>
</file>

<file path=xl/comments4.xml><?xml version="1.0" encoding="utf-8"?>
<comments xmlns="http://schemas.openxmlformats.org/spreadsheetml/2006/main">
  <authors>
    <author>Income Tax Department</author>
  </authors>
  <commentList>
    <comment ref="L109" authorId="0" shapeId="0">
      <text>
        <r>
          <rPr>
            <b/>
            <sz val="9"/>
            <color indexed="81"/>
            <rFont val="Tahoma"/>
            <family val="2"/>
          </rPr>
          <t xml:space="preserve">If yes is selcted, please fill schedule TPSA
</t>
        </r>
        <r>
          <rPr>
            <sz val="9"/>
            <color indexed="81"/>
            <rFont val="Tahoma"/>
            <family val="2"/>
          </rPr>
          <t xml:space="preserve">
</t>
        </r>
      </text>
    </comment>
  </commentList>
</comments>
</file>

<file path=xl/comments5.xml><?xml version="1.0" encoding="utf-8"?>
<comments xmlns="http://schemas.openxmlformats.org/spreadsheetml/2006/main">
  <authors>
    <author xml:space="preserve"> </author>
  </authors>
  <commentList>
    <comment ref="B1" authorId="0" shapeId="0">
      <text>
        <r>
          <rPr>
            <b/>
            <sz val="8"/>
            <color indexed="81"/>
            <rFont val="Tahoma"/>
            <family val="2"/>
          </rPr>
          <t>Enter complete and accurate details to get credit for tax payments. In case of multiple instalments of advance tax or self assessment tax click the '+' symbol at the bottom of the tale to add more rows.</t>
        </r>
      </text>
    </comment>
    <comment ref="C3" authorId="0" shapeId="0">
      <text>
        <r>
          <rPr>
            <b/>
            <sz val="8"/>
            <color indexed="81"/>
            <rFont val="Tahoma"/>
            <family val="2"/>
          </rPr>
          <t xml:space="preserve">Enter seven digit code as per bank seal on counterfoil
</t>
        </r>
      </text>
    </comment>
    <comment ref="D3" authorId="0" shapeId="0">
      <text>
        <r>
          <rPr>
            <b/>
            <sz val="8"/>
            <color indexed="81"/>
            <rFont val="Tahoma"/>
            <family val="2"/>
          </rPr>
          <t>Enter date of credit into Govt Account of tax payment in DD/MM/YYYY format. The date cannot be prior to 01/04/2015.  Date will be used to distingiush between Advance tax payments (Item 10a) and Self Assessment Tax payments (Item 10d)</t>
        </r>
      </text>
    </comment>
  </commentList>
</comments>
</file>

<file path=xl/comments6.xml><?xml version="1.0" encoding="utf-8"?>
<comments xmlns="http://schemas.openxmlformats.org/spreadsheetml/2006/main">
  <authors>
    <author>Income Tax Department</author>
  </authors>
  <commentList>
    <comment ref="J9" authorId="0" shapeId="0">
      <text>
        <r>
          <rPr>
            <b/>
            <sz val="9"/>
            <color indexed="81"/>
            <rFont val="Tahoma"/>
            <family val="2"/>
          </rPr>
          <t>If Nature of salary is selected then amount is mandatory or else delete the selected dropdown</t>
        </r>
      </text>
    </comment>
    <comment ref="J13" authorId="0" shapeId="0">
      <text>
        <r>
          <rPr>
            <b/>
            <sz val="9"/>
            <color indexed="81"/>
            <rFont val="Tahoma"/>
            <family val="2"/>
          </rPr>
          <t>If Nature of perquisites is selected then amount is mandatory or else delete the selected dropdown</t>
        </r>
      </text>
    </comment>
    <comment ref="J18" authorId="0" shapeId="0">
      <text>
        <r>
          <rPr>
            <b/>
            <sz val="9"/>
            <color indexed="81"/>
            <rFont val="Tahoma"/>
            <family val="2"/>
          </rPr>
          <t>If Nature of Profit in lieu of Salary is selected then amount is mandatory or else delete the selected dropdown</t>
        </r>
      </text>
    </comment>
    <comment ref="J22" authorId="0" shapeId="0">
      <text>
        <r>
          <rPr>
            <b/>
            <sz val="9"/>
            <color indexed="81"/>
            <rFont val="Tahoma"/>
            <family val="2"/>
          </rPr>
          <t>If Nature of Profit in lieu of Salary is selected then amount is mandatory or else delete the selected dropdown</t>
        </r>
      </text>
    </comment>
    <comment ref="J33" authorId="0" shapeId="0">
      <text>
        <r>
          <rPr>
            <b/>
            <sz val="9"/>
            <color indexed="81"/>
            <rFont val="Tahoma"/>
            <family val="2"/>
          </rPr>
          <t>If Nature of salary is selected then amount is mandatory or else delete the selected dropdown</t>
        </r>
      </text>
    </comment>
    <comment ref="J37" authorId="0" shapeId="0">
      <text>
        <r>
          <rPr>
            <b/>
            <sz val="9"/>
            <color indexed="81"/>
            <rFont val="Tahoma"/>
            <family val="2"/>
          </rPr>
          <t>If Nature of perquisites is selected then amount is mandatory or else delete the selected dropdown</t>
        </r>
      </text>
    </comment>
    <comment ref="J42" authorId="0" shapeId="0">
      <text>
        <r>
          <rPr>
            <b/>
            <sz val="9"/>
            <color indexed="81"/>
            <rFont val="Tahoma"/>
            <family val="2"/>
          </rPr>
          <t>If Nature of Profit in lieu of Salary is selected then amount is mandatory or else delete the selected dropdown</t>
        </r>
      </text>
    </comment>
    <comment ref="J46" authorId="0" shapeId="0">
      <text>
        <r>
          <rPr>
            <b/>
            <sz val="9"/>
            <color indexed="81"/>
            <rFont val="Tahoma"/>
            <family val="2"/>
          </rPr>
          <t>If Nature of Profit in lieu of Salary is selected then amount is mandatory or else delete the selected dropdown</t>
        </r>
      </text>
    </comment>
    <comment ref="G56" authorId="0" shapeId="0">
      <text>
        <r>
          <rPr>
            <b/>
            <sz val="10"/>
            <color indexed="81"/>
            <rFont val="Times New Roman"/>
            <family val="1"/>
          </rPr>
          <t>You cannot claim deduction u/s 10(13A) &amp; 80GG for the same period</t>
        </r>
      </text>
    </comment>
    <comment ref="J56" authorId="0" shapeId="0">
      <text>
        <r>
          <rPr>
            <b/>
            <sz val="9"/>
            <color indexed="81"/>
            <rFont val="Tahoma"/>
            <family val="2"/>
          </rPr>
          <t>If Nature of Exempt Allowance is selected then amount is mandatory or else delete the selected dropdown</t>
        </r>
      </text>
    </comment>
  </commentList>
</comments>
</file>

<file path=xl/comments7.xml><?xml version="1.0" encoding="utf-8"?>
<comments xmlns="http://schemas.openxmlformats.org/spreadsheetml/2006/main">
  <authors>
    <author>Bharatesh Patil.</author>
  </authors>
  <commentList>
    <comment ref="K29" authorId="0" shapeId="0">
      <text>
        <r>
          <rPr>
            <b/>
            <sz val="9"/>
            <color indexed="81"/>
            <rFont val="Tahoma"/>
            <family val="2"/>
          </rPr>
          <t>Property details from which arrears of rent received are mandatory</t>
        </r>
        <r>
          <rPr>
            <sz val="9"/>
            <color indexed="81"/>
            <rFont val="Tahoma"/>
            <family val="2"/>
          </rPr>
          <t xml:space="preserve">
</t>
        </r>
      </text>
    </comment>
    <comment ref="K56" authorId="0" shapeId="0">
      <text>
        <r>
          <rPr>
            <b/>
            <sz val="9"/>
            <color indexed="81"/>
            <rFont val="Tahoma"/>
            <family val="2"/>
          </rPr>
          <t>Property details from which arrears of rent received are mandatory</t>
        </r>
        <r>
          <rPr>
            <sz val="9"/>
            <color indexed="81"/>
            <rFont val="Tahoma"/>
            <family val="2"/>
          </rPr>
          <t xml:space="preserve">
</t>
        </r>
      </text>
    </comment>
  </commentList>
</comments>
</file>

<file path=xl/comments8.xml><?xml version="1.0" encoding="utf-8"?>
<comments xmlns="http://schemas.openxmlformats.org/spreadsheetml/2006/main">
  <authors>
    <author>DELL</author>
  </authors>
  <commentList>
    <comment ref="I5" authorId="0" shapeId="0">
      <text>
        <r>
          <rPr>
            <sz val="9"/>
            <color indexed="81"/>
            <rFont val="Tahoma"/>
            <family val="2"/>
          </rPr>
          <t>"Maximum rate of depreciation shall be restricted to 40% as per Rule 5 in case of new regime is opted u/s 115BAC. Hence WDV on the first day of previous year should be added in 40% block."</t>
        </r>
      </text>
    </comment>
  </commentList>
</comments>
</file>

<file path=xl/comments9.xml><?xml version="1.0" encoding="utf-8"?>
<comments xmlns="http://schemas.openxmlformats.org/spreadsheetml/2006/main">
  <authors>
    <author>Bharatesh Patil.</author>
  </authors>
  <commentList>
    <comment ref="E4" authorId="0" shapeId="0">
      <text>
        <r>
          <rPr>
            <b/>
            <sz val="9"/>
            <color indexed="81"/>
            <rFont val="Tahoma"/>
            <family val="2"/>
          </rPr>
          <t>In case any deduction is claimed under sections 35(1)(ii) or 35(1)(iia) or 35(1)(iii) or 35(2AA), please provide the details as per Schedule RA</t>
        </r>
      </text>
    </comment>
  </commentList>
</comments>
</file>

<file path=xl/comments10.xml><?xml version="1.0" encoding="utf-8"?>
<comments xmlns="http://schemas.openxmlformats.org/spreadsheetml/2006/main">
  <authors>
    <author>DELL</author>
    <author>Manoj  Tripathi</author>
    <author>Bharatesh Patil.</author>
  </authors>
  <commentList>
    <comment ref="F6" authorId="0" shapeId="0">
      <text>
        <r>
          <rPr>
            <sz val="9"/>
            <color indexed="81"/>
            <rFont val="Tahoma"/>
            <family val="2"/>
          </rPr>
          <t xml:space="preserve">Please select the date of purchase in order to claculate the type of  capital Gain </t>
        </r>
      </text>
    </comment>
    <comment ref="F7" authorId="0" shapeId="0">
      <text>
        <r>
          <rPr>
            <sz val="9"/>
            <color indexed="81"/>
            <rFont val="Tahoma"/>
            <family val="2"/>
          </rPr>
          <t xml:space="preserve">Please select the date of Sale  in order to claculate the type of  capital Gain </t>
        </r>
      </text>
    </comment>
    <comment ref="Q32" authorId="1" shapeId="0">
      <text>
        <r>
          <rPr>
            <sz val="9"/>
            <color indexed="81"/>
            <rFont val="Tahoma"/>
            <family val="2"/>
          </rPr>
          <t>Please enter Fair market value as per Rule 11UAE(2)</t>
        </r>
      </text>
    </comment>
    <comment ref="Q33" authorId="1" shapeId="0">
      <text>
        <r>
          <rPr>
            <sz val="9"/>
            <color indexed="81"/>
            <rFont val="Tahoma"/>
            <family val="2"/>
          </rPr>
          <t>Please enter Fair market value as per Rule 11UAE(3)</t>
        </r>
      </text>
    </comment>
    <comment ref="Q34" authorId="1" shapeId="0">
      <text>
        <r>
          <rPr>
            <sz val="9"/>
            <color indexed="81"/>
            <rFont val="Tahoma"/>
            <family val="2"/>
          </rPr>
          <t>Please ensure to submit Form 3CEA</t>
        </r>
      </text>
    </comment>
    <comment ref="Q106" authorId="2" shapeId="0">
      <text>
        <r>
          <rPr>
            <b/>
            <sz val="9"/>
            <color indexed="81"/>
            <rFont val="Tahoma"/>
            <family val="2"/>
          </rPr>
          <t>Please Fill Schedule PTI</t>
        </r>
        <r>
          <rPr>
            <sz val="9"/>
            <color indexed="81"/>
            <rFont val="Tahoma"/>
            <family val="2"/>
          </rPr>
          <t xml:space="preserve">
</t>
        </r>
      </text>
    </comment>
    <comment ref="Q108" authorId="2" shapeId="0">
      <text>
        <r>
          <rPr>
            <b/>
            <sz val="9"/>
            <color indexed="81"/>
            <rFont val="Tahoma"/>
            <family val="2"/>
          </rPr>
          <t>Please Fill Schedule PTI</t>
        </r>
      </text>
    </comment>
    <comment ref="Q109" authorId="2" shapeId="0">
      <text>
        <r>
          <rPr>
            <b/>
            <sz val="9"/>
            <color indexed="81"/>
            <rFont val="Tahoma"/>
            <family val="2"/>
          </rPr>
          <t>Please Fill Schedule PTI</t>
        </r>
        <r>
          <rPr>
            <sz val="9"/>
            <color indexed="81"/>
            <rFont val="Tahoma"/>
            <family val="2"/>
          </rPr>
          <t xml:space="preserve">
</t>
        </r>
      </text>
    </comment>
    <comment ref="F135" authorId="0" shapeId="0">
      <text>
        <r>
          <rPr>
            <sz val="9"/>
            <color indexed="81"/>
            <rFont val="Tahoma"/>
            <family val="2"/>
          </rPr>
          <t xml:space="preserve">Please select the date of purchase in order to claculate the type of  capital Gain </t>
        </r>
      </text>
    </comment>
    <comment ref="F136" authorId="0" shapeId="0">
      <text>
        <r>
          <rPr>
            <sz val="9"/>
            <color indexed="81"/>
            <rFont val="Tahoma"/>
            <family val="2"/>
          </rPr>
          <t xml:space="preserve">Please select the date of Sale  in order to claculate the type of  capital Gain </t>
        </r>
      </text>
    </comment>
    <comment ref="Q171" authorId="0" shapeId="0">
      <text>
        <r>
          <rPr>
            <sz val="9"/>
            <color indexed="81"/>
            <rFont val="Tahoma"/>
            <family val="2"/>
          </rPr>
          <t>Please enter Fair market value as per Rule 11UAE(3)</t>
        </r>
      </text>
    </comment>
    <comment ref="Q172" authorId="0" shapeId="0">
      <text>
        <r>
          <rPr>
            <sz val="9"/>
            <color indexed="81"/>
            <rFont val="Tahoma"/>
            <family val="2"/>
          </rPr>
          <t>Please enter Fair market value as per Rule 11UAE(3)</t>
        </r>
      </text>
    </comment>
    <comment ref="Q325" authorId="2" shapeId="0">
      <text>
        <r>
          <rPr>
            <b/>
            <sz val="9"/>
            <color indexed="81"/>
            <rFont val="Tahoma"/>
            <family val="2"/>
          </rPr>
          <t>Please Fill Schedule PTI</t>
        </r>
        <r>
          <rPr>
            <sz val="9"/>
            <color indexed="81"/>
            <rFont val="Tahoma"/>
            <family val="2"/>
          </rPr>
          <t xml:space="preserve">
</t>
        </r>
      </text>
    </comment>
    <comment ref="Q326" authorId="2" shapeId="0">
      <text>
        <r>
          <rPr>
            <b/>
            <sz val="9"/>
            <color indexed="81"/>
            <rFont val="Tahoma"/>
            <family val="2"/>
          </rPr>
          <t>Please Fill Schedule PTI</t>
        </r>
        <r>
          <rPr>
            <sz val="9"/>
            <color indexed="81"/>
            <rFont val="Tahoma"/>
            <family val="2"/>
          </rPr>
          <t xml:space="preserve">
</t>
        </r>
      </text>
    </comment>
  </commentList>
</comments>
</file>

<file path=xl/comments11.xml><?xml version="1.0" encoding="utf-8"?>
<comments xmlns="http://schemas.openxmlformats.org/spreadsheetml/2006/main">
  <authors>
    <author>Income Tax Department</author>
  </authors>
  <commentList>
    <comment ref="F4" authorId="0" shapeId="0">
      <text>
        <r>
          <rPr>
            <b/>
            <sz val="10"/>
            <color indexed="81"/>
            <rFont val="Times New Roman"/>
            <family val="1"/>
          </rPr>
          <t>In case security/Share does not have ISIN  Code , enter "INNOTAVAILAB"</t>
        </r>
        <r>
          <rPr>
            <sz val="9"/>
            <color indexed="81"/>
            <rFont val="Tahoma"/>
            <family val="2"/>
          </rPr>
          <t xml:space="preserve">
</t>
        </r>
      </text>
    </comment>
    <comment ref="R4" authorId="0" shapeId="0">
      <text>
        <r>
          <rPr>
            <b/>
            <sz val="10"/>
            <color indexed="81"/>
            <rFont val="Times New Roman"/>
            <family val="1"/>
          </rPr>
          <t>If No expenditure is incurred , please specify  Zero "0"</t>
        </r>
      </text>
    </comment>
  </commentList>
</comments>
</file>

<file path=xl/comments12.xml><?xml version="1.0" encoding="utf-8"?>
<comments xmlns="http://schemas.openxmlformats.org/spreadsheetml/2006/main">
  <authors>
    <author>Income Tax Department</author>
  </authors>
  <commentList>
    <comment ref="F4" authorId="0" shapeId="0">
      <text>
        <r>
          <rPr>
            <b/>
            <sz val="10"/>
            <color indexed="81"/>
            <rFont val="Times New Roman"/>
            <family val="1"/>
          </rPr>
          <t>In case security/Share does not have ISIN  Code , enter "INNOTAVAILAB"</t>
        </r>
        <r>
          <rPr>
            <sz val="9"/>
            <color indexed="81"/>
            <rFont val="Tahoma"/>
            <family val="2"/>
          </rPr>
          <t xml:space="preserve">
</t>
        </r>
      </text>
    </comment>
    <comment ref="R4" authorId="0" shapeId="0">
      <text>
        <r>
          <rPr>
            <b/>
            <sz val="10"/>
            <color indexed="81"/>
            <rFont val="Times New Roman"/>
            <family val="1"/>
          </rPr>
          <t>If No expenditure is incurred , please specify  Zero "0"</t>
        </r>
      </text>
    </comment>
  </commentList>
</comments>
</file>

<file path=xl/comments13.xml><?xml version="1.0" encoding="utf-8"?>
<comments xmlns="http://schemas.openxmlformats.org/spreadsheetml/2006/main">
  <authors>
    <author>DELL</author>
  </authors>
  <commentList>
    <comment ref="J5" authorId="0" shapeId="0">
      <text>
        <r>
          <rPr>
            <b/>
            <sz val="9"/>
            <color indexed="81"/>
            <rFont val="Tahoma"/>
            <family val="2"/>
          </rPr>
          <t>Please include the income of the specified persons (spouse, minor child, etc.)  referred to in Schedule SPI while computing the income under this head</t>
        </r>
      </text>
    </comment>
    <comment ref="F6" authorId="0" shapeId="0">
      <text>
        <r>
          <rPr>
            <sz val="9"/>
            <color indexed="81"/>
            <rFont val="Tahoma"/>
            <family val="2"/>
          </rPr>
          <t>The amount will auto-populate as sum total of quarterly breakup of dividend income entered at :- -
i. Sl. No. 10(1) - Dividend taxable @ normal rates (excluding DTAA) after reducing interest expenditure claimed at Sl. No. 3c(i)) +
ii. Sl. No. 10(3) - Dividend taxable @ normal rates but covered under DTAA at Sl. No. 2e  
iii. Sl. No. 3c(i) – Expenditure reduced at (i) above</t>
        </r>
      </text>
    </comment>
    <comment ref="J9" authorId="0" shapeId="0">
      <text>
        <r>
          <rPr>
            <b/>
            <sz val="9"/>
            <color indexed="81"/>
            <rFont val="Tahoma"/>
            <family val="2"/>
          </rPr>
          <t>Please include the income of the specified persons (spouse, minor child, etc.)  referred to in Schedule SPI while computing the income under this head</t>
        </r>
      </text>
    </comment>
    <comment ref="J10" authorId="0" shapeId="0">
      <text>
        <r>
          <rPr>
            <b/>
            <sz val="9"/>
            <color indexed="81"/>
            <rFont val="Tahoma"/>
            <family val="2"/>
          </rPr>
          <t>Please include the income of the specified persons (spouse, minor child, etc.)  referred to in Schedule SPI while computing the income under this head</t>
        </r>
      </text>
    </comment>
    <comment ref="J11" authorId="0" shapeId="0">
      <text>
        <r>
          <rPr>
            <b/>
            <sz val="9"/>
            <color indexed="81"/>
            <rFont val="Tahoma"/>
            <family val="2"/>
          </rPr>
          <t>Please include the income of the specified persons (spouse, minor child, etc.)  referred to in Schedule SPI while computing the income under this head</t>
        </r>
      </text>
    </comment>
    <comment ref="J12" authorId="0" shapeId="0">
      <text>
        <r>
          <rPr>
            <b/>
            <sz val="9"/>
            <color indexed="81"/>
            <rFont val="Tahoma"/>
            <family val="2"/>
          </rPr>
          <t>Please include the income of the specified persons (spouse, minor child, etc.)  referred to in Schedule SPI while computing the income under this head</t>
        </r>
      </text>
    </comment>
    <comment ref="J17" authorId="0" shapeId="0">
      <text>
        <r>
          <rPr>
            <b/>
            <sz val="9"/>
            <color indexed="81"/>
            <rFont val="Tahoma"/>
            <family val="2"/>
          </rPr>
          <t>Please include the income of the specified persons (spouse, minor child, etc.)  referred to in Schedule SPI while computing the income under this head</t>
        </r>
      </text>
    </comment>
    <comment ref="J37" authorId="0" shapeId="0">
      <text>
        <r>
          <rPr>
            <b/>
            <sz val="9"/>
            <color indexed="81"/>
            <rFont val="Tahoma"/>
            <family val="2"/>
          </rPr>
          <t>Please include the income of the specified persons (spouse, minor child, etc.)  referred to in Schedule SPI while computing the income under this head</t>
        </r>
      </text>
    </comment>
    <comment ref="J39" authorId="0" shapeId="0">
      <text>
        <r>
          <rPr>
            <b/>
            <sz val="9"/>
            <color indexed="81"/>
            <rFont val="Tahoma"/>
            <family val="2"/>
          </rPr>
          <t>Please include the income of the specified persons (spouse, minor child, etc.)  referred to in Schedule SPI while computing the income under this head</t>
        </r>
      </text>
    </comment>
    <comment ref="J40" authorId="0" shapeId="0">
      <text>
        <r>
          <rPr>
            <b/>
            <sz val="9"/>
            <color indexed="81"/>
            <rFont val="Tahoma"/>
            <family val="2"/>
          </rPr>
          <t>Please include the income of the specified persons (spouse, minor child, etc.)  referred to in Schedule SPI while computing the income under this head</t>
        </r>
      </text>
    </comment>
    <comment ref="J41" authorId="0" shapeId="0">
      <text>
        <r>
          <rPr>
            <b/>
            <sz val="9"/>
            <color indexed="81"/>
            <rFont val="Tahoma"/>
            <family val="2"/>
          </rPr>
          <t>Please include the income of the specified persons (spouse, minor child, etc.)  referred to in Schedule SPI while computing the income under this head</t>
        </r>
      </text>
    </comment>
    <comment ref="J42" authorId="0" shapeId="0">
      <text>
        <r>
          <rPr>
            <b/>
            <sz val="9"/>
            <color indexed="81"/>
            <rFont val="Tahoma"/>
            <family val="2"/>
          </rPr>
          <t>Please include the income of the specified persons (spouse, minor child, etc.)  referred to in Schedule SPI while computing the income under this head</t>
        </r>
      </text>
    </comment>
    <comment ref="J43" authorId="0" shapeId="0">
      <text>
        <r>
          <rPr>
            <b/>
            <sz val="9"/>
            <color indexed="81"/>
            <rFont val="Tahoma"/>
            <family val="2"/>
          </rPr>
          <t>Please include the income of the specified persons (spouse, minor child, etc.)  referred to in Schedule SPI while computing the income under this head</t>
        </r>
        <r>
          <rPr>
            <sz val="9"/>
            <color indexed="81"/>
            <rFont val="Tahoma"/>
            <family val="2"/>
          </rPr>
          <t xml:space="preserve">
</t>
        </r>
      </text>
    </comment>
    <comment ref="J44" authorId="0" shapeId="0">
      <text>
        <r>
          <rPr>
            <b/>
            <sz val="9"/>
            <color indexed="81"/>
            <rFont val="Tahoma"/>
            <family val="2"/>
          </rPr>
          <t>Please include the income of the specified persons (spouse, minor child, etc.)  referred to in Schedule SPI while computing the income under this head</t>
        </r>
      </text>
    </comment>
    <comment ref="H53" authorId="0" shapeId="0">
      <text>
        <r>
          <rPr>
            <b/>
            <sz val="9"/>
            <color indexed="81"/>
            <rFont val="Tahoma"/>
            <family val="2"/>
          </rPr>
          <t>If Any other income chargeable at special rate is selected then amount is mandatory or else delete the selected dropdown</t>
        </r>
      </text>
    </comment>
    <comment ref="H62" authorId="0" shapeId="0">
      <text>
        <r>
          <rPr>
            <b/>
            <sz val="9"/>
            <color indexed="81"/>
            <rFont val="Tahoma"/>
            <family val="2"/>
          </rPr>
          <t>If Pass through income  is selected then amount is mandatory or else delete the selected dropdown</t>
        </r>
      </text>
    </comment>
    <comment ref="F82" authorId="0" shapeId="0">
      <text>
        <r>
          <rPr>
            <sz val="9"/>
            <color indexed="81"/>
            <rFont val="Tahoma"/>
            <family val="2"/>
          </rPr>
          <t>The eligible amount of interest expenditure will be computed by the system post clicking on calculate Tax button</t>
        </r>
      </text>
    </comment>
    <comment ref="F98" authorId="0" shapeId="0">
      <text>
        <r>
          <rPr>
            <sz val="9"/>
            <color indexed="81"/>
            <rFont val="Tahoma"/>
            <family val="2"/>
          </rPr>
          <t>Sl. No. 10(1) –Please enter quarterly breakup of dividend income taxable at normal rates (excluding DTAA) to be included in Sl No 1(ai) above after reducing interest expenditure claimed at Sl. No. 3c(i). The same will recomputed after clicking on “Calculate Tax” i.e. amount in Q5 will be increased with the difference between “Interest expenditure claimed (3ci) and interest expenditure allowable (3cii)</t>
        </r>
      </text>
    </comment>
    <comment ref="F106" authorId="0" shapeId="0">
      <text>
        <r>
          <rPr>
            <sz val="9"/>
            <color indexed="81"/>
            <rFont val="Tahoma"/>
            <family val="2"/>
          </rPr>
          <t>Please enter quarterly breakup of Dividend income taxable at Normal rates to be included in Sl No 1(ai) above but covered under DTAA at Sl. No. 2e above.</t>
        </r>
      </text>
    </comment>
  </commentList>
</comments>
</file>

<file path=xl/comments14.xml><?xml version="1.0" encoding="utf-8"?>
<comments xmlns="http://schemas.openxmlformats.org/spreadsheetml/2006/main">
  <authors>
    <author>JK</author>
  </authors>
  <commentList>
    <comment ref="H3" authorId="0" shapeId="0">
      <text>
        <r>
          <rPr>
            <b/>
            <sz val="8"/>
            <color indexed="81"/>
            <rFont val="Tahoma"/>
            <family val="2"/>
          </rPr>
          <t>Assessment year in which unit begins to manufacture/produce</t>
        </r>
      </text>
    </comment>
    <comment ref="H10" authorId="0" shapeId="0">
      <text>
        <r>
          <rPr>
            <b/>
            <sz val="8"/>
            <color indexed="81"/>
            <rFont val="Tahoma"/>
            <family val="2"/>
          </rPr>
          <t>Assessment year in which unit begins to manufacture/produce</t>
        </r>
      </text>
    </comment>
  </commentList>
</comments>
</file>

<file path=xl/comments15.xml><?xml version="1.0" encoding="utf-8"?>
<comments xmlns="http://schemas.openxmlformats.org/spreadsheetml/2006/main">
  <authors>
    <author>admin</author>
  </authors>
  <commentList>
    <comment ref="J7" authorId="0" shapeId="0">
      <text>
        <r>
          <rPr>
            <sz val="9"/>
            <color indexed="81"/>
            <rFont val="Tahoma"/>
            <family val="2"/>
          </rPr>
          <t>Enter the PAN of the person to whom the donation is made</t>
        </r>
      </text>
    </comment>
    <comment ref="J8" authorId="0" shapeId="0">
      <text>
        <r>
          <rPr>
            <sz val="9"/>
            <color indexed="81"/>
            <rFont val="Tahoma"/>
            <family val="2"/>
          </rPr>
          <t>Enter the PAN of the person to whom the donation is made</t>
        </r>
      </text>
    </comment>
    <comment ref="J9" authorId="0" shapeId="0">
      <text>
        <r>
          <rPr>
            <sz val="9"/>
            <color indexed="81"/>
            <rFont val="Tahoma"/>
            <family val="2"/>
          </rPr>
          <t>Enter the PAN of the person to whom the donation is made</t>
        </r>
      </text>
    </comment>
    <comment ref="J10" authorId="0" shapeId="0">
      <text>
        <r>
          <rPr>
            <sz val="9"/>
            <color indexed="81"/>
            <rFont val="Tahoma"/>
            <family val="2"/>
          </rPr>
          <t>Enter the PAN of the person to whom the donation is made</t>
        </r>
      </text>
    </comment>
    <comment ref="J11" authorId="0" shapeId="0">
      <text>
        <r>
          <rPr>
            <sz val="9"/>
            <color indexed="81"/>
            <rFont val="Tahoma"/>
            <family val="2"/>
          </rPr>
          <t>Enter the PAN of the person to whom the donation is made</t>
        </r>
      </text>
    </comment>
    <comment ref="J20" authorId="0" shapeId="0">
      <text>
        <r>
          <rPr>
            <sz val="9"/>
            <color indexed="81"/>
            <rFont val="Tahoma"/>
            <family val="2"/>
          </rPr>
          <t>Enter the PAN of the person to whom the donation is made</t>
        </r>
      </text>
    </comment>
    <comment ref="J21" authorId="0" shapeId="0">
      <text>
        <r>
          <rPr>
            <sz val="9"/>
            <color indexed="81"/>
            <rFont val="Tahoma"/>
            <family val="2"/>
          </rPr>
          <t>Enter the PAN of the person to whom the donation is made</t>
        </r>
      </text>
    </comment>
    <comment ref="J22" authorId="0" shapeId="0">
      <text>
        <r>
          <rPr>
            <sz val="9"/>
            <color indexed="81"/>
            <rFont val="Tahoma"/>
            <family val="2"/>
          </rPr>
          <t>Enter the PAN of the person to whom the donation is made</t>
        </r>
      </text>
    </comment>
    <comment ref="J23" authorId="0" shapeId="0">
      <text>
        <r>
          <rPr>
            <sz val="9"/>
            <color indexed="81"/>
            <rFont val="Tahoma"/>
            <family val="2"/>
          </rPr>
          <t>Enter the PAN of the person to whom the donation is made</t>
        </r>
      </text>
    </comment>
    <comment ref="J24" authorId="0" shapeId="0">
      <text>
        <r>
          <rPr>
            <sz val="9"/>
            <color indexed="81"/>
            <rFont val="Tahoma"/>
            <family val="2"/>
          </rPr>
          <t>Enter the PAN of the person to whom the donation is made</t>
        </r>
      </text>
    </comment>
    <comment ref="J34" authorId="0" shapeId="0">
      <text>
        <r>
          <rPr>
            <sz val="9"/>
            <color indexed="81"/>
            <rFont val="Tahoma"/>
            <family val="2"/>
          </rPr>
          <t>Enter the PAN of the person to whom the donation is made</t>
        </r>
      </text>
    </comment>
    <comment ref="J35" authorId="0" shapeId="0">
      <text>
        <r>
          <rPr>
            <sz val="9"/>
            <color indexed="81"/>
            <rFont val="Tahoma"/>
            <family val="2"/>
          </rPr>
          <t>Enter the PAN of the person to whom the donation is made</t>
        </r>
      </text>
    </comment>
    <comment ref="J36" authorId="0" shapeId="0">
      <text>
        <r>
          <rPr>
            <sz val="9"/>
            <color indexed="81"/>
            <rFont val="Tahoma"/>
            <family val="2"/>
          </rPr>
          <t>Enter the PAN of the person to whom the donation is made</t>
        </r>
      </text>
    </comment>
    <comment ref="J37" authorId="0" shapeId="0">
      <text>
        <r>
          <rPr>
            <sz val="9"/>
            <color indexed="81"/>
            <rFont val="Tahoma"/>
            <family val="2"/>
          </rPr>
          <t>Enter the PAN of the person to whom the donation is made</t>
        </r>
      </text>
    </comment>
    <comment ref="J38" authorId="0" shapeId="0">
      <text>
        <r>
          <rPr>
            <sz val="9"/>
            <color indexed="81"/>
            <rFont val="Tahoma"/>
            <family val="2"/>
          </rPr>
          <t>Enter the PAN of the person to whom the donation is made</t>
        </r>
      </text>
    </comment>
    <comment ref="J47" authorId="0" shapeId="0">
      <text>
        <r>
          <rPr>
            <sz val="9"/>
            <color indexed="81"/>
            <rFont val="Tahoma"/>
            <family val="2"/>
          </rPr>
          <t>Enter the PAN of the person to whom the donation is made</t>
        </r>
      </text>
    </comment>
    <comment ref="J48" authorId="0" shapeId="0">
      <text>
        <r>
          <rPr>
            <sz val="9"/>
            <color indexed="81"/>
            <rFont val="Tahoma"/>
            <family val="2"/>
          </rPr>
          <t>Enter the PAN of the person to whom the donation is made</t>
        </r>
      </text>
    </comment>
    <comment ref="J49" authorId="0" shapeId="0">
      <text>
        <r>
          <rPr>
            <sz val="9"/>
            <color indexed="81"/>
            <rFont val="Tahoma"/>
            <family val="2"/>
          </rPr>
          <t>Enter the PAN of the person to whom the donation is made</t>
        </r>
      </text>
    </comment>
    <comment ref="J50" authorId="0" shapeId="0">
      <text>
        <r>
          <rPr>
            <sz val="9"/>
            <color indexed="81"/>
            <rFont val="Tahoma"/>
            <family val="2"/>
          </rPr>
          <t>Enter the PAN of the person to whom the donation is made</t>
        </r>
      </text>
    </comment>
    <comment ref="J51" authorId="0" shapeId="0">
      <text>
        <r>
          <rPr>
            <sz val="9"/>
            <color indexed="81"/>
            <rFont val="Tahoma"/>
            <family val="2"/>
          </rPr>
          <t>Enter the PAN of the person to whom the donation is made</t>
        </r>
      </text>
    </comment>
  </commentList>
</comments>
</file>

<file path=xl/comments16.xml><?xml version="1.0" encoding="utf-8"?>
<comments xmlns="http://schemas.openxmlformats.org/spreadsheetml/2006/main">
  <authors>
    <author>admin</author>
  </authors>
  <commentList>
    <comment ref="J5" authorId="0" shapeId="0">
      <text>
        <r>
          <rPr>
            <sz val="9"/>
            <color indexed="81"/>
            <rFont val="Tahoma"/>
            <family val="2"/>
          </rPr>
          <t>Enter the PAN of the person to whom the donation is made</t>
        </r>
      </text>
    </comment>
  </commentList>
</comments>
</file>

<file path=xl/comments17.xml><?xml version="1.0" encoding="utf-8"?>
<comments xmlns="http://schemas.openxmlformats.org/spreadsheetml/2006/main">
  <authors>
    <author>admin</author>
  </authors>
  <commentList>
    <comment ref="K5" authorId="0" shapeId="0">
      <text>
        <r>
          <rPr>
            <sz val="9"/>
            <color indexed="81"/>
            <rFont val="Tahoma"/>
            <family val="2"/>
          </rPr>
          <t>Enter the PAN of the person to whom the donation is made</t>
        </r>
      </text>
    </comment>
  </commentList>
</comments>
</file>

<file path=xl/comments18.xml><?xml version="1.0" encoding="utf-8"?>
<comments xmlns="http://schemas.openxmlformats.org/spreadsheetml/2006/main">
  <authors>
    <author>Vishesh  Jindal</author>
    <author xml:space="preserve">Sulakshana Gowda </author>
    <author>Bharatesh Patil.</author>
    <author>DELL</author>
    <author>Income Tax Department</author>
    <author>Manoj  Tripathi</author>
  </authors>
  <commentList>
    <comment ref="I14" authorId="0" shapeId="0">
      <text>
        <r>
          <rPr>
            <sz val="9"/>
            <color indexed="81"/>
            <rFont val="Tahoma"/>
            <family val="2"/>
          </rPr>
          <t>1)Self and Family (Non Senior citizen) = Maximum limit Rs. 25000/-
2)Self and Family (Including Senior citizen) = Maximum limit Rs. 50000/-
3) Parents = Maximum limit Rs. 25000/-
4) Parents(Senior citizen) = Maximum limit Rs. 50000/-
5) Self and Family including parents = Maximum limit Rs. 50000/-
6) Self and Family including senior citizen parents = Maximum limit Rs. 75000/-
7) Self(Senior citizen) &amp; family including senior citizen parents = Maximum limit Rs. 100000/-</t>
        </r>
      </text>
    </comment>
    <comment ref="I15" authorId="1" shapeId="0">
      <text>
        <r>
          <rPr>
            <sz val="9"/>
            <color indexed="81"/>
            <rFont val="Tahoma"/>
            <family val="2"/>
          </rPr>
          <t>1)Self &amp; family ( senior citizen)= Maximum limit Rs. 50000/-                                                                         
2)Parents  senior citizen) = Maximum limit Rs. 50000/-                                                                                          
3)Self &amp; family including parents( senior citizen)= Maximum limit Rs. 100000/-</t>
        </r>
      </text>
    </comment>
    <comment ref="I16" authorId="1" shapeId="0">
      <text>
        <r>
          <rPr>
            <sz val="9"/>
            <color indexed="81"/>
            <rFont val="Tahoma"/>
            <family val="2"/>
          </rPr>
          <t>1)Self &amp; family= Maximum limit Rs. 5000/-                                                                         
2)Parents = Maximum limit Rs. 5000/-                                                                                          
3)Self &amp; family &amp; parents= Maximum limit Rs. 5000/-</t>
        </r>
        <r>
          <rPr>
            <sz val="9"/>
            <color indexed="81"/>
            <rFont val="Tahoma"/>
            <family val="2"/>
          </rPr>
          <t xml:space="preserve">
</t>
        </r>
      </text>
    </comment>
    <comment ref="I17" authorId="2" shapeId="0">
      <text>
        <r>
          <rPr>
            <b/>
            <sz val="9"/>
            <color indexed="81"/>
            <rFont val="Tahoma"/>
            <family val="2"/>
          </rPr>
          <t>1. Dependent person with Disability = Maximum limit Rs. 75,000
2. Dependent person with Severe disability = Maximum limit Rs. 1,25,000</t>
        </r>
      </text>
    </comment>
    <comment ref="I18" authorId="2" shapeId="0">
      <text>
        <r>
          <rPr>
            <b/>
            <sz val="9"/>
            <color indexed="81"/>
            <rFont val="Tahoma"/>
            <family val="2"/>
          </rPr>
          <t>1. Self or Dependent = Maximum limit Rs. 40,000
2. Self or Dependent(Senior Citizen) = Maximum limit Rs. 1,00,000</t>
        </r>
      </text>
    </comment>
    <comment ref="E24" authorId="3" shapeId="0">
      <text>
        <r>
          <rPr>
            <sz val="9"/>
            <color indexed="81"/>
            <rFont val="Tahoma"/>
            <family val="2"/>
          </rPr>
          <t>Please submit form 10BA to claim deduction. In case of failure, deduction will not be allowed</t>
        </r>
      </text>
    </comment>
    <comment ref="I24" authorId="4" shapeId="0">
      <text>
        <r>
          <rPr>
            <b/>
            <sz val="9"/>
            <color indexed="81"/>
            <rFont val="Tahoma"/>
            <family val="2"/>
          </rPr>
          <t xml:space="preserve">You cannot claim deduction u/s 10(13A) &amp; 80GG for the same period </t>
        </r>
      </text>
    </comment>
    <comment ref="I34" authorId="5" shapeId="0">
      <text>
        <r>
          <rPr>
            <sz val="9"/>
            <color indexed="81"/>
            <rFont val="Tahoma"/>
            <family val="2"/>
          </rPr>
          <t>Please ensure to submit Form 10CCBBA</t>
        </r>
      </text>
    </comment>
    <comment ref="I37" authorId="1" shapeId="0">
      <text>
        <r>
          <rPr>
            <sz val="9"/>
            <color indexed="81"/>
            <rFont val="Tahoma"/>
            <family val="2"/>
          </rPr>
          <t>"Deduction u/s 80QQB shall be allowed from Income from Other Sources or Business and Profession"</t>
        </r>
        <r>
          <rPr>
            <sz val="9"/>
            <color indexed="81"/>
            <rFont val="Tahoma"/>
            <family val="2"/>
          </rPr>
          <t xml:space="preserve">
</t>
        </r>
      </text>
    </comment>
    <comment ref="I38" authorId="1" shapeId="0">
      <text>
        <r>
          <rPr>
            <sz val="9"/>
            <color indexed="81"/>
            <rFont val="Tahoma"/>
            <family val="2"/>
          </rPr>
          <t xml:space="preserve">"Deduction u/s 80RRB shall be allowed from Income from Other Sources or Business and Profession"
</t>
        </r>
      </text>
    </comment>
    <comment ref="I41" authorId="1" shapeId="0">
      <text>
        <r>
          <rPr>
            <sz val="9"/>
            <color indexed="81"/>
            <rFont val="Tahoma"/>
            <family val="2"/>
          </rPr>
          <t xml:space="preserve">"Deduction u/s 80TTA shall be allowed from Income from Other Sources"
</t>
        </r>
      </text>
    </comment>
    <comment ref="I42" authorId="2" shapeId="0">
      <text>
        <r>
          <rPr>
            <sz val="9"/>
            <color indexed="81"/>
            <rFont val="Tahoma"/>
            <family val="2"/>
          </rPr>
          <t>"Deduction u/s 80TTB shall be allowed from Income from Other Sources"</t>
        </r>
        <r>
          <rPr>
            <sz val="9"/>
            <color indexed="81"/>
            <rFont val="Tahoma"/>
            <family val="2"/>
          </rPr>
          <t xml:space="preserve">
</t>
        </r>
      </text>
    </comment>
    <comment ref="I43" authorId="2" shapeId="0">
      <text>
        <r>
          <rPr>
            <b/>
            <sz val="9"/>
            <color indexed="81"/>
            <rFont val="Tahoma"/>
            <family val="2"/>
          </rPr>
          <t>1. Self with Disability = Maximum limit Rs. 75,000
2. Self with Severe disability = Maximum limit Rs. 1,25,000</t>
        </r>
      </text>
    </comment>
  </commentList>
</comments>
</file>

<file path=xl/comments19.xml><?xml version="1.0" encoding="utf-8"?>
<comments xmlns="http://schemas.openxmlformats.org/spreadsheetml/2006/main">
  <authors>
    <author>Vignesh M02</author>
  </authors>
  <commentList>
    <comment ref="F5" authorId="0" shapeId="0">
      <text>
        <r>
          <rPr>
            <sz val="9"/>
            <color indexed="81"/>
            <rFont val="Tahoma"/>
            <family val="2"/>
          </rPr>
          <t>Quoting of PAN of other person is mandatory if TDS credit is claimed</t>
        </r>
      </text>
    </comment>
    <comment ref="F6" authorId="0" shapeId="0">
      <text>
        <r>
          <rPr>
            <sz val="9"/>
            <color indexed="81"/>
            <rFont val="Tahoma"/>
            <family val="2"/>
          </rPr>
          <t>Quoting of PAN of other person is mandatory if TDS credit is claimed</t>
        </r>
      </text>
    </comment>
    <comment ref="F7" authorId="0" shapeId="0">
      <text>
        <r>
          <rPr>
            <sz val="9"/>
            <color indexed="81"/>
            <rFont val="Tahoma"/>
            <family val="2"/>
          </rPr>
          <t>Quoting of PAN of other person is mandatory if TDS credit is claimed</t>
        </r>
      </text>
    </comment>
    <comment ref="F8" authorId="0" shapeId="0">
      <text>
        <r>
          <rPr>
            <sz val="9"/>
            <color indexed="81"/>
            <rFont val="Tahoma"/>
            <family val="2"/>
          </rPr>
          <t>Quoting of PAN of other person is mandatory if TDS credit is claimed</t>
        </r>
      </text>
    </comment>
    <comment ref="F9" authorId="0" shapeId="0">
      <text>
        <r>
          <rPr>
            <sz val="9"/>
            <color indexed="81"/>
            <rFont val="Tahoma"/>
            <family val="2"/>
          </rPr>
          <t>Quoting of PAN of other person is mandatory if TDS credit is claimed</t>
        </r>
      </text>
    </comment>
    <comment ref="F10" authorId="0" shapeId="0">
      <text>
        <r>
          <rPr>
            <sz val="9"/>
            <color indexed="81"/>
            <rFont val="Tahoma"/>
            <family val="2"/>
          </rPr>
          <t>Quoting of PAN of other person is mandatory if TDS credit is claimed</t>
        </r>
      </text>
    </comment>
    <comment ref="F11" authorId="0" shapeId="0">
      <text>
        <r>
          <rPr>
            <sz val="9"/>
            <color indexed="81"/>
            <rFont val="Tahoma"/>
            <family val="2"/>
          </rPr>
          <t>Quoting of PAN of other person is mandatory if TDS credit is claimed</t>
        </r>
      </text>
    </comment>
  </commentList>
</comments>
</file>

<file path=xl/comments20.xml><?xml version="1.0" encoding="utf-8"?>
<comments xmlns="http://schemas.openxmlformats.org/spreadsheetml/2006/main">
  <authors>
    <author>e2</author>
    <author>JK</author>
  </authors>
  <commentList>
    <comment ref="E6" authorId="0" shapeId="0">
      <text>
        <r>
          <rPr>
            <b/>
            <sz val="8"/>
            <color indexed="81"/>
            <rFont val="Tahoma"/>
            <family val="2"/>
          </rPr>
          <t>Tax Identification number of the tax payer in respective country</t>
        </r>
        <r>
          <rPr>
            <sz val="8"/>
            <color indexed="81"/>
            <rFont val="Tahoma"/>
            <family val="2"/>
          </rPr>
          <t xml:space="preserve">
</t>
        </r>
      </text>
    </comment>
    <comment ref="J8" authorId="1" shapeId="0">
      <text>
        <r>
          <rPr>
            <b/>
            <sz val="8"/>
            <color indexed="81"/>
            <rFont val="Tahoma"/>
            <family val="2"/>
          </rPr>
          <t xml:space="preserve">In case Relief is claimed u/ 91 please fill up "NA". for enabling the assessee to fill in Schedule FSI </t>
        </r>
      </text>
    </comment>
    <comment ref="O8" authorId="1" shapeId="0">
      <text>
        <r>
          <rPr>
            <b/>
            <sz val="8"/>
            <color indexed="81"/>
            <rFont val="Tahoma"/>
            <family val="2"/>
          </rPr>
          <t xml:space="preserve">In case Relief is claimed u/ 91 please fill up "NA". for enabling the assessee to fill in Schedule FSI </t>
        </r>
      </text>
    </comment>
    <comment ref="T8" authorId="1" shapeId="0">
      <text>
        <r>
          <rPr>
            <b/>
            <sz val="8"/>
            <color indexed="81"/>
            <rFont val="Tahoma"/>
            <family val="2"/>
          </rPr>
          <t xml:space="preserve">In case Relief is claimed u/ 91 please fill up "NA". for enabling the assessee to fill in Schedule FSI </t>
        </r>
      </text>
    </comment>
    <comment ref="AA8" authorId="1" shapeId="0">
      <text>
        <r>
          <rPr>
            <b/>
            <sz val="8"/>
            <color indexed="81"/>
            <rFont val="Tahoma"/>
            <family val="2"/>
          </rPr>
          <t xml:space="preserve">In case Relief is claimed u/ 91 please fill up "NA". for enabling the assessee to fill in Schedule FSI </t>
        </r>
      </text>
    </comment>
    <comment ref="AF8" authorId="1" shapeId="0">
      <text>
        <r>
          <rPr>
            <b/>
            <sz val="8"/>
            <color indexed="81"/>
            <rFont val="Tahoma"/>
            <family val="2"/>
          </rPr>
          <t xml:space="preserve">In case Relief is claimed u/ 91 please fill up "NA". for enabling the assessee to fill in Schedule FSI </t>
        </r>
      </text>
    </comment>
    <comment ref="J9" authorId="1" shapeId="0">
      <text>
        <r>
          <rPr>
            <b/>
            <sz val="8"/>
            <color indexed="81"/>
            <rFont val="Tahoma"/>
            <family val="2"/>
          </rPr>
          <t xml:space="preserve">In case Relief is claimed u/ 91 please fill up "NA". for enabling the assessee to fill in Schedule FSI </t>
        </r>
      </text>
    </comment>
    <comment ref="O9" authorId="1" shapeId="0">
      <text>
        <r>
          <rPr>
            <b/>
            <sz val="8"/>
            <color indexed="81"/>
            <rFont val="Tahoma"/>
            <family val="2"/>
          </rPr>
          <t xml:space="preserve">In case Relief is claimed u/ 91 please fill up "NA". for enabling the assessee to fill in Schedule FSI </t>
        </r>
      </text>
    </comment>
    <comment ref="T9" authorId="1" shapeId="0">
      <text>
        <r>
          <rPr>
            <b/>
            <sz val="8"/>
            <color indexed="81"/>
            <rFont val="Tahoma"/>
            <family val="2"/>
          </rPr>
          <t xml:space="preserve">In case Relief is claimed u/ 91 please fill up "NA". for enabling the assessee to fill in Schedule FSI </t>
        </r>
      </text>
    </comment>
    <comment ref="AA9" authorId="1" shapeId="0">
      <text>
        <r>
          <rPr>
            <b/>
            <sz val="8"/>
            <color indexed="81"/>
            <rFont val="Tahoma"/>
            <family val="2"/>
          </rPr>
          <t xml:space="preserve">In case Relief is claimed u/ 91 please fill up "NA". for enabling the assessee to fill in Schedule FSI </t>
        </r>
      </text>
    </comment>
    <comment ref="AF9" authorId="1" shapeId="0">
      <text>
        <r>
          <rPr>
            <b/>
            <sz val="8"/>
            <color indexed="81"/>
            <rFont val="Tahoma"/>
            <family val="2"/>
          </rPr>
          <t xml:space="preserve">In case Relief is claimed u/ 91 please fill up "NA". for enabling the assessee to fill in Schedule FSI </t>
        </r>
      </text>
    </comment>
    <comment ref="J10" authorId="1" shapeId="0">
      <text>
        <r>
          <rPr>
            <b/>
            <sz val="8"/>
            <color indexed="81"/>
            <rFont val="Tahoma"/>
            <family val="2"/>
          </rPr>
          <t xml:space="preserve">In case Relief is claimed u/ 91 please fill up "NA". for enabling the assessee to fill in Schedule FSI </t>
        </r>
      </text>
    </comment>
    <comment ref="O10" authorId="1" shapeId="0">
      <text>
        <r>
          <rPr>
            <b/>
            <sz val="8"/>
            <color indexed="81"/>
            <rFont val="Tahoma"/>
            <family val="2"/>
          </rPr>
          <t xml:space="preserve">In case Relief is claimed u/ 91 please fill up "NA". for enabling the assessee to fill in Schedule FSI </t>
        </r>
      </text>
    </comment>
    <comment ref="T10" authorId="1" shapeId="0">
      <text>
        <r>
          <rPr>
            <b/>
            <sz val="8"/>
            <color indexed="81"/>
            <rFont val="Tahoma"/>
            <family val="2"/>
          </rPr>
          <t xml:space="preserve">In case Relief is claimed u/ 91 please fill up "NA". for enabling the assessee to fill in Schedule FSI </t>
        </r>
      </text>
    </comment>
    <comment ref="AA10" authorId="1" shapeId="0">
      <text>
        <r>
          <rPr>
            <b/>
            <sz val="8"/>
            <color indexed="81"/>
            <rFont val="Tahoma"/>
            <family val="2"/>
          </rPr>
          <t xml:space="preserve">In case Relief is claimed u/ 91 please fill up "NA". for enabling the assessee to fill in Schedule FSI </t>
        </r>
      </text>
    </comment>
    <comment ref="AF10" authorId="1" shapeId="0">
      <text>
        <r>
          <rPr>
            <b/>
            <sz val="8"/>
            <color indexed="81"/>
            <rFont val="Tahoma"/>
            <family val="2"/>
          </rPr>
          <t xml:space="preserve">In case Relief is claimed u/ 91 please fill up "NA". for enabling the assessee to fill in Schedule FSI </t>
        </r>
      </text>
    </comment>
    <comment ref="J11" authorId="1" shapeId="0">
      <text>
        <r>
          <rPr>
            <b/>
            <sz val="8"/>
            <color indexed="81"/>
            <rFont val="Tahoma"/>
            <family val="2"/>
          </rPr>
          <t xml:space="preserve">In case Relief is claimed u/ 91 please fill up "NA". for enabling the assessee to fill in Schedule FSI </t>
        </r>
      </text>
    </comment>
    <comment ref="O11" authorId="1" shapeId="0">
      <text>
        <r>
          <rPr>
            <b/>
            <sz val="8"/>
            <color indexed="81"/>
            <rFont val="Tahoma"/>
            <family val="2"/>
          </rPr>
          <t xml:space="preserve">In case Relief is claimed u/ 91 please fill up "NA". for enabling the assessee to fill in Schedule FSI </t>
        </r>
      </text>
    </comment>
    <comment ref="T11" authorId="1" shapeId="0">
      <text>
        <r>
          <rPr>
            <b/>
            <sz val="8"/>
            <color indexed="81"/>
            <rFont val="Tahoma"/>
            <family val="2"/>
          </rPr>
          <t xml:space="preserve">In case Relief is claimed u/ 91 please fill up "NA". for enabling the assessee to fill in Schedule FSI </t>
        </r>
      </text>
    </comment>
    <comment ref="AA11" authorId="1" shapeId="0">
      <text>
        <r>
          <rPr>
            <b/>
            <sz val="8"/>
            <color indexed="81"/>
            <rFont val="Tahoma"/>
            <family val="2"/>
          </rPr>
          <t xml:space="preserve">In case Relief is claimed u/ 91 please fill up "NA". for enabling the assessee to fill in Schedule FSI </t>
        </r>
      </text>
    </comment>
    <comment ref="AF11" authorId="1" shapeId="0">
      <text>
        <r>
          <rPr>
            <b/>
            <sz val="8"/>
            <color indexed="81"/>
            <rFont val="Tahoma"/>
            <family val="2"/>
          </rPr>
          <t xml:space="preserve">In case Relief is claimed u/ 91 please fill up "NA". for enabling the assessee to fill in Schedule FSI </t>
        </r>
      </text>
    </comment>
    <comment ref="J12" authorId="1" shapeId="0">
      <text>
        <r>
          <rPr>
            <b/>
            <sz val="8"/>
            <color indexed="81"/>
            <rFont val="Tahoma"/>
            <family val="2"/>
          </rPr>
          <t xml:space="preserve">In case Relief is claimed u/ 91 please fill up "NA". for enabling the assessee to fill in Schedule FSI </t>
        </r>
      </text>
    </comment>
    <comment ref="O12" authorId="1" shapeId="0">
      <text>
        <r>
          <rPr>
            <b/>
            <sz val="8"/>
            <color indexed="81"/>
            <rFont val="Tahoma"/>
            <family val="2"/>
          </rPr>
          <t xml:space="preserve">In case Relief is claimed u/ 91 please fill up "NA". for enabling the assessee to fill in Schedule FSI </t>
        </r>
      </text>
    </comment>
    <comment ref="T12" authorId="1" shapeId="0">
      <text>
        <r>
          <rPr>
            <b/>
            <sz val="8"/>
            <color indexed="81"/>
            <rFont val="Tahoma"/>
            <family val="2"/>
          </rPr>
          <t xml:space="preserve">In case Relief is claimed u/ 91 please fill up "NA". for enabling the assessee to fill in Schedule FSI </t>
        </r>
      </text>
    </comment>
    <comment ref="AA12" authorId="1" shapeId="0">
      <text>
        <r>
          <rPr>
            <b/>
            <sz val="8"/>
            <color indexed="81"/>
            <rFont val="Tahoma"/>
            <family val="2"/>
          </rPr>
          <t xml:space="preserve">In case Relief is claimed u/ 91 please fill up "NA". for enabling the assessee to fill in Schedule FSI </t>
        </r>
      </text>
    </comment>
    <comment ref="AF12" authorId="1" shapeId="0">
      <text>
        <r>
          <rPr>
            <b/>
            <sz val="8"/>
            <color indexed="81"/>
            <rFont val="Tahoma"/>
            <family val="2"/>
          </rPr>
          <t xml:space="preserve">In case Relief is claimed u/ 91 please fill up "NA". for enabling the assessee to fill in Schedule FSI </t>
        </r>
      </text>
    </comment>
  </commentList>
</comments>
</file>

<file path=xl/comments21.xml><?xml version="1.0" encoding="utf-8"?>
<comments xmlns="http://schemas.openxmlformats.org/spreadsheetml/2006/main">
  <authors>
    <author>e2</author>
    <author>Vishesh  Jindal</author>
    <author>Chirag bhat</author>
  </authors>
  <commentList>
    <comment ref="F5" authorId="0" shapeId="0">
      <text>
        <r>
          <rPr>
            <b/>
            <sz val="8"/>
            <color indexed="81"/>
            <rFont val="Tahoma"/>
            <family val="2"/>
          </rPr>
          <t>Tax Identification number of the tax payer in respective country</t>
        </r>
        <r>
          <rPr>
            <sz val="8"/>
            <color indexed="81"/>
            <rFont val="Tahoma"/>
            <family val="2"/>
          </rPr>
          <t xml:space="preserve">
</t>
        </r>
      </text>
    </comment>
    <comment ref="F7" authorId="1" shapeId="0">
      <text>
        <r>
          <rPr>
            <sz val="9"/>
            <color indexed="81"/>
            <rFont val="Tahoma"/>
            <family val="2"/>
          </rPr>
          <t>In case TIN has not been allotted in the country, please mention the  passport number.</t>
        </r>
      </text>
    </comment>
    <comment ref="I7"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8"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9"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10"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11"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F13" authorId="1" shapeId="0">
      <text>
        <r>
          <rPr>
            <sz val="9"/>
            <color indexed="81"/>
            <rFont val="Tahoma"/>
            <family val="2"/>
          </rPr>
          <t>In case TIN has not been allotted in the country, please mention the  passport number.</t>
        </r>
      </text>
    </comment>
    <comment ref="I13"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14"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15" authorId="2" shapeId="0">
      <text>
        <r>
          <rPr>
            <b/>
            <sz val="9"/>
            <color indexed="81"/>
            <rFont val="Tahoma"/>
            <family val="2"/>
          </rPr>
          <t>Please ensure that the income shown in Schedule FSI are also reflected under respective income schedules</t>
        </r>
      </text>
    </comment>
    <comment ref="I16"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17"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F19" authorId="1" shapeId="0">
      <text>
        <r>
          <rPr>
            <sz val="9"/>
            <color indexed="81"/>
            <rFont val="Tahoma"/>
            <family val="2"/>
          </rPr>
          <t>In case TIN has not been allotted in the country, please mention the  passport number.</t>
        </r>
      </text>
    </comment>
    <comment ref="I19"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0"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1"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2" authorId="2" shapeId="0">
      <text>
        <r>
          <rPr>
            <b/>
            <sz val="9"/>
            <color indexed="81"/>
            <rFont val="Tahoma"/>
            <family val="2"/>
          </rPr>
          <t>Please ensure that the income shown in Schedule FSI are also reflected under respective income schedules</t>
        </r>
      </text>
    </comment>
    <comment ref="I23"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F25" authorId="1" shapeId="0">
      <text>
        <r>
          <rPr>
            <sz val="9"/>
            <color indexed="81"/>
            <rFont val="Tahoma"/>
            <family val="2"/>
          </rPr>
          <t>In case TIN has not been allotted in the country, please mention the  passport number.</t>
        </r>
      </text>
    </comment>
    <comment ref="I25"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6"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7"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8"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 ref="I29" authorId="2" shapeId="0">
      <text>
        <r>
          <rPr>
            <b/>
            <sz val="9"/>
            <color indexed="81"/>
            <rFont val="Tahoma"/>
            <family val="2"/>
          </rPr>
          <t>Please ensure that the income shown in Schedule FSI are also reflected under respective income schedules</t>
        </r>
        <r>
          <rPr>
            <sz val="9"/>
            <color indexed="81"/>
            <rFont val="Tahoma"/>
            <family val="2"/>
          </rPr>
          <t xml:space="preserve">
</t>
        </r>
      </text>
    </comment>
  </commentList>
</comments>
</file>

<file path=xl/comments22.xml><?xml version="1.0" encoding="utf-8"?>
<comments xmlns="http://schemas.openxmlformats.org/spreadsheetml/2006/main">
  <authors>
    <author>e2</author>
  </authors>
  <commentList>
    <comment ref="F6" authorId="0" shapeId="0">
      <text>
        <r>
          <rPr>
            <b/>
            <sz val="8"/>
            <color indexed="81"/>
            <rFont val="Tahoma"/>
            <family val="2"/>
          </rPr>
          <t>Tax Identification number of the tax payer in respective country</t>
        </r>
        <r>
          <rPr>
            <sz val="8"/>
            <color indexed="81"/>
            <rFont val="Tahoma"/>
            <family val="2"/>
          </rPr>
          <t xml:space="preserve">
</t>
        </r>
      </text>
    </comment>
  </commentList>
</comments>
</file>

<file path=xl/comments23.xml><?xml version="1.0" encoding="utf-8"?>
<comments xmlns="http://schemas.openxmlformats.org/spreadsheetml/2006/main">
  <authors>
    <author>Bharatesh Patil.</author>
  </authors>
  <commentList>
    <comment ref="E5" authorId="0" shapeId="0">
      <text>
        <r>
          <rPr>
            <b/>
            <sz val="9"/>
            <color indexed="81"/>
            <rFont val="Tahoma"/>
            <family val="2"/>
          </rPr>
          <t>Must be filled to include the payment in the Total</t>
        </r>
      </text>
    </comment>
  </commentList>
</comments>
</file>

<file path=xl/comments24.xml><?xml version="1.0" encoding="utf-8"?>
<comments xmlns="http://schemas.openxmlformats.org/spreadsheetml/2006/main">
  <authors>
    <author>ak</author>
    <author>Income Tax Department</author>
    <author>Bharatesh Patil.</author>
  </authors>
  <commentList>
    <comment ref="E8" authorId="0" shapeId="0">
      <text>
        <r>
          <rPr>
            <sz val="8"/>
            <color indexed="81"/>
            <rFont val="Tahoma"/>
            <family val="2"/>
          </rPr>
          <t>Enter a valid TAN no must be 10 characters</t>
        </r>
      </text>
    </comment>
    <comment ref="E9" authorId="0" shapeId="0">
      <text>
        <r>
          <rPr>
            <sz val="8"/>
            <color indexed="81"/>
            <rFont val="Tahoma"/>
            <family val="2"/>
          </rPr>
          <t xml:space="preserve">Enter a valid TAN no must be 10 characters
</t>
        </r>
      </text>
    </comment>
    <comment ref="E10" authorId="0" shapeId="0">
      <text>
        <r>
          <rPr>
            <sz val="8"/>
            <color indexed="81"/>
            <rFont val="Tahoma"/>
            <family val="2"/>
          </rPr>
          <t xml:space="preserve">Enter a valid TAN no must be 10 characters
</t>
        </r>
      </text>
    </comment>
    <comment ref="E11" authorId="0" shapeId="0">
      <text>
        <r>
          <rPr>
            <sz val="8"/>
            <color indexed="81"/>
            <rFont val="Tahoma"/>
            <family val="2"/>
          </rPr>
          <t xml:space="preserve">Enter a valid TAN no must be 10 characters
</t>
        </r>
      </text>
    </comment>
    <comment ref="E20" authorId="1" shapeId="0">
      <text>
        <r>
          <rPr>
            <b/>
            <sz val="9"/>
            <color indexed="81"/>
            <rFont val="Tahoma"/>
            <family val="2"/>
          </rPr>
          <t xml:space="preserve">Only those person 
 who are covered under rule 37BA can claim </t>
        </r>
        <r>
          <rPr>
            <sz val="9"/>
            <color indexed="81"/>
            <rFont val="Tahoma"/>
            <family val="2"/>
          </rPr>
          <t xml:space="preserve">
</t>
        </r>
      </text>
    </comment>
    <comment ref="F20" authorId="2" shapeId="0">
      <text>
        <r>
          <rPr>
            <b/>
            <sz val="9"/>
            <color indexed="81"/>
            <rFont val="Tahoma"/>
            <family val="2"/>
          </rPr>
          <t>TDS credit will be allowed only in case of valid PAN</t>
        </r>
      </text>
    </comment>
    <comment ref="E36" authorId="1" shapeId="0">
      <text>
        <r>
          <rPr>
            <b/>
            <sz val="9"/>
            <color indexed="81"/>
            <rFont val="Tahoma"/>
            <family val="2"/>
          </rPr>
          <t xml:space="preserve">Only those person  who are covered under rule 37BA can claim </t>
        </r>
      </text>
    </comment>
    <comment ref="F36" authorId="2" shapeId="0">
      <text>
        <r>
          <rPr>
            <b/>
            <sz val="9"/>
            <color indexed="81"/>
            <rFont val="Tahoma"/>
            <family val="2"/>
          </rPr>
          <t>TDS credit will be allowed only in case of valid PAN</t>
        </r>
      </text>
    </comment>
  </commentList>
</comments>
</file>

<file path=xl/comments25.xml><?xml version="1.0" encoding="utf-8"?>
<comments xmlns="http://schemas.openxmlformats.org/spreadsheetml/2006/main">
  <authors>
    <author>Vishesh  Jindal</author>
    <author xml:space="preserve"> </author>
  </authors>
  <commentList>
    <comment ref="J82" authorId="0" shapeId="0">
      <text>
        <r>
          <rPr>
            <sz val="8"/>
            <color indexed="81"/>
            <rFont val="Tahoma"/>
            <family val="2"/>
          </rPr>
          <t xml:space="preserve">Calculate relief u/s 89 as per IT Act in case of receipt of arrears of salary or advances of salary received during the year.
</t>
        </r>
        <r>
          <rPr>
            <b/>
            <sz val="8"/>
            <color indexed="81"/>
            <rFont val="Tahoma"/>
            <family val="2"/>
          </rPr>
          <t>PLEASE ENSURE TO SUBMIT FORM 10E.</t>
        </r>
        <r>
          <rPr>
            <sz val="9"/>
            <color indexed="81"/>
            <rFont val="Tahoma"/>
            <family val="2"/>
          </rPr>
          <t xml:space="preserve">
</t>
        </r>
      </text>
    </comment>
    <comment ref="L103" authorId="1" shapeId="0">
      <text>
        <r>
          <rPr>
            <b/>
            <sz val="8"/>
            <color indexed="81"/>
            <rFont val="Tahoma"/>
            <family val="2"/>
          </rPr>
          <t>For direct deposit/ECS into the bank , the account number cannot exceed 20 charachters</t>
        </r>
      </text>
    </comment>
    <comment ref="L104" authorId="1" shapeId="0">
      <text>
        <r>
          <rPr>
            <b/>
            <sz val="8"/>
            <color indexed="81"/>
            <rFont val="Tahoma"/>
            <family val="2"/>
          </rPr>
          <t xml:space="preserve">Select YES for Direct deposit in case ECS is required. 
</t>
        </r>
      </text>
    </comment>
    <comment ref="H106" authorId="1" shapeId="0">
      <text>
        <r>
          <rPr>
            <b/>
            <sz val="8"/>
            <color indexed="81"/>
            <rFont val="Tahoma"/>
            <family val="2"/>
          </rPr>
          <t>Enter 11 character IFSC Code. For Example: For SBI Account The IFSC Code will be as SBIN0123456.</t>
        </r>
      </text>
    </comment>
    <comment ref="J106" authorId="0" shapeId="0">
      <text>
        <r>
          <rPr>
            <b/>
            <sz val="9"/>
            <color indexed="81"/>
            <rFont val="Tahoma"/>
            <family val="2"/>
          </rPr>
          <t>Select from 'SAV' for savings account or 'CUR' for current account if Y is selected for direct deposit</t>
        </r>
        <r>
          <rPr>
            <sz val="9"/>
            <color indexed="81"/>
            <rFont val="Tahoma"/>
            <family val="2"/>
          </rPr>
          <t xml:space="preserve">
</t>
        </r>
      </text>
    </comment>
    <comment ref="D128" authorId="1" shapeId="0">
      <text>
        <r>
          <rPr>
            <b/>
            <sz val="8"/>
            <color indexed="81"/>
            <rFont val="Tahoma"/>
            <family val="2"/>
          </rPr>
          <t>Enter TRP reimbursement amount</t>
        </r>
      </text>
    </comment>
  </commentList>
</comments>
</file>

<file path=xl/comments26.xml><?xml version="1.0" encoding="utf-8"?>
<comments xmlns="http://schemas.openxmlformats.org/spreadsheetml/2006/main">
  <authors>
    <author xml:space="preserve"> </author>
  </authors>
  <commentList>
    <comment ref="H4" authorId="0" shapeId="0">
      <text>
        <r>
          <rPr>
            <b/>
            <sz val="8"/>
            <color indexed="81"/>
            <rFont val="Tahoma"/>
            <family val="2"/>
          </rPr>
          <t xml:space="preserve">Enter name. In case of HUF, Karta's name should be entered here.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<sst xmlns="http://schemas.openxmlformats.org/spreadsheetml/2006/main" count="21020" uniqueCount="13283">
  <si>
    <t>FORM</t>
  </si>
  <si>
    <t>INDIAN INCOME TAX RETURN</t>
  </si>
  <si>
    <t>Assessment Year</t>
  </si>
  <si>
    <t>PERSONAL INFORMATION</t>
  </si>
  <si>
    <t>First Name</t>
  </si>
  <si>
    <t>Middle Name</t>
  </si>
  <si>
    <t>Last Name</t>
  </si>
  <si>
    <t>PAN</t>
  </si>
  <si>
    <t xml:space="preserve"> </t>
  </si>
  <si>
    <t>Flat / Door / Block No</t>
  </si>
  <si>
    <t>Name of Premises / Building / Village</t>
  </si>
  <si>
    <t>Status (I-Individual,H-HUF)</t>
  </si>
  <si>
    <t>(Select)</t>
  </si>
  <si>
    <t>Road / Street / Post Office</t>
  </si>
  <si>
    <t>Area / Locality</t>
  </si>
  <si>
    <t>Town/City/District</t>
  </si>
  <si>
    <t>State</t>
  </si>
  <si>
    <t>Country</t>
  </si>
  <si>
    <t>Pin Code</t>
  </si>
  <si>
    <t>Email Address-1 (self)</t>
  </si>
  <si>
    <t>Email Address - 2</t>
  </si>
  <si>
    <t>Mobile No 1</t>
  </si>
  <si>
    <t>Mobile No-2</t>
  </si>
  <si>
    <t/>
  </si>
  <si>
    <t>Residential Status</t>
  </si>
  <si>
    <t>No</t>
  </si>
  <si>
    <t>Whether this return is being filed by a representative assessee? If yes, please furnish following information</t>
  </si>
  <si>
    <t>a</t>
  </si>
  <si>
    <t>b</t>
  </si>
  <si>
    <t>c</t>
  </si>
  <si>
    <t>AUDIT INFORMATION</t>
  </si>
  <si>
    <t xml:space="preserve">Are you liable to maintain accounts as per section 44AA? (Select)   </t>
  </si>
  <si>
    <t xml:space="preserve">Are you liable for audit under section 44AB? </t>
  </si>
  <si>
    <t>Date of furnishing of the audit report.</t>
  </si>
  <si>
    <t>(DD/MM/YYYY)</t>
  </si>
  <si>
    <t>Name of the auditor signing the tax audit report</t>
  </si>
  <si>
    <t>d</t>
  </si>
  <si>
    <t>Name of the auditor (proprietorship/ firm)</t>
  </si>
  <si>
    <t>e</t>
  </si>
  <si>
    <t>Permanent Account Number (PAN) of the proprietorship/ firm</t>
  </si>
  <si>
    <t>f</t>
  </si>
  <si>
    <t>Date of audit report.</t>
  </si>
  <si>
    <t>Section Code</t>
  </si>
  <si>
    <t>Date DD/MM/YYYY</t>
  </si>
  <si>
    <t>Residential/Office Phone</t>
  </si>
  <si>
    <t>I - Individual</t>
  </si>
  <si>
    <t>H - HUF</t>
  </si>
  <si>
    <t>01-ANDAMAN AND NICOBAR ISLANDS</t>
  </si>
  <si>
    <t>02-ANDHRA PRADESH</t>
  </si>
  <si>
    <t>03-ARUNACHAL PRADESH</t>
  </si>
  <si>
    <t>04-ASSAM</t>
  </si>
  <si>
    <t>05-BIHAR</t>
  </si>
  <si>
    <t>06-CHANDIGARH</t>
  </si>
  <si>
    <t>07-DADRA AND NAGAR HAVELI</t>
  </si>
  <si>
    <t>08-DAMAN AND DIU</t>
  </si>
  <si>
    <t>09-DELHI</t>
  </si>
  <si>
    <t>10-GOA</t>
  </si>
  <si>
    <t>11-GUJARAT</t>
  </si>
  <si>
    <t>12-HARYANA</t>
  </si>
  <si>
    <t>13-HIMACHAL PRADESH</t>
  </si>
  <si>
    <t>14-JAMMU AND KASHMIR</t>
  </si>
  <si>
    <t>15-KARNATAKA</t>
  </si>
  <si>
    <t>16-KERALA</t>
  </si>
  <si>
    <t>17-LAKHSWADEEP</t>
  </si>
  <si>
    <t>18-MADHYA PRADESH</t>
  </si>
  <si>
    <t>19-MAHARASHTRA</t>
  </si>
  <si>
    <t>20-MANIPUR</t>
  </si>
  <si>
    <t>21-MEGHALAYA</t>
  </si>
  <si>
    <t>22-MIZORAM</t>
  </si>
  <si>
    <t>23-NAGALAND</t>
  </si>
  <si>
    <t>26-PUNJAB</t>
  </si>
  <si>
    <t>27-RAJASTHAN</t>
  </si>
  <si>
    <t>28-SIKKIM</t>
  </si>
  <si>
    <t>29-TAMILNADU</t>
  </si>
  <si>
    <t>30-TRIPURA</t>
  </si>
  <si>
    <t>31-UTTAR PRADESH</t>
  </si>
  <si>
    <t>32-WEST BENGAL</t>
  </si>
  <si>
    <t>35-JHARKHAND</t>
  </si>
  <si>
    <t>36-TELANGANA</t>
  </si>
  <si>
    <t>93-AFGHANISTAN</t>
  </si>
  <si>
    <t>355-ALBANIA</t>
  </si>
  <si>
    <t>213-ALGERIA</t>
  </si>
  <si>
    <t>376-ANDORRA</t>
  </si>
  <si>
    <t>244-ANGOLA</t>
  </si>
  <si>
    <t>1268-ANTIGUA AND BARBUDA</t>
  </si>
  <si>
    <t>54-ARGENTINA</t>
  </si>
  <si>
    <t>374-ARMENIA</t>
  </si>
  <si>
    <t>61-AUSTRALIA</t>
  </si>
  <si>
    <t>43-AUSTRIA</t>
  </si>
  <si>
    <t>994-AZERBAIJAN</t>
  </si>
  <si>
    <t>1242-BAHAMAS</t>
  </si>
  <si>
    <t>973-BAHRAIN</t>
  </si>
  <si>
    <t>880-BANGLADESH</t>
  </si>
  <si>
    <t>1246-BARBADOS</t>
  </si>
  <si>
    <t>375-BELARUS</t>
  </si>
  <si>
    <t>32-BELGIUM</t>
  </si>
  <si>
    <t>501-BELIZE</t>
  </si>
  <si>
    <t>229-BENIN</t>
  </si>
  <si>
    <t>975-BHUTAN</t>
  </si>
  <si>
    <t>387-BOSNIA AND HERZEGOVINA</t>
  </si>
  <si>
    <t>267-BOTSWANA</t>
  </si>
  <si>
    <t>55-BRAZIL</t>
  </si>
  <si>
    <t>673-BRUNEI DARUSSALAM</t>
  </si>
  <si>
    <t>359-BULGARIA</t>
  </si>
  <si>
    <t>226-BURKINA FASO</t>
  </si>
  <si>
    <t>257-BURUNDI</t>
  </si>
  <si>
    <t>855-CAMBODIA</t>
  </si>
  <si>
    <t>237-CAMEROON</t>
  </si>
  <si>
    <t>1-CANADA</t>
  </si>
  <si>
    <t>236-CENTRAL AFRICAN REPUBLIC</t>
  </si>
  <si>
    <t>235-CHAD</t>
  </si>
  <si>
    <t>56-CHILE</t>
  </si>
  <si>
    <t>86-CHINA</t>
  </si>
  <si>
    <t>57-COLOMBIA</t>
  </si>
  <si>
    <t>270-COMOROS</t>
  </si>
  <si>
    <t>506-COSTA RICA</t>
  </si>
  <si>
    <t>385-CROATIA</t>
  </si>
  <si>
    <t>53-CUBA</t>
  </si>
  <si>
    <t>357-CYPRUS</t>
  </si>
  <si>
    <t>45-DENMARK</t>
  </si>
  <si>
    <t>253-DJIBOUTI</t>
  </si>
  <si>
    <t>1767-DOMINICA</t>
  </si>
  <si>
    <t>1809-DOMINICAN REPUBLIC</t>
  </si>
  <si>
    <t>593-ECUADOR</t>
  </si>
  <si>
    <t>20-EGYPT</t>
  </si>
  <si>
    <t>503-EL SALVADOR</t>
  </si>
  <si>
    <t>240-EQUATORIAL GUINEA</t>
  </si>
  <si>
    <t>291-ERITREA</t>
  </si>
  <si>
    <t>372-ESTONIA</t>
  </si>
  <si>
    <t>251-ETHIOPIA</t>
  </si>
  <si>
    <t>358-FINLAND</t>
  </si>
  <si>
    <t>33-FRANCE</t>
  </si>
  <si>
    <t>241-GABON</t>
  </si>
  <si>
    <t>220-GAMBIA</t>
  </si>
  <si>
    <t>995-GEORGIA</t>
  </si>
  <si>
    <t>49-GERMANY</t>
  </si>
  <si>
    <t>233-GHANA</t>
  </si>
  <si>
    <t>30-GREECE</t>
  </si>
  <si>
    <t>1473-GRENADA</t>
  </si>
  <si>
    <t>502-GUATEMALA</t>
  </si>
  <si>
    <t>224-GUINEA</t>
  </si>
  <si>
    <t>245-GUINEA-BISSAU</t>
  </si>
  <si>
    <t>592-GUYANA</t>
  </si>
  <si>
    <t>509-HAITI</t>
  </si>
  <si>
    <t>504-HONDURAS</t>
  </si>
  <si>
    <t>36-HUNGARY</t>
  </si>
  <si>
    <t>354-ICELAND</t>
  </si>
  <si>
    <t>91-INDIA</t>
  </si>
  <si>
    <t>62-INDONESIA</t>
  </si>
  <si>
    <t>964-IRAQ</t>
  </si>
  <si>
    <t>353-IRELAND</t>
  </si>
  <si>
    <t>972-ISRAEL</t>
  </si>
  <si>
    <t>5-ITALY</t>
  </si>
  <si>
    <t>1876-JAMAICA</t>
  </si>
  <si>
    <t>81-JAPAN</t>
  </si>
  <si>
    <t>962-JORDAN</t>
  </si>
  <si>
    <t>7-KAZAKHSTAN</t>
  </si>
  <si>
    <t>254-KENYA</t>
  </si>
  <si>
    <t>686-KIRIBATI</t>
  </si>
  <si>
    <t>965-KUWAIT</t>
  </si>
  <si>
    <t>996-KYRGYZSTAN</t>
  </si>
  <si>
    <t>371-LATVIA</t>
  </si>
  <si>
    <t>961-LEBANON</t>
  </si>
  <si>
    <t>266-LESOTHO</t>
  </si>
  <si>
    <t>231-LIBERIA</t>
  </si>
  <si>
    <t>218-LIBYA</t>
  </si>
  <si>
    <t>423-LIECHTENSTEIN</t>
  </si>
  <si>
    <t>370-LITHUANIA</t>
  </si>
  <si>
    <t>352-LUXEMBOURG</t>
  </si>
  <si>
    <t>261-MADAGASCAR</t>
  </si>
  <si>
    <t>265-MALAWI</t>
  </si>
  <si>
    <t>60-MALAYSIA</t>
  </si>
  <si>
    <t>960-MALDIVES</t>
  </si>
  <si>
    <t>223-MALI</t>
  </si>
  <si>
    <t>356-MALTA</t>
  </si>
  <si>
    <t>692-MARSHALL ISLANDS</t>
  </si>
  <si>
    <t>222-MAURITANIA</t>
  </si>
  <si>
    <t>230-MAURITIUS</t>
  </si>
  <si>
    <t>52-MEXICO</t>
  </si>
  <si>
    <t>377-MONACO</t>
  </si>
  <si>
    <t>976-MONGOLIA</t>
  </si>
  <si>
    <t>382-MONTENEGRO</t>
  </si>
  <si>
    <t>212-MOROCCO</t>
  </si>
  <si>
    <t>258-MOZAMBIQUE</t>
  </si>
  <si>
    <t>95-MYANMAR</t>
  </si>
  <si>
    <t>264-NAMIBIA</t>
  </si>
  <si>
    <t>674-NAURU</t>
  </si>
  <si>
    <t>977-NEPAL</t>
  </si>
  <si>
    <t>31-NETHERLANDS</t>
  </si>
  <si>
    <t>64-NEW ZEALAND</t>
  </si>
  <si>
    <t>505-NICARAGUA</t>
  </si>
  <si>
    <t>227-NIGER</t>
  </si>
  <si>
    <t>234-NIGERIA</t>
  </si>
  <si>
    <t>47-NORWAY</t>
  </si>
  <si>
    <t>968-OMAN</t>
  </si>
  <si>
    <t>92-PAKISTAN</t>
  </si>
  <si>
    <t>680-PALAU</t>
  </si>
  <si>
    <t>507-PANAMA</t>
  </si>
  <si>
    <t>675-PAPUA NEW GUINEA</t>
  </si>
  <si>
    <t>595-PARAGUAY</t>
  </si>
  <si>
    <t>51-PERU</t>
  </si>
  <si>
    <t>63-PHILIPPINES</t>
  </si>
  <si>
    <t>48-POLAND</t>
  </si>
  <si>
    <t>14-PORTUGAL</t>
  </si>
  <si>
    <t>974-QATAR</t>
  </si>
  <si>
    <t>40-ROMANIA</t>
  </si>
  <si>
    <t>8-RUSSIAN FEDERATION</t>
  </si>
  <si>
    <t>250-RWANDA</t>
  </si>
  <si>
    <t>1869-SAINT KITTS AND NEVIS</t>
  </si>
  <si>
    <t>1758-SAINT LUCIA</t>
  </si>
  <si>
    <t>1784-SAINT VINCENT AND THE GRENADINES</t>
  </si>
  <si>
    <t>685-SAMOA</t>
  </si>
  <si>
    <t>378-SAN MARINO</t>
  </si>
  <si>
    <t>239-SAO TOME AND PRINCIPE</t>
  </si>
  <si>
    <t>966-SAUDI ARABIA</t>
  </si>
  <si>
    <t>221-SENEGAL</t>
  </si>
  <si>
    <t>381-SERBIA</t>
  </si>
  <si>
    <t>248-SEYCHELLES</t>
  </si>
  <si>
    <t>232-SIERRA LEONE</t>
  </si>
  <si>
    <t>65-SINGAPORE</t>
  </si>
  <si>
    <t>421-SLOVAKIA</t>
  </si>
  <si>
    <t>386-SLOVENIA</t>
  </si>
  <si>
    <t>677-SOLOMON ISLANDS</t>
  </si>
  <si>
    <t>252-SOMALIA</t>
  </si>
  <si>
    <t>28-SOUTH AFRICA</t>
  </si>
  <si>
    <t>211-SOUTH SUDAN</t>
  </si>
  <si>
    <t>35-SPAIN</t>
  </si>
  <si>
    <t>94-SRI LANKA</t>
  </si>
  <si>
    <t>249-SUDAN</t>
  </si>
  <si>
    <t>597-SURINAME</t>
  </si>
  <si>
    <t>268-SWAZILAND</t>
  </si>
  <si>
    <t>46-SWEDEN</t>
  </si>
  <si>
    <t>41-SWITZERLAND</t>
  </si>
  <si>
    <t>963-SYRIAN ARAB REPUBLIC</t>
  </si>
  <si>
    <t>992-TAJIKISTAN</t>
  </si>
  <si>
    <t>66-THAILAND</t>
  </si>
  <si>
    <t>228-TOGO</t>
  </si>
  <si>
    <t>676-TONGA</t>
  </si>
  <si>
    <t>1868-TRINIDAD AND TOBAGO</t>
  </si>
  <si>
    <t>216-TUNISIA</t>
  </si>
  <si>
    <t>90-TURKEY</t>
  </si>
  <si>
    <t>993-TURKMENISTAN</t>
  </si>
  <si>
    <t>688-TUVALU</t>
  </si>
  <si>
    <t>256-UGANDA</t>
  </si>
  <si>
    <t>380-UKRAINE</t>
  </si>
  <si>
    <t>971-UNITED ARAB EMIRATES</t>
  </si>
  <si>
    <t>44-UNITED KINGDOM OF GREAT BRITAIN AND NORTHERN IRELAND</t>
  </si>
  <si>
    <t>2-UNITED STATES OF AMERICA</t>
  </si>
  <si>
    <t>598-URUGUAY</t>
  </si>
  <si>
    <t>998-UZBEKISTAN</t>
  </si>
  <si>
    <t>678-VANUATU</t>
  </si>
  <si>
    <t>967-YEMEN</t>
  </si>
  <si>
    <t>260-ZAMBIA</t>
  </si>
  <si>
    <t>263-ZIMBABWE</t>
  </si>
  <si>
    <t>9999-OTHERS</t>
  </si>
  <si>
    <t>NA</t>
  </si>
  <si>
    <t>transaction under 94A Act</t>
  </si>
  <si>
    <t>Yes</t>
  </si>
  <si>
    <t>RES - Resident</t>
  </si>
  <si>
    <t>NRI - Non Resident</t>
  </si>
  <si>
    <t>NOR - Resident but not Ordinarily Resident</t>
  </si>
  <si>
    <t>Y - Yes</t>
  </si>
  <si>
    <t>N -No</t>
  </si>
  <si>
    <t>ReturnFileUnderSection</t>
  </si>
  <si>
    <t>Original</t>
  </si>
  <si>
    <t>Revised</t>
  </si>
  <si>
    <t>10A</t>
  </si>
  <si>
    <t>10AA</t>
  </si>
  <si>
    <t>44DA</t>
  </si>
  <si>
    <t>50B</t>
  </si>
  <si>
    <t>80-IA</t>
  </si>
  <si>
    <t>80-IB</t>
  </si>
  <si>
    <t>80-IC</t>
  </si>
  <si>
    <t>80-ID</t>
  </si>
  <si>
    <t>80JJAA</t>
  </si>
  <si>
    <t>80LA</t>
  </si>
  <si>
    <t>92E</t>
  </si>
  <si>
    <t>115JC</t>
  </si>
  <si>
    <t>NATURE OF BUSINESS</t>
  </si>
  <si>
    <t>Trade name of the proprietorship, if any</t>
  </si>
  <si>
    <t>Business Code</t>
  </si>
  <si>
    <t>Nature of Business</t>
  </si>
  <si>
    <t>Part A-BS</t>
  </si>
  <si>
    <t>SOURCES OF FUNDS</t>
  </si>
  <si>
    <t>Proprietor’s fund</t>
  </si>
  <si>
    <t>Proprietor’s capital</t>
  </si>
  <si>
    <t>Reserves and Surplus</t>
  </si>
  <si>
    <t>i</t>
  </si>
  <si>
    <t>Revaluation Reserve</t>
  </si>
  <si>
    <t>bi</t>
  </si>
  <si>
    <t>ii</t>
  </si>
  <si>
    <t>Capital Reserve</t>
  </si>
  <si>
    <t>bii</t>
  </si>
  <si>
    <t>iii</t>
  </si>
  <si>
    <t>Statutory Reserve</t>
  </si>
  <si>
    <t>biii</t>
  </si>
  <si>
    <t>iv</t>
  </si>
  <si>
    <t>Any other Reserve</t>
  </si>
  <si>
    <t>biv</t>
  </si>
  <si>
    <t>v</t>
  </si>
  <si>
    <t>Total (bi + bii + biii + biv)</t>
  </si>
  <si>
    <t>bv</t>
  </si>
  <si>
    <t>Total proprietor’s fund (a + bv)</t>
  </si>
  <si>
    <t>1c</t>
  </si>
  <si>
    <t>Loan funds</t>
  </si>
  <si>
    <t>Secured loans</t>
  </si>
  <si>
    <t>Foreign Currency Loans</t>
  </si>
  <si>
    <t>ai</t>
  </si>
  <si>
    <t>Rupee Loans</t>
  </si>
  <si>
    <t>A</t>
  </si>
  <si>
    <t>From Banks</t>
  </si>
  <si>
    <t>iiA</t>
  </si>
  <si>
    <t>B</t>
  </si>
  <si>
    <t>From others</t>
  </si>
  <si>
    <t>iiB</t>
  </si>
  <si>
    <t>C</t>
  </si>
  <si>
    <t>Total ( iiA + iiB)</t>
  </si>
  <si>
    <t>iiC</t>
  </si>
  <si>
    <t>aiii</t>
  </si>
  <si>
    <t>Unsecured loans (including deposits)</t>
  </si>
  <si>
    <t>Total (bi + bii)</t>
  </si>
  <si>
    <t>Total Loan Funds (aiii + biii)</t>
  </si>
  <si>
    <t>2c</t>
  </si>
  <si>
    <t>Deferred tax liability</t>
  </si>
  <si>
    <t>Sources of funds (1c + 2c +3)</t>
  </si>
  <si>
    <t>APPLICATION OF FUNDS</t>
  </si>
  <si>
    <t>Fixed assets</t>
  </si>
  <si>
    <t>Gross: Block</t>
  </si>
  <si>
    <t>1a</t>
  </si>
  <si>
    <t>Depreciation</t>
  </si>
  <si>
    <t>1b</t>
  </si>
  <si>
    <t>Capital work-in-progress</t>
  </si>
  <si>
    <t>1d</t>
  </si>
  <si>
    <t>Total (1c + 1d)</t>
  </si>
  <si>
    <t>1e</t>
  </si>
  <si>
    <t>Investments</t>
  </si>
  <si>
    <t>Long-term investments</t>
  </si>
  <si>
    <t>Government and other Securities - Quoted</t>
  </si>
  <si>
    <t>Government and other Securities – Unquoted</t>
  </si>
  <si>
    <t>aii</t>
  </si>
  <si>
    <t>Total (ai + aii)</t>
  </si>
  <si>
    <t>Short-Term investments</t>
  </si>
  <si>
    <t>Preference Shares</t>
  </si>
  <si>
    <t>Debenture</t>
  </si>
  <si>
    <t>Total (bi + bii + biii)</t>
  </si>
  <si>
    <t>Total investments (aiii + biv)</t>
  </si>
  <si>
    <t>Current assets, loans and advances</t>
  </si>
  <si>
    <t>Current assets</t>
  </si>
  <si>
    <t>Inventories</t>
  </si>
  <si>
    <t>Stores/consumables including packing material</t>
  </si>
  <si>
    <t>iA</t>
  </si>
  <si>
    <t>Raw materials</t>
  </si>
  <si>
    <t>iB</t>
  </si>
  <si>
    <t>Stock-in-process</t>
  </si>
  <si>
    <t>iC</t>
  </si>
  <si>
    <t>D</t>
  </si>
  <si>
    <t>Finished Goods/Traded Goods</t>
  </si>
  <si>
    <t>iD</t>
  </si>
  <si>
    <t>E</t>
  </si>
  <si>
    <t>Total (iA + iB + iC + iD)</t>
  </si>
  <si>
    <t>iE</t>
  </si>
  <si>
    <t>Sundry Debtors</t>
  </si>
  <si>
    <t>Cash and Bank Balances</t>
  </si>
  <si>
    <t>Cash-in-hand</t>
  </si>
  <si>
    <t>iiiA</t>
  </si>
  <si>
    <t>Balance with bank</t>
  </si>
  <si>
    <t>iiiB</t>
  </si>
  <si>
    <t>Total (iiiA + iiiB)</t>
  </si>
  <si>
    <t>iiiC</t>
  </si>
  <si>
    <t>Other Current Assets</t>
  </si>
  <si>
    <t>aiv</t>
  </si>
  <si>
    <t>Total current assets (iE + aii + iiiC + aiv)</t>
  </si>
  <si>
    <t>av</t>
  </si>
  <si>
    <t>Loans and advances</t>
  </si>
  <si>
    <t>Advances recoverable in cash or in kind or for value to be received</t>
  </si>
  <si>
    <t>Deposits, loans and advances to corporates and others</t>
  </si>
  <si>
    <t>Balance with Revenue Authorities</t>
  </si>
  <si>
    <t>Total of current assets, loans and advances (av + biv)</t>
  </si>
  <si>
    <t>3c</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</si>
  <si>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</si>
  <si>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</si>
  <si>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</si>
  <si>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</si>
  <si>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</si>
  <si>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</si>
  <si>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</si>
  <si>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</si>
  <si>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</si>
  <si>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iiD</t>
  </si>
  <si>
    <t>Other Provisions</t>
  </si>
  <si>
    <t>diii</t>
  </si>
  <si>
    <t>Net current assets (3c – diii)</t>
  </si>
  <si>
    <t>3e</t>
  </si>
  <si>
    <t>Provision for Leave
encashment/Superannuation/Gratuity</t>
  </si>
  <si>
    <t>Miscellaneous expenditure not written off or adjusted</t>
  </si>
  <si>
    <t>4a</t>
  </si>
  <si>
    <t>Deferred tax asset</t>
  </si>
  <si>
    <t>4b</t>
  </si>
  <si>
    <t>Profit and loss account / Accumulated balance</t>
  </si>
  <si>
    <t>4c</t>
  </si>
  <si>
    <t>Total (4a + 4b + 4c)</t>
  </si>
  <si>
    <t>4d</t>
  </si>
  <si>
    <t>Total, application of funds (1e + 2c + 3e +4d)</t>
  </si>
  <si>
    <t>NO ACCOUNT
CASE</t>
  </si>
  <si>
    <t>Amount of total sundry debtors</t>
  </si>
  <si>
    <t>6a</t>
  </si>
  <si>
    <t>Amount of total sundry creditors</t>
  </si>
  <si>
    <t>6b</t>
  </si>
  <si>
    <t>Amount of total stock-in-trade</t>
  </si>
  <si>
    <t>6c</t>
  </si>
  <si>
    <t>Amount of the cash balance</t>
  </si>
  <si>
    <t>6d</t>
  </si>
  <si>
    <t>Revenue from operations</t>
  </si>
  <si>
    <t>Sale of goods</t>
  </si>
  <si>
    <t>Nature</t>
  </si>
  <si>
    <t>Amount</t>
  </si>
  <si>
    <t>iiia</t>
  </si>
  <si>
    <t>iiib</t>
  </si>
  <si>
    <t>iiic</t>
  </si>
  <si>
    <t>iiid</t>
  </si>
  <si>
    <t>Aiv</t>
  </si>
  <si>
    <t>Service tax</t>
  </si>
  <si>
    <t>VAT/ Sales tax</t>
  </si>
  <si>
    <t>Any other duty, tax and cess</t>
  </si>
  <si>
    <t>Other income</t>
  </si>
  <si>
    <t>Rent</t>
  </si>
  <si>
    <t>Commission</t>
  </si>
  <si>
    <t>Dividend income</t>
  </si>
  <si>
    <t>Interest income</t>
  </si>
  <si>
    <t>Profit on sale of fixed assets</t>
  </si>
  <si>
    <t>vi</t>
  </si>
  <si>
    <t>Profit on sale of investment being securities chargeable to Securities Transaction Tax (STT)</t>
  </si>
  <si>
    <t>vii</t>
  </si>
  <si>
    <t>Profit on sale of other investment</t>
  </si>
  <si>
    <t>viii</t>
  </si>
  <si>
    <t>ix</t>
  </si>
  <si>
    <t>Agriculture income</t>
  </si>
  <si>
    <t>x</t>
  </si>
  <si>
    <t>Any other income (specify nature and amount)</t>
  </si>
  <si>
    <t>xi</t>
  </si>
  <si>
    <t>Closing Stock</t>
  </si>
  <si>
    <t>3iv</t>
  </si>
  <si>
    <t>Purchases (net of refunds and duty or tax, if any)</t>
  </si>
  <si>
    <t>Duties and taxes, paid or payable, in respect of goods and services purchased</t>
  </si>
  <si>
    <t>7i</t>
  </si>
  <si>
    <t>Union excise duty</t>
  </si>
  <si>
    <t>Consumption of stores and spare parts</t>
  </si>
  <si>
    <t>Power and fuel</t>
  </si>
  <si>
    <t>Rents</t>
  </si>
  <si>
    <t>Repairs to building</t>
  </si>
  <si>
    <t>Repairs to machinery</t>
  </si>
  <si>
    <t>Compensation to employees</t>
  </si>
  <si>
    <t>Salaries and wages</t>
  </si>
  <si>
    <t>Bonus</t>
  </si>
  <si>
    <t>Reimbursement of medical expenses</t>
  </si>
  <si>
    <t>Leave encashment</t>
  </si>
  <si>
    <t>Leave travel benefits</t>
  </si>
  <si>
    <t>Contribution to approved superannuation fund</t>
  </si>
  <si>
    <t>Contribution to recognised provident fund</t>
  </si>
  <si>
    <t>Contribution to recognised gratuity fund</t>
  </si>
  <si>
    <t>Contribution to any other fund</t>
  </si>
  <si>
    <t>Any other benefit to employees in respect of which an expenditure has been incurred</t>
  </si>
  <si>
    <t>xii</t>
  </si>
  <si>
    <t>xiia</t>
  </si>
  <si>
    <t>If Yes, amount paid to non-residents</t>
  </si>
  <si>
    <t>xiib</t>
  </si>
  <si>
    <t>Insurance</t>
  </si>
  <si>
    <t>Medical Insurance</t>
  </si>
  <si>
    <t>Life Insurance</t>
  </si>
  <si>
    <t>Keyman’s Insurance</t>
  </si>
  <si>
    <t>Other Insurance including factory, office, car, goods,etc.</t>
  </si>
  <si>
    <t>Workmen and staff welfare expenses</t>
  </si>
  <si>
    <t>Entertainment</t>
  </si>
  <si>
    <t>Hospitality</t>
  </si>
  <si>
    <t>Conference</t>
  </si>
  <si>
    <t>Sales promotion including publicity (other than advertisement)</t>
  </si>
  <si>
    <t>Advertisement</t>
  </si>
  <si>
    <t>Paid outside India, or paid in India to a non-resident other than a company or a foreign company</t>
  </si>
  <si>
    <t>To others</t>
  </si>
  <si>
    <t>Total (i + ii)</t>
  </si>
  <si>
    <t>22iii</t>
  </si>
  <si>
    <t>Royalty</t>
  </si>
  <si>
    <t>Professional / Consultancy fees / Fee for technical services</t>
  </si>
  <si>
    <t>Hotel , boarding and Lodging</t>
  </si>
  <si>
    <t>Traveling expenses other than on foreign traveling</t>
  </si>
  <si>
    <t>Foreign travelling expenses</t>
  </si>
  <si>
    <t>Conveyance expenses</t>
  </si>
  <si>
    <t>Telephone expenses</t>
  </si>
  <si>
    <t>Guest House expenses</t>
  </si>
  <si>
    <t>Club expenses</t>
  </si>
  <si>
    <t>Festival celebration expenses</t>
  </si>
  <si>
    <t>Scholarship</t>
  </si>
  <si>
    <t>Gift</t>
  </si>
  <si>
    <t>Donation</t>
  </si>
  <si>
    <t>Rates and taxes, paid or payable to Government or any local body (excluding taxes on income)</t>
  </si>
  <si>
    <t>36i</t>
  </si>
  <si>
    <t>36ii</t>
  </si>
  <si>
    <t>36iii</t>
  </si>
  <si>
    <t>Cess</t>
  </si>
  <si>
    <t>36iv</t>
  </si>
  <si>
    <t>Any other rate, tax, duty or cess including STT and CTT</t>
  </si>
  <si>
    <t>36v</t>
  </si>
  <si>
    <t>36vi</t>
  </si>
  <si>
    <t>Audit fee</t>
  </si>
  <si>
    <t>Other expenses (Specify nature and amount)</t>
  </si>
  <si>
    <t>Others (amounts less than Rs. 1 lakh)</t>
  </si>
  <si>
    <t>Provision for bad and doubtful debts</t>
  </si>
  <si>
    <t>Other provisions</t>
  </si>
  <si>
    <t>Interest</t>
  </si>
  <si>
    <t>Depreciation and amortization</t>
  </si>
  <si>
    <t>PROVISIONS FOR TAX AND APPROPRIATIONS</t>
  </si>
  <si>
    <t>Provision for current tax</t>
  </si>
  <si>
    <t>Balance brought forward from previous year</t>
  </si>
  <si>
    <t>Transferred to reserves and surplus</t>
  </si>
  <si>
    <t>Gross profit</t>
  </si>
  <si>
    <t>Expenses</t>
  </si>
  <si>
    <t>Net profit</t>
  </si>
  <si>
    <t>Y</t>
  </si>
  <si>
    <t>Part A- OI</t>
  </si>
  <si>
    <t>OTHER INFORMATION</t>
  </si>
  <si>
    <t>Method of accounting employed in the previous year</t>
  </si>
  <si>
    <t xml:space="preserve">Is there any change in method of accounting    </t>
  </si>
  <si>
    <t>Raw Material (if at cost or market rates whichever is less write 1, if at cost write 2, if at market rate write 3)</t>
  </si>
  <si>
    <t>Finished goods (if at cost or market rates whichever is less write 1, if at cost write 2, if at market rate write 3)</t>
  </si>
  <si>
    <t>Is there any change in stock valuation method (Select)</t>
  </si>
  <si>
    <t>Amounts not credited to the profit and loss account, being</t>
  </si>
  <si>
    <t>the items falling within the scope of section 28</t>
  </si>
  <si>
    <t>5a</t>
  </si>
  <si>
    <t>5b</t>
  </si>
  <si>
    <t>escalation claims accepted during the previous year</t>
  </si>
  <si>
    <t>5c</t>
  </si>
  <si>
    <t>Any other item of income</t>
  </si>
  <si>
    <t>5d</t>
  </si>
  <si>
    <t>Capital receipt, if any</t>
  </si>
  <si>
    <t>5e</t>
  </si>
  <si>
    <t>Total of amounts not credited to profit and loss account (5a+5b+5c+5d+5e)</t>
  </si>
  <si>
    <t>5f</t>
  </si>
  <si>
    <t>6e</t>
  </si>
  <si>
    <t>6f</t>
  </si>
  <si>
    <t>g</t>
  </si>
  <si>
    <t>6g</t>
  </si>
  <si>
    <t>h</t>
  </si>
  <si>
    <t>Amount of contribution to a pension scheme referred to in section 80CCD [36(1)(iva)]</t>
  </si>
  <si>
    <t>6h</t>
  </si>
  <si>
    <t>6i</t>
  </si>
  <si>
    <t>j</t>
  </si>
  <si>
    <t>6j</t>
  </si>
  <si>
    <t>k</t>
  </si>
  <si>
    <t>6k</t>
  </si>
  <si>
    <t>l</t>
  </si>
  <si>
    <t>6l</t>
  </si>
  <si>
    <t>m</t>
  </si>
  <si>
    <t>6m</t>
  </si>
  <si>
    <t>n</t>
  </si>
  <si>
    <t>6n</t>
  </si>
  <si>
    <t>o</t>
  </si>
  <si>
    <t>6o</t>
  </si>
  <si>
    <t>p</t>
  </si>
  <si>
    <t>Amount of securities transaction paid in respect of transaction in securities if such income is not included in business income [36(1)(xv)]</t>
  </si>
  <si>
    <t>6p</t>
  </si>
  <si>
    <t>Any other disallowance</t>
  </si>
  <si>
    <t>6q</t>
  </si>
  <si>
    <t>q</t>
  </si>
  <si>
    <t>6r</t>
  </si>
  <si>
    <t>Amounts debited to the profit and loss account, to the extent disallowable under section 37</t>
  </si>
  <si>
    <t>Expenditure of capital nature [37(1)]</t>
  </si>
  <si>
    <t>7a</t>
  </si>
  <si>
    <t>7b</t>
  </si>
  <si>
    <t>Expenditure laid out or expended wholly and exclusively NOT for the purpose of business or profession [37(1)]</t>
  </si>
  <si>
    <t>7c</t>
  </si>
  <si>
    <t>7d</t>
  </si>
  <si>
    <t>7e</t>
  </si>
  <si>
    <t>7f</t>
  </si>
  <si>
    <t>Expenditure incurred for any purpose which is an offence or which is prohibited by law;</t>
  </si>
  <si>
    <t>7g</t>
  </si>
  <si>
    <t>Amount of any liability of a contingent nature</t>
  </si>
  <si>
    <t>7h</t>
  </si>
  <si>
    <t>Any other amount not allowable under section 37</t>
  </si>
  <si>
    <t>Total amount disallowable under section 37(total of 7a to 7i)</t>
  </si>
  <si>
    <t>7j</t>
  </si>
  <si>
    <t>Amounts debited to the profit and loss account, to the extent disallowable under section 40</t>
  </si>
  <si>
    <t>Amount disallowable under section 40 (a)(i), on account of non-compliance with the provisions of Chapter XVII-B</t>
  </si>
  <si>
    <t>Aa</t>
  </si>
  <si>
    <t>Ab</t>
  </si>
  <si>
    <t>Amount disallowable under section 40(a)(ia) on account of non-compliance with the provisions of Chapter XVII-B</t>
  </si>
  <si>
    <t>Amount disallowable under section 40(a)(iii) on account of non-compliance with the provisions of Chapter XVII-B</t>
  </si>
  <si>
    <t>Ac</t>
  </si>
  <si>
    <t>Ad</t>
  </si>
  <si>
    <t>Ae</t>
  </si>
  <si>
    <t>Amount paid by way of royalty, license fee, service fee etc. as per section 40(a)(iib)</t>
  </si>
  <si>
    <t>Af</t>
  </si>
  <si>
    <t>Ag</t>
  </si>
  <si>
    <t>Any amount disallowed under section 40 in any preceding previous year but allowable during the previous year</t>
  </si>
  <si>
    <t>8B</t>
  </si>
  <si>
    <t>Amounts debited to the profit and loss account, to the extent disallowable under section 40A</t>
  </si>
  <si>
    <t>Amounts paid to persons specified in section 40A(2)(b)</t>
  </si>
  <si>
    <t>9a</t>
  </si>
  <si>
    <t>9b</t>
  </si>
  <si>
    <t>9c</t>
  </si>
  <si>
    <t>9d</t>
  </si>
  <si>
    <t>9e</t>
  </si>
  <si>
    <t>9f</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</si>
  <si>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</si>
  <si>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</si>
  <si>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</si>
  <si>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</si>
  <si>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</si>
  <si>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</si>
  <si>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</si>
  <si>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</si>
  <si>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</si>
  <si>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10e</t>
  </si>
  <si>
    <t>Any sum payable towards leave encashment</t>
  </si>
  <si>
    <t>10f</t>
  </si>
  <si>
    <t>10g</t>
  </si>
  <si>
    <t>Any amount debited to profit and loss account of the previous year but disallowable under section 43B:-</t>
  </si>
  <si>
    <t>11a</t>
  </si>
  <si>
    <t>11b</t>
  </si>
  <si>
    <t>11c</t>
  </si>
  <si>
    <t>11d</t>
  </si>
  <si>
    <t>11e</t>
  </si>
  <si>
    <t>11f</t>
  </si>
  <si>
    <t>Amount of credit outstanding in the accounts in respect of</t>
  </si>
  <si>
    <t>Union Excise Duty</t>
  </si>
  <si>
    <t>12a</t>
  </si>
  <si>
    <t>12b</t>
  </si>
  <si>
    <t>VAT/sales tax</t>
  </si>
  <si>
    <t>12c</t>
  </si>
  <si>
    <t>Any other tax</t>
  </si>
  <si>
    <t>12d</t>
  </si>
  <si>
    <t>12e</t>
  </si>
  <si>
    <t>Any amount of profit chargeable to tax under section 41</t>
  </si>
  <si>
    <t>Amount of income or expenditure of prior period credited or debited to the profit and loss account (net)</t>
  </si>
  <si>
    <t>Mercantile</t>
  </si>
  <si>
    <t>Cash</t>
  </si>
  <si>
    <t>Method_of_Accnt</t>
  </si>
  <si>
    <t>1 - Cost or market rate , whichever is less</t>
  </si>
  <si>
    <t>2 - At cost</t>
  </si>
  <si>
    <t>3 - At Market rate</t>
  </si>
  <si>
    <t>Part A – QD</t>
  </si>
  <si>
    <t xml:space="preserve">(a) In the case of a trading concern </t>
  </si>
  <si>
    <t>Item Name</t>
  </si>
  <si>
    <t>Unit</t>
  </si>
  <si>
    <t>Opening stock</t>
  </si>
  <si>
    <t>Closing stock</t>
  </si>
  <si>
    <t>Shortage/ excess, if any</t>
  </si>
  <si>
    <t>(b) In the case of a manufacturing concern - Raw Materials</t>
  </si>
  <si>
    <t>Unit of measure</t>
  </si>
  <si>
    <t>Yield Finished Products</t>
  </si>
  <si>
    <t>101-Gms</t>
  </si>
  <si>
    <t>102-Kilograms</t>
  </si>
  <si>
    <t>103-Litre</t>
  </si>
  <si>
    <t>104-Kilolitre</t>
  </si>
  <si>
    <t>105-Metre</t>
  </si>
  <si>
    <t>106-Kilometre</t>
  </si>
  <si>
    <t>107-Numbers</t>
  </si>
  <si>
    <t>108-Quintal</t>
  </si>
  <si>
    <t>109-Ton</t>
  </si>
  <si>
    <t>110-Pound</t>
  </si>
  <si>
    <t>111-Miligrams</t>
  </si>
  <si>
    <t>112-Carat</t>
  </si>
  <si>
    <t>113-Numbers (1000s)</t>
  </si>
  <si>
    <t>114-Kwatt</t>
  </si>
  <si>
    <t>115-Mwatt</t>
  </si>
  <si>
    <t>116-Inch</t>
  </si>
  <si>
    <t>117-Feet</t>
  </si>
  <si>
    <t>118-Sqft</t>
  </si>
  <si>
    <t>119-Acre</t>
  </si>
  <si>
    <t>120-Cubicft</t>
  </si>
  <si>
    <t>121-Sqmetre</t>
  </si>
  <si>
    <t>122-Cubicmetre</t>
  </si>
  <si>
    <t>999-Residual</t>
  </si>
  <si>
    <t>Part B - TI</t>
  </si>
  <si>
    <t>TOTAL INCOME</t>
  </si>
  <si>
    <t>Profits and gains from business or profession</t>
  </si>
  <si>
    <t>3i</t>
  </si>
  <si>
    <t>3ii</t>
  </si>
  <si>
    <t>3iii</t>
  </si>
  <si>
    <t>Capital gains</t>
  </si>
  <si>
    <t>Short term</t>
  </si>
  <si>
    <t xml:space="preserve">i </t>
  </si>
  <si>
    <t xml:space="preserve">ii </t>
  </si>
  <si>
    <t xml:space="preserve">iii </t>
  </si>
  <si>
    <t>Long term</t>
  </si>
  <si>
    <t>Income from other sources</t>
  </si>
  <si>
    <t>Deductions under Chapter VI-A</t>
  </si>
  <si>
    <t>Income which is included in 14 and chargeable to tax at special rates (total of (i) of schedule SI)</t>
  </si>
  <si>
    <t>Aggregate income (14-15+16) [applicable if (14-15) exceeds maximum amount not chargeable to tax]</t>
  </si>
  <si>
    <t>Part B - TTI</t>
  </si>
  <si>
    <t>Computation of tax liability on total income</t>
  </si>
  <si>
    <t>COMPUTATION OF TAX LIABILITY</t>
  </si>
  <si>
    <t>Tax payable on deemed total income under section 115JC (4 of Schedule AMT)</t>
  </si>
  <si>
    <t>Surcharge on (a) (applicable if 3 of schedule AMT exceeds 1 crore)</t>
  </si>
  <si>
    <t>Education Cess, including secondary and higher education cess on (1a+1b) above</t>
  </si>
  <si>
    <t>Total Tax Payable on deemed total income (1a+1b+1c)</t>
  </si>
  <si>
    <t>Tax payable on total income</t>
  </si>
  <si>
    <t>Tax at normal rates on 17 of Part B-TI</t>
  </si>
  <si>
    <t>2a</t>
  </si>
  <si>
    <t>Tax at special rates (total of (ii) of Schedule-SI)</t>
  </si>
  <si>
    <t>2b</t>
  </si>
  <si>
    <t>Rebate on agricultural income [applicable if (14-15) of Part B-TI exceeds maximum amount not chargeable to tax]</t>
  </si>
  <si>
    <t>Tax Payable on Total Income (2a + 2b-2c)</t>
  </si>
  <si>
    <t>2d</t>
  </si>
  <si>
    <t>Rebate under section 88E (4 of Schedule-STTR)</t>
  </si>
  <si>
    <t xml:space="preserve">Balance Tax Payable (1 -2) </t>
  </si>
  <si>
    <t>Surcharge on 3</t>
  </si>
  <si>
    <t>Rebate under section 87A (applicable if 14 of Part B-TI does not exceed 5 lakh)</t>
  </si>
  <si>
    <t>2e</t>
  </si>
  <si>
    <t>Tax payable after rebate (2d – 2e)</t>
  </si>
  <si>
    <t>2f</t>
  </si>
  <si>
    <t>Surcharge on 2f (applicable if 14 of Part B-TI exceeds 1 crore</t>
  </si>
  <si>
    <t>Education cess, including secondary and higher education cess on (2f + 2g)</t>
  </si>
  <si>
    <t>2h</t>
  </si>
  <si>
    <t>Gross tax liability (2f + 2g + 2h)</t>
  </si>
  <si>
    <t>2i</t>
  </si>
  <si>
    <t>Gross tax payable (higher of 1d and 2i)</t>
  </si>
  <si>
    <t>Credit under section 115JD of tax paid in earlier years (applicable if 2i is more than 1d) (5 of Schedule AMTC)</t>
  </si>
  <si>
    <t>Tax payable after credit under section 115JD (3 - 4)</t>
  </si>
  <si>
    <t xml:space="preserve">Tax relief  </t>
  </si>
  <si>
    <t>Section 89</t>
  </si>
  <si>
    <t>Section 90/ 90A ( 2 of Schedule TR)</t>
  </si>
  <si>
    <t>Section 91 ( 3 of Schedule TR)</t>
  </si>
  <si>
    <t>Total (6a + 6b + 6c)</t>
  </si>
  <si>
    <t>8a</t>
  </si>
  <si>
    <t>8b</t>
  </si>
  <si>
    <t>8c</t>
  </si>
  <si>
    <t>8d</t>
  </si>
  <si>
    <t>TAXES PAID</t>
  </si>
  <si>
    <t>Taxes Paid</t>
  </si>
  <si>
    <t>Total Taxes Paid (10a+10b+10c + 10d)</t>
  </si>
  <si>
    <t>Amount payable (Enter if 9 is greater than 10e, else enter 0)</t>
  </si>
  <si>
    <t>Enter your bank account number (, the number should be 9 digits or more as per CBS system of the bank )</t>
  </si>
  <si>
    <t xml:space="preserve">Select Yes  if you want your refund by direct  deposit into your bank account, Select No if you want refund by Cheque. </t>
  </si>
  <si>
    <t>IFS Code of the bank</t>
  </si>
  <si>
    <t>Type of account(select)</t>
  </si>
  <si>
    <t>I, (full name in block letters),</t>
  </si>
  <si>
    <t xml:space="preserve">son/ daughter of </t>
  </si>
  <si>
    <t>Sign here</t>
  </si>
  <si>
    <t xml:space="preserve">    (Date)</t>
  </si>
  <si>
    <t>If the return has been prepared by a Tax Return Preparer (TRP) give further details below:</t>
  </si>
  <si>
    <t>Identification No. of TRP</t>
  </si>
  <si>
    <t>Counter Signature of TRP</t>
  </si>
  <si>
    <t>Name of TRP</t>
  </si>
  <si>
    <t>If TRP is entitled for any reimbursement from the Government, amount thereof……………</t>
  </si>
  <si>
    <t>Schedule S</t>
  </si>
  <si>
    <t xml:space="preserve">Name of Employer </t>
  </si>
  <si>
    <t>Address of employer</t>
  </si>
  <si>
    <t>Town/City</t>
  </si>
  <si>
    <t>Pin code</t>
  </si>
  <si>
    <t>Total</t>
  </si>
  <si>
    <t>SCH HP</t>
  </si>
  <si>
    <t>Town/ City</t>
  </si>
  <si>
    <t>PIN Code</t>
  </si>
  <si>
    <t>S.No</t>
  </si>
  <si>
    <t>The amount of rent which cannot be realized</t>
  </si>
  <si>
    <t>Tax paid to local authorities</t>
  </si>
  <si>
    <t>Total (b + c)</t>
  </si>
  <si>
    <t>Annual value (a – d) (nil, if self -occupied etc. as per section 23(2)of the Act)</t>
  </si>
  <si>
    <t>Annual value of the property owned (own percentage share x e)</t>
  </si>
  <si>
    <t>30% of f</t>
  </si>
  <si>
    <t xml:space="preserve">Interest payable on borrowed capital </t>
  </si>
  <si>
    <t>Total (g + h)</t>
  </si>
  <si>
    <t>Schedule BP</t>
  </si>
  <si>
    <t>Computation of income from business or profession</t>
  </si>
  <si>
    <t>INCOME FROM BUSINESS OR PROFESSION</t>
  </si>
  <si>
    <t>From business or profession other than speculative business or specified business</t>
  </si>
  <si>
    <t>Net profit or Loss from Specified Business u/s 35AD included in 1 (enter –ve sign in case of loss)</t>
  </si>
  <si>
    <t>Salary</t>
  </si>
  <si>
    <t>3a</t>
  </si>
  <si>
    <t>3b</t>
  </si>
  <si>
    <t>Capital Gains</t>
  </si>
  <si>
    <t>Other Sources</t>
  </si>
  <si>
    <t>3d</t>
  </si>
  <si>
    <t>share of income from firm(s)</t>
  </si>
  <si>
    <t>Share of income from AOP/ BOI</t>
  </si>
  <si>
    <t>Expenses debited to profit and loss account which relate to exempt income</t>
  </si>
  <si>
    <t>Adjusted profit or loss (6+9)</t>
  </si>
  <si>
    <t>Depreciation allowable under Income-tax Act</t>
  </si>
  <si>
    <t>Depreciation allowable under section 32(1)(ii) and 32(1)(iia) (item 6 of Schedule-DEP)</t>
  </si>
  <si>
    <t>12i</t>
  </si>
  <si>
    <t>Depreciation allowable under section 32(1)(i) (Make your own computation refer Appendix IA of IncomeTax Rules)</t>
  </si>
  <si>
    <t>12ii</t>
  </si>
  <si>
    <t>Total (12i + 12ii)</t>
  </si>
  <si>
    <t>12iii</t>
  </si>
  <si>
    <t>Profit or loss after adjustment for depreciation (10 +11 - 12iii)</t>
  </si>
  <si>
    <t>Interest disallowable under section 23 of the Micro, Small and Medium Enterprises Development Act,2006</t>
  </si>
  <si>
    <t>Deemed income under section 41</t>
  </si>
  <si>
    <t>Deemed income under section 43CA</t>
  </si>
  <si>
    <t>Deduction allowable under section 32(1)(iii)</t>
  </si>
  <si>
    <t>Amount of deduction under section 35 or 35CCC or 35CCD in excess of the amount debited to profit and loss account (item X(4) of Schedule ESR) (if amount deductible under section 35 or 35CCC or 35CCD is lower than amount debited to P&amp;L account, it will go to item 24)</t>
  </si>
  <si>
    <t>Deduction under section 35AC</t>
  </si>
  <si>
    <t>Amount, if any, debited to profit and loss account</t>
  </si>
  <si>
    <t>Amount allowable as deduction</t>
  </si>
  <si>
    <t>Any other amount allowable as deduction</t>
  </si>
  <si>
    <t>Profits and gains of business or profession deemed to be under -</t>
  </si>
  <si>
    <t>Section 44B</t>
  </si>
  <si>
    <t>Section 44BB</t>
  </si>
  <si>
    <t>Section 44BBA</t>
  </si>
  <si>
    <t>Section 44BBB</t>
  </si>
  <si>
    <t>Section 44D</t>
  </si>
  <si>
    <t>Section 44DA</t>
  </si>
  <si>
    <t>Chapter-XII-G</t>
  </si>
  <si>
    <t>Profit or loss before deduction under section 10A/10AA (32 + 33xii)</t>
  </si>
  <si>
    <t>10A (6 of Schedule-10A)</t>
  </si>
  <si>
    <t>35i</t>
  </si>
  <si>
    <t>10AA (d of Schedule-10AA)</t>
  </si>
  <si>
    <t>35ii</t>
  </si>
  <si>
    <t>10B (f of Schedule-10B)</t>
  </si>
  <si>
    <t>35iii</t>
  </si>
  <si>
    <t>10BA (f of Schedule-10BA)</t>
  </si>
  <si>
    <t>35iv</t>
  </si>
  <si>
    <t>Total (35i + 35ii)</t>
  </si>
  <si>
    <t>Computation of income from speculative business</t>
  </si>
  <si>
    <t>Additions in accordance with section 28 to 44DA</t>
  </si>
  <si>
    <t>Deductions in accordance with section 28 to 44DA</t>
  </si>
  <si>
    <t>Computation of income from specified business under section 35AD</t>
  </si>
  <si>
    <t xml:space="preserve">Net profit or loss from specified business as per profit or loss account </t>
  </si>
  <si>
    <t xml:space="preserve">Deductions in accordance with section 28 to 44DA (other than deduction under section,- (i) 35AD, (ii)32 or 35 on which deduction u/s 35AD is claimed) </t>
  </si>
  <si>
    <t>NOTE</t>
  </si>
  <si>
    <t>Please include the income of the specified persons referred to in Schedule SPI while computing the income under this head</t>
  </si>
  <si>
    <t>Intra head set off of business loss of current year</t>
  </si>
  <si>
    <t>Business income remaining after set off  (3) = (1)-(2)</t>
  </si>
  <si>
    <t>(i) Loss to be set off (Fill this row only if figure is negative)</t>
  </si>
  <si>
    <t>(ii) Income from speculative business</t>
  </si>
  <si>
    <t>(iii) Income from specified business</t>
  </si>
  <si>
    <t>(iv) Total loss set off (ii + iii)</t>
  </si>
  <si>
    <t>(v) Loss remaining after set off (i – iv)</t>
  </si>
  <si>
    <t>Schedule DPM</t>
  </si>
  <si>
    <t>DEPRECIATION ON PLANT AND MACHINERY</t>
  </si>
  <si>
    <t xml:space="preserve">Block of assets </t>
  </si>
  <si>
    <t xml:space="preserve">Plant and machinery </t>
  </si>
  <si>
    <t xml:space="preserve">Rate (%) </t>
  </si>
  <si>
    <t xml:space="preserve">(i) </t>
  </si>
  <si>
    <t xml:space="preserve">(ii) </t>
  </si>
  <si>
    <t xml:space="preserve">(iii) </t>
  </si>
  <si>
    <t xml:space="preserve">(iv) </t>
  </si>
  <si>
    <t xml:space="preserve">(v) </t>
  </si>
  <si>
    <t xml:space="preserve">(vi) </t>
  </si>
  <si>
    <t xml:space="preserve">(vii) </t>
  </si>
  <si>
    <t xml:space="preserve">Written down value on the first day of previous year   </t>
  </si>
  <si>
    <t xml:space="preserve">Additions for a period of 180 days or more in the previous year </t>
  </si>
  <si>
    <t>Consideration or other realization during the previous year out of  3 or  4</t>
  </si>
  <si>
    <t xml:space="preserve">Additions for a period of less than 180 days in the previous year   </t>
  </si>
  <si>
    <t xml:space="preserve">Consideration or other realizations during the year out of 7 </t>
  </si>
  <si>
    <t>Amount on which depreciation at half rate to be allowed (7 – 8)     (Enter 0, if result is negative)</t>
  </si>
  <si>
    <t xml:space="preserve">Depreciation on 6 at full rate  </t>
  </si>
  <si>
    <t xml:space="preserve">Depreciation on 9 at half rate </t>
  </si>
  <si>
    <t xml:space="preserve">Additional depreciation, if any, on 4 </t>
  </si>
  <si>
    <t xml:space="preserve">Additional depreciation, if any, on 7 </t>
  </si>
  <si>
    <t xml:space="preserve">Expenditure incurred in connection with transfer of asset/ assets </t>
  </si>
  <si>
    <t xml:space="preserve">Block Ceases to Exist. Select Y / N </t>
  </si>
  <si>
    <t>N</t>
  </si>
  <si>
    <t xml:space="preserve">Schedule DOA </t>
  </si>
  <si>
    <t xml:space="preserve">Depreciation on other assets(Other than assets on which full capital expenditure is allowable as deduction) </t>
  </si>
  <si>
    <t>DEPRECIATION ON OTHER ASSETS</t>
  </si>
  <si>
    <t>Furniture and fittings</t>
  </si>
  <si>
    <t xml:space="preserve">Ships </t>
  </si>
  <si>
    <t xml:space="preserve">Written down value on the first day of previous year  </t>
  </si>
  <si>
    <t xml:space="preserve">Additions for a period of 180 days or more in the previous year  </t>
  </si>
  <si>
    <t xml:space="preserve">Consideration or other realization during the previous year out of  3 or  4  </t>
  </si>
  <si>
    <t>Amount  on which depreciation  at  full rate to be allowed (3 + 4  -5)     (Enter 0, if result is negative)</t>
  </si>
  <si>
    <t xml:space="preserve">Additions for a period of less than 180 days in the previous year    </t>
  </si>
  <si>
    <t>Amount  on  which depreciation at half rate to be allowed (7-8)    (Enter 0, if result is negative)</t>
  </si>
  <si>
    <t>Sch DEP</t>
  </si>
  <si>
    <t>SUMMARY OF DEPRECIATION ON ASSETS</t>
  </si>
  <si>
    <t xml:space="preserve">a </t>
  </si>
  <si>
    <t xml:space="preserve">b </t>
  </si>
  <si>
    <t xml:space="preserve">c </t>
  </si>
  <si>
    <t xml:space="preserve">d </t>
  </si>
  <si>
    <t xml:space="preserve">e </t>
  </si>
  <si>
    <t xml:space="preserve">f </t>
  </si>
  <si>
    <t>1f</t>
  </si>
  <si>
    <t xml:space="preserve">g </t>
  </si>
  <si>
    <t>1g</t>
  </si>
  <si>
    <t xml:space="preserve">Total depreciation on building (2a+2b+2c) </t>
  </si>
  <si>
    <t>Sch DCG</t>
  </si>
  <si>
    <t>Deemed Capital Gains on sale of depreciable assets</t>
  </si>
  <si>
    <t xml:space="preserve">Total ( 2a + 2b + 2c) </t>
  </si>
  <si>
    <t>Schedule ESR</t>
  </si>
  <si>
    <t>Sl No</t>
  </si>
  <si>
    <t>Expenditure of the nature referred to in section (1)</t>
  </si>
  <si>
    <t>Amount, if any, debited to profit and loss account (2)</t>
  </si>
  <si>
    <t>Amount of deduction allowable (3)</t>
  </si>
  <si>
    <t>Amount of deduction in excess of the amount debited to profit and loss account (4) = (3) - (2)</t>
  </si>
  <si>
    <t>35(1)(i)</t>
  </si>
  <si>
    <t>35(1)(ii)</t>
  </si>
  <si>
    <t>35(1)(iia)</t>
  </si>
  <si>
    <t>35(1)(iii)</t>
  </si>
  <si>
    <t>35(1)(iv)</t>
  </si>
  <si>
    <t>35(2AA)</t>
  </si>
  <si>
    <t>35(2AB)</t>
  </si>
  <si>
    <t>35CCC</t>
  </si>
  <si>
    <t>35CCD</t>
  </si>
  <si>
    <t>Schedule CG</t>
  </si>
  <si>
    <t>CAPITAL GAINS</t>
  </si>
  <si>
    <t>Full value of consideration received/receivable</t>
  </si>
  <si>
    <t>Value of property as per stamp valuation authority</t>
  </si>
  <si>
    <t>Deductions under section 48</t>
  </si>
  <si>
    <t>Cost of acquisition without indexation</t>
  </si>
  <si>
    <t>Cost of Improvement without indexation</t>
  </si>
  <si>
    <t>Expenditure wholly and exclusively in connection with transfer</t>
  </si>
  <si>
    <t>Balance (aiii – biv)</t>
  </si>
  <si>
    <t>di</t>
  </si>
  <si>
    <t>Deduction under section 54B(Specify details in item Dbelow)</t>
  </si>
  <si>
    <t>dii</t>
  </si>
  <si>
    <t>Deduction under section 54D(Specify details in item Dbelow)</t>
  </si>
  <si>
    <t>Deduction under section 54G(Specify details in item Dbelow)</t>
  </si>
  <si>
    <t>div</t>
  </si>
  <si>
    <t>Deduction under section 54GA(Specify details in item Dbelow)</t>
  </si>
  <si>
    <t>Total Deduction under section 54B/54D/54G/54GA</t>
  </si>
  <si>
    <t>Short-term Capital Gains on Immovable property (1c - 1d)</t>
  </si>
  <si>
    <t>A1e</t>
  </si>
  <si>
    <t>From Slump sale</t>
  </si>
  <si>
    <t xml:space="preserve">Full value of consideration </t>
  </si>
  <si>
    <t>Net worth of the under taking or division</t>
  </si>
  <si>
    <t>A2c</t>
  </si>
  <si>
    <t xml:space="preserve">ia </t>
  </si>
  <si>
    <t>3ia</t>
  </si>
  <si>
    <t xml:space="preserve">ib </t>
  </si>
  <si>
    <t xml:space="preserve">Deductions under section 48 </t>
  </si>
  <si>
    <t xml:space="preserve">iv </t>
  </si>
  <si>
    <t xml:space="preserve">Total  ( i + ii + iii) </t>
  </si>
  <si>
    <t>ibiv</t>
  </si>
  <si>
    <t xml:space="preserve">ic </t>
  </si>
  <si>
    <t xml:space="preserve">Balance (3a – 3biv) </t>
  </si>
  <si>
    <t>3ic</t>
  </si>
  <si>
    <t xml:space="preserve">id </t>
  </si>
  <si>
    <t>Loss to be disallowed u/s 94(7) or 94(8)- for example if asset bought/acquired within 3 months prior to record date and dividend/income/bonus units are received, then loss arising out of sale of such asset to be ignored (Enter positive value only)</t>
  </si>
  <si>
    <t>3id</t>
  </si>
  <si>
    <t xml:space="preserve">ie </t>
  </si>
  <si>
    <t>A3ie</t>
  </si>
  <si>
    <t xml:space="preserve">iia </t>
  </si>
  <si>
    <t>3iia</t>
  </si>
  <si>
    <t xml:space="preserve">iib </t>
  </si>
  <si>
    <t>iibiv</t>
  </si>
  <si>
    <t xml:space="preserve">iic </t>
  </si>
  <si>
    <t>3iic</t>
  </si>
  <si>
    <t xml:space="preserve">iid </t>
  </si>
  <si>
    <t>3iid</t>
  </si>
  <si>
    <t xml:space="preserve">iie </t>
  </si>
  <si>
    <t>A3iie</t>
  </si>
  <si>
    <t>From sale of assets other than at A1 or A2 or A3 or A4 or A5 above</t>
  </si>
  <si>
    <t>In case of asset (security/unit)loss to be disallowed u/s 94(7) or 94(8)- for example if asset bought/acquired within 3 months prior to record date and dividend/income/bonus units are received, then loss arising out of sale of such asset to be under (Enter positive value only)</t>
  </si>
  <si>
    <t>Deduction under section 54D (Specify details in item Dbelow)</t>
  </si>
  <si>
    <t>Deduction under section 54G (Specify details in item Dbelow)</t>
  </si>
  <si>
    <t>Deduction under section 54GA (Specify details in item Dbelow)</t>
  </si>
  <si>
    <t>Deduction under section 54D/G/GA</t>
  </si>
  <si>
    <t>Amount deemed to be short term capital gains under sections 54B/54D/54G/54GA</t>
  </si>
  <si>
    <t>Amount deemed to be short term capital gains under sections 54B</t>
  </si>
  <si>
    <t xml:space="preserve"> Amount deemed to be short term capital gains under sections 54D</t>
  </si>
  <si>
    <t xml:space="preserve"> Amount deemed to be short term capital gains under sections 54G</t>
  </si>
  <si>
    <t xml:space="preserve"> Amount deemed to be short term capital gains under sections 54GA</t>
  </si>
  <si>
    <t>Total Amount deemed to be short term capital gains under sections 54B/54D/54G/54GA</t>
  </si>
  <si>
    <t>A7</t>
  </si>
  <si>
    <t>Deemed short term capital gains on depreciable assets (6 of schedule- DCG)</t>
  </si>
  <si>
    <t>A8</t>
  </si>
  <si>
    <t>A9</t>
  </si>
  <si>
    <t>Long-term Capital Gains</t>
  </si>
  <si>
    <t>Cost of acquisition with indexation</t>
  </si>
  <si>
    <t>Cost of Improvement with indexation</t>
  </si>
  <si>
    <t>Deduction under section 54 (Specify details in item D below)</t>
  </si>
  <si>
    <t>Deduction under section 54B (Specify details in item D below)</t>
  </si>
  <si>
    <t>Deduction under section 54D (Specify details in item D below)</t>
  </si>
  <si>
    <t>Deduction under section 54EC (Specify details in item D below)</t>
  </si>
  <si>
    <t>dv</t>
  </si>
  <si>
    <t>Deduction under section 54F  (Specify details in item D below)</t>
  </si>
  <si>
    <t>dvi</t>
  </si>
  <si>
    <t>Deduction under section 54G (Specify details in item D below)</t>
  </si>
  <si>
    <t>dvii</t>
  </si>
  <si>
    <t>Deduction under section 54GA (Specify details in item D below)</t>
  </si>
  <si>
    <t>dviii</t>
  </si>
  <si>
    <t>Deduction under section 54GB  (Specify details in item D below)</t>
  </si>
  <si>
    <t>Long-term Capital Gains on Immovable property (1c - 1d)</t>
  </si>
  <si>
    <t>B1e</t>
  </si>
  <si>
    <t>Deduction u/s 54EC (Specify details in item D below)</t>
  </si>
  <si>
    <t>Deduction u/s 54F (Specify details in item D below)</t>
  </si>
  <si>
    <t>Long term capital gains from slump sale (2c-2d)</t>
  </si>
  <si>
    <t>B2e</t>
  </si>
  <si>
    <t>From sale of bonds or debenture (other than capital indexed bonds issued by Government)</t>
  </si>
  <si>
    <t>Full value of consideration</t>
  </si>
  <si>
    <t>Cost of improvement without indexation</t>
  </si>
  <si>
    <t>Total (bi + bii +biii)</t>
  </si>
  <si>
    <t>Balance (3a – biv)</t>
  </si>
  <si>
    <t>Deduction under sections 54EC (Specify details in item D below)</t>
  </si>
  <si>
    <t>Deduction under sections 54F(Specify details in item D below)</t>
  </si>
  <si>
    <t>LTCG on bonds or debenture (3c – 3d)</t>
  </si>
  <si>
    <t>B3e</t>
  </si>
  <si>
    <t>ia</t>
  </si>
  <si>
    <t>ib</t>
  </si>
  <si>
    <t>ic</t>
  </si>
  <si>
    <t>Deduction under sections 54EC(Specify details in item D below)</t>
  </si>
  <si>
    <t>id</t>
  </si>
  <si>
    <t>From sale of GDR of an Indian company referred in sec. 115ACA</t>
  </si>
  <si>
    <t>Long-term Capital Gains on assets at B4 above (4c – 4d)</t>
  </si>
  <si>
    <t>B4iie</t>
  </si>
  <si>
    <t>LTCG computed without indexation benefit</t>
  </si>
  <si>
    <t>For NON-RESIDENTS- from sale of unlisted securities as per sec. 112(1)(c)</t>
  </si>
  <si>
    <t>For NON-RESIDENTS- from sale of  bonds or GDR as referred in sec. 115AC</t>
  </si>
  <si>
    <t>iia</t>
  </si>
  <si>
    <t>iib</t>
  </si>
  <si>
    <t>iic</t>
  </si>
  <si>
    <t>iid</t>
  </si>
  <si>
    <t xml:space="preserve">iiie </t>
  </si>
  <si>
    <t>From sale of foreign exchange asset by NON-RESIDENT INDIAN (If opted under chapter XII-A)</t>
  </si>
  <si>
    <t>LTCG on sale of specified asset (computed without indexation)</t>
  </si>
  <si>
    <t>B7c</t>
  </si>
  <si>
    <t>LTCG on sale of asset, other than specified asset (computed without indexation)</t>
  </si>
  <si>
    <t>Less deduction under section 115F(Specify details in item D below)</t>
  </si>
  <si>
    <t>B7f</t>
  </si>
  <si>
    <t>Cost of improvement with indexation</t>
  </si>
  <si>
    <t>Deduction under sections 54D (Specify details in item D below)</t>
  </si>
  <si>
    <t>Deduction under sections 54F (Specify details in item D below)</t>
  </si>
  <si>
    <t>Deduction under sections 54G (Specify details in item D below)</t>
  </si>
  <si>
    <t>Deduction under sections 54GA (Specify details in item D below)</t>
  </si>
  <si>
    <t>B8e</t>
  </si>
  <si>
    <t>Amount deemed to be LTCG under sections 54</t>
  </si>
  <si>
    <t>Amount deemed to be LTCG under sections 54B</t>
  </si>
  <si>
    <t>Amount deemed to be LTCG under sections 54D</t>
  </si>
  <si>
    <t>Amount deemed to be LTCG under sections 54EC</t>
  </si>
  <si>
    <t>Amount deemed to be LTCG under sections 54F</t>
  </si>
  <si>
    <t>Amount deemed to be LTCG under sections 54G</t>
  </si>
  <si>
    <t>Amount deemed to be LTCG under sections 54GA</t>
  </si>
  <si>
    <t>Amount deemed to be LTCG under sections 54GB</t>
  </si>
  <si>
    <t>Amount deemed to be LTCG under sections 115F</t>
  </si>
  <si>
    <t>Total Amount deemed to be LTCG under sections 54/54B/54D/54EC/54F/54G/54GA/54GB/115F</t>
  </si>
  <si>
    <t>B9</t>
  </si>
  <si>
    <t>B10</t>
  </si>
  <si>
    <t>STCG on transactions on which securities transaction tax (STT) is paid</t>
  </si>
  <si>
    <t>A4a</t>
  </si>
  <si>
    <t>STCG on transactions on which securities transaction tax (STT) is not paid</t>
  </si>
  <si>
    <t>A4b</t>
  </si>
  <si>
    <t>Loss to be disallowed u/s 94(7) or 94(8)- for example if security bought/acquired within 3 months prior to record date and dividend/income/bonus units are received, then loss arising out of sale of such security to be ignored (Enter positive value only)</t>
  </si>
  <si>
    <t>A5e</t>
  </si>
  <si>
    <t>Section</t>
  </si>
  <si>
    <t>Amount of Deduction</t>
  </si>
  <si>
    <t>Cost of New Asset</t>
  </si>
  <si>
    <t>Amount deposited in Capital Gains Accounts Scheme before due date</t>
  </si>
  <si>
    <t>In case of deduction u/s 54GB, furnish PAN of the company</t>
  </si>
  <si>
    <t>Type of Capital Gain</t>
  </si>
  <si>
    <t>applicable rate</t>
  </si>
  <si>
    <t>Short term capital gain</t>
  </si>
  <si>
    <t>Long term capital gain</t>
  </si>
  <si>
    <t>Loss remaining after set off
(i – vii)</t>
  </si>
  <si>
    <t>F</t>
  </si>
  <si>
    <t>Information about accrual/receipt of capital gain</t>
  </si>
  <si>
    <t>Type of Capital gain / Date</t>
  </si>
  <si>
    <t>OTHER SOURCES</t>
  </si>
  <si>
    <t xml:space="preserve">Rental income from machinery, plants, buildings, etc., Gross </t>
  </si>
  <si>
    <t xml:space="preserve">Total  </t>
  </si>
  <si>
    <t>1i</t>
  </si>
  <si>
    <t xml:space="preserve">Income from the activity of owning and maintaining race horses </t>
  </si>
  <si>
    <t xml:space="preserve">Receipts </t>
  </si>
  <si>
    <t xml:space="preserve">NOTE  </t>
  </si>
  <si>
    <t>Schedule CYLA</t>
  </si>
  <si>
    <t>Details of Income after set-off of current years losses</t>
  </si>
  <si>
    <t>CURRENT YEAR LOSS ADJUSTMENT</t>
  </si>
  <si>
    <t>Sl.No</t>
  </si>
  <si>
    <t>Head/ Source of Income</t>
  </si>
  <si>
    <t>Income of current year (Fill this column only if income is zero or positive)</t>
  </si>
  <si>
    <t>House property loss of the current year set off</t>
  </si>
  <si>
    <t xml:space="preserve">Other sources loss (other
than loss from owning
race horses) of the
current year set off
</t>
  </si>
  <si>
    <t>Current year’s
Income remaining
after set off</t>
  </si>
  <si>
    <t>5=1-2-3-4</t>
  </si>
  <si>
    <t>Salaries</t>
  </si>
  <si>
    <t>House property</t>
  </si>
  <si>
    <t>Business  Income (excluding speculation profit and income  from specified business)</t>
  </si>
  <si>
    <t>Speculative Income</t>
  </si>
  <si>
    <t>Specified Business Income</t>
  </si>
  <si>
    <t>Short-term capital gain taxable @ 15%</t>
  </si>
  <si>
    <t>Short-term capital gain taxable @ 30%</t>
  </si>
  <si>
    <t>Short-term capital gain taxable @ applicable rates</t>
  </si>
  <si>
    <t>Long term capital gain taxable @ 10%</t>
  </si>
  <si>
    <t>Long term capital gain taxable @ 20%</t>
  </si>
  <si>
    <t>xiii</t>
  </si>
  <si>
    <t>Total loss set-off</t>
  </si>
  <si>
    <t>xiv</t>
  </si>
  <si>
    <t>Schedule BFLA</t>
  </si>
  <si>
    <t>Details of Income after Set off of Brought Forward Losses of earlier years</t>
  </si>
  <si>
    <t>BROUGHT FORWARD LOSS ADJUSTMENT</t>
  </si>
  <si>
    <t>Sl.
No.</t>
  </si>
  <si>
    <t>Income after set off, if
any, of current year’s
losses as per 5 of
Schedule CYLA)</t>
  </si>
  <si>
    <t>Brought forward loss
set off</t>
  </si>
  <si>
    <t>Brought forward
depreciation set off</t>
  </si>
  <si>
    <t>Brought forward
allowance under section
35(4) set off</t>
  </si>
  <si>
    <t>Current year’s
income remaining
after set off</t>
  </si>
  <si>
    <t>Profit from owning and maintaining race horses</t>
  </si>
  <si>
    <t>Schedule CFL</t>
  </si>
  <si>
    <t>Details of Losses to be carried forward to future Years</t>
  </si>
  <si>
    <t>CARRY FORWARD OF LOSS</t>
  </si>
  <si>
    <t>r</t>
  </si>
  <si>
    <t>2006-07</t>
  </si>
  <si>
    <t>2007-08</t>
  </si>
  <si>
    <t>2008-09</t>
  </si>
  <si>
    <t>2010-11</t>
  </si>
  <si>
    <t>2011-12</t>
  </si>
  <si>
    <t>2012-13</t>
  </si>
  <si>
    <t>2013-14</t>
  </si>
  <si>
    <t>Total of earlier year losses b/f</t>
  </si>
  <si>
    <t>Adjustment of above losses in Schedule BFLA</t>
  </si>
  <si>
    <t>Total loss Carried
Forward to future
years</t>
  </si>
  <si>
    <t>Schedule UD</t>
  </si>
  <si>
    <t>Unabsorbed depreciation and allowance under section 35(4)</t>
  </si>
  <si>
    <t>Allowance under section 35(4)</t>
  </si>
  <si>
    <t>Amount of brought forward unabsorbed depreciation
 (3)</t>
  </si>
  <si>
    <t>Amount of depreciation set-off against the current year income
(4)</t>
  </si>
  <si>
    <t>Balance Carried forward to the next year 
(5)</t>
  </si>
  <si>
    <t>Amount of brought forward unabsorbed allowance
 (6)</t>
  </si>
  <si>
    <t>Amount of allowance  set-off against the current year income
(7)</t>
  </si>
  <si>
    <t>Balance Carried forward to the next year 
(8)</t>
  </si>
  <si>
    <t>2014-15</t>
  </si>
  <si>
    <t>Schedule 10A</t>
  </si>
  <si>
    <t>Deduction under section 10A</t>
  </si>
  <si>
    <t xml:space="preserve">Deductions in respect of units located in Special Economic Zone </t>
  </si>
  <si>
    <t>Amount of 
deduction</t>
  </si>
  <si>
    <t>Total Deductions under Section 10A</t>
  </si>
  <si>
    <t>Schedule 10AA</t>
  </si>
  <si>
    <t>Deduction under section 10AA</t>
  </si>
  <si>
    <t>DEDUCTION U/S 10AA</t>
  </si>
  <si>
    <t>Deductions in respect of units located in Special Economic Zone</t>
  </si>
  <si>
    <t>Schedule 80-IA</t>
  </si>
  <si>
    <t>Deductions under section 80-IA</t>
  </si>
  <si>
    <t>Deduction in respect of profits of an undertaking referred to in section 80-IA(4)(ii) [Telecommunication services]</t>
  </si>
  <si>
    <t>Deduction in respect of profits of an undertaking referred to in section 80-IA(4)(iii) [Industrial park and SEZs]</t>
  </si>
  <si>
    <t>Deduction in respect of profits of an undertaking referred to in section 80-IA(4)(iv) [Power]</t>
  </si>
  <si>
    <t>Schedule 80-IB</t>
  </si>
  <si>
    <t>Deductions under section 80-IB</t>
  </si>
  <si>
    <t xml:space="preserve">Deduction in respect of industrial undertaking located in industrially backward states specified in Eighth Schedule [Section 80-IB(4)] </t>
  </si>
  <si>
    <t xml:space="preserve">Deduction in respect of industrial undertaking located in industrially backward districts [Section 80-IB(5)]  </t>
  </si>
  <si>
    <t xml:space="preserve">Deduction in the case of multiplex theatre [Section 80-IB(7A)] </t>
  </si>
  <si>
    <t>Deduction in the case of convention centre [Section 80-IB(7B)]</t>
  </si>
  <si>
    <t xml:space="preserve">Deduction in the case of undertaking which begins commercial production or refining of mineral oil [Section 80-IB(9)]    </t>
  </si>
  <si>
    <t xml:space="preserve">Deduction in the case of an undertaking engaged in operating and maintaining a rural hospital [Section 80-IB(11B)] </t>
  </si>
  <si>
    <t>Schedule 80-IC or 80-IE</t>
  </si>
  <si>
    <t>Deductions under section 80-IC or 80-IE</t>
  </si>
  <si>
    <t xml:space="preserve">Deduction in respect of industrial undertaking located in  North-East </t>
  </si>
  <si>
    <t xml:space="preserve">Assam </t>
  </si>
  <si>
    <t xml:space="preserve">Arunachal Pradesh </t>
  </si>
  <si>
    <t xml:space="preserve">Manipur </t>
  </si>
  <si>
    <t xml:space="preserve">Mizoram </t>
  </si>
  <si>
    <t xml:space="preserve">Meghalaya </t>
  </si>
  <si>
    <t xml:space="preserve">Nagaland </t>
  </si>
  <si>
    <t xml:space="preserve">Tripura </t>
  </si>
  <si>
    <t>Schedule VI-A</t>
  </si>
  <si>
    <t>TOTAL
DEDUCTIONS</t>
  </si>
  <si>
    <t>1. Part B- Deduction in respect of certain payments</t>
  </si>
  <si>
    <t>System Calculated</t>
  </si>
  <si>
    <t>80CCF</t>
  </si>
  <si>
    <t>80D</t>
  </si>
  <si>
    <t>80DD</t>
  </si>
  <si>
    <t>80DDB</t>
  </si>
  <si>
    <t>2. Part C- Deduction in respect of certain incomes</t>
  </si>
  <si>
    <t>80ID</t>
  </si>
  <si>
    <t>s</t>
  </si>
  <si>
    <t>t</t>
  </si>
  <si>
    <t>u</t>
  </si>
  <si>
    <t>3. Part CA and D Deduction in respect of certain incomes / other Deductions</t>
  </si>
  <si>
    <t>w</t>
  </si>
  <si>
    <t>80U</t>
  </si>
  <si>
    <t>Schedule 80G</t>
  </si>
  <si>
    <t xml:space="preserve">Donations entitled for 100% deduction without qualifying limit </t>
  </si>
  <si>
    <t>Name of donee</t>
  </si>
  <si>
    <t>Address</t>
  </si>
  <si>
    <t>City or Town or District</t>
  </si>
  <si>
    <t>State Code</t>
  </si>
  <si>
    <t>PinCode</t>
  </si>
  <si>
    <t>PAN of Donee</t>
  </si>
  <si>
    <t>Amount of donation</t>
  </si>
  <si>
    <t>Eligible Amount of Donation</t>
  </si>
  <si>
    <t>Donations entitled for 50% deduction without qualifying limit</t>
  </si>
  <si>
    <t>Donations entitled for 100% deduction subject to qualifying limit</t>
  </si>
  <si>
    <t>City Or Town Or District</t>
  </si>
  <si>
    <t>Donations entitled for 50% deduction subject to qualifying limit</t>
  </si>
  <si>
    <t>Schedule SPI</t>
  </si>
  <si>
    <t>Name of person</t>
  </si>
  <si>
    <t>Relationship</t>
  </si>
  <si>
    <t>Nature of Income</t>
  </si>
  <si>
    <t>Amount (Rs)</t>
  </si>
  <si>
    <t>Schedule SI</t>
  </si>
  <si>
    <t>SPECIAL RATE</t>
  </si>
  <si>
    <t>Sl
No</t>
  </si>
  <si>
    <t>Special rate
(%)</t>
  </si>
  <si>
    <t>5A1ai</t>
  </si>
  <si>
    <t>5A1aii</t>
  </si>
  <si>
    <t>5A1aiia</t>
  </si>
  <si>
    <t>5A1aiiaa</t>
  </si>
  <si>
    <t>5A1aiiab</t>
  </si>
  <si>
    <t>5A1aiii</t>
  </si>
  <si>
    <t>FA</t>
  </si>
  <si>
    <t>5A1bA</t>
  </si>
  <si>
    <t>5A1bB</t>
  </si>
  <si>
    <t>5ACA1a</t>
  </si>
  <si>
    <t>5AD1i</t>
  </si>
  <si>
    <t>5AD1iP</t>
  </si>
  <si>
    <t>5BB</t>
  </si>
  <si>
    <t>5BBA</t>
  </si>
  <si>
    <t>5BBC</t>
  </si>
  <si>
    <t>5BBE</t>
  </si>
  <si>
    <t>5Ea</t>
  </si>
  <si>
    <t>SI</t>
  </si>
  <si>
    <t>Tax at Spl Rate</t>
  </si>
  <si>
    <t>Schedule IF</t>
  </si>
  <si>
    <t>Sl no</t>
  </si>
  <si>
    <t>Name of the Firm</t>
  </si>
  <si>
    <t>PAN of the firm</t>
  </si>
  <si>
    <t>Schedule AMT</t>
  </si>
  <si>
    <t xml:space="preserve">Computation of Alternate Minimum  Tax payable under section 115JC </t>
  </si>
  <si>
    <t>ALTERNATE MINIMUM  TAX</t>
  </si>
  <si>
    <t>Total Income as per item 14 of PART-B-TI</t>
  </si>
  <si>
    <t>Adjustment as per section 115JC(2)</t>
  </si>
  <si>
    <t xml:space="preserve">Deduction Claimed under any section included in Chapter VI-A under the heading “C.—Deductions in respect of certain incomes” </t>
  </si>
  <si>
    <t>Deduction Claimed u/s 10AA</t>
  </si>
  <si>
    <t>Total Adjustment (2a+ 2b)</t>
  </si>
  <si>
    <t>Adjusted Total Income under section 115JC(1) (1+2c)</t>
  </si>
  <si>
    <t>Tax payable under section 115JC  [18.5% of (3)] (if 3 is greater than 20 lacs)</t>
  </si>
  <si>
    <t>Schedule AMTC</t>
  </si>
  <si>
    <t xml:space="preserve">Computation of tax credit under section 115JD </t>
  </si>
  <si>
    <t>AMT CREDIT</t>
  </si>
  <si>
    <t xml:space="preserve">Assessment Year    
   (A)
</t>
  </si>
  <si>
    <t xml:space="preserve">AMT Credit Gross
(B1)
</t>
  </si>
  <si>
    <t xml:space="preserve">AMT Credit Set off in earlier years 
(B2)
</t>
  </si>
  <si>
    <t>Amount of tax credit under section 115JD utilised during the year [total of item no 4 (C)]</t>
  </si>
  <si>
    <t>Amount of AMT liability available for credit in subsequent assessment years [total of 4 (D)]</t>
  </si>
  <si>
    <t>Schedule EI</t>
  </si>
  <si>
    <t>Details of Exempt Income (Income not to be included in Total Income)</t>
  </si>
  <si>
    <t>EXEMPT  INCOME</t>
  </si>
  <si>
    <t xml:space="preserve">Interest income </t>
  </si>
  <si>
    <t xml:space="preserve">Share in the profit of firm/AOP/BOI etc. </t>
  </si>
  <si>
    <t>Details of payments of Advance Tax and Self-Assessment Tax</t>
  </si>
  <si>
    <t>BSR Code
Must be filled to include the payment in the Total</t>
  </si>
  <si>
    <t>Serial Number of
Challan</t>
  </si>
  <si>
    <t>Enter the totals of Advance tax and Self-Assessment tax in Sl No. 10a &amp; 10d of Part B-TTI</t>
  </si>
  <si>
    <t>FSI</t>
  </si>
  <si>
    <t>Details of Income from outside India and tax relief</t>
  </si>
  <si>
    <t>Details of Income included in Total Income in Part-B-TI above</t>
  </si>
  <si>
    <t>Sr No</t>
  </si>
  <si>
    <r>
      <t xml:space="preserve">Country Code
</t>
    </r>
    <r>
      <rPr>
        <sz val="10"/>
        <color indexed="10"/>
        <rFont val="Times New Roman"/>
        <family val="1"/>
      </rPr>
      <t>(Note : If no entry is made in this column, then other columns will not be considered for that row)</t>
    </r>
  </si>
  <si>
    <t>Taxpayer Identification number</t>
  </si>
  <si>
    <t xml:space="preserve">House Property </t>
  </si>
  <si>
    <t>Business Income</t>
  </si>
  <si>
    <t xml:space="preserve">Business Income </t>
  </si>
  <si>
    <t xml:space="preserve">Capital Gains </t>
  </si>
  <si>
    <t xml:space="preserve">Other Sources </t>
  </si>
  <si>
    <t>Total Countrywise</t>
  </si>
  <si>
    <t>Income from outside India  (included in PART B-TI) 
(ia)</t>
  </si>
  <si>
    <t>Tax paid outside India
(ib)</t>
  </si>
  <si>
    <t>Tax payable on such income under normal provisions in India
(ic)</t>
  </si>
  <si>
    <t>Tax relief available in India
(id=lower of ib and ic)</t>
  </si>
  <si>
    <t>Relevant article of DTAA if relief claimed u/s 90 or 90A
(ie)</t>
  </si>
  <si>
    <t>Income from outside India (included in PART B-TI) 
(iia)</t>
  </si>
  <si>
    <t>Tax paid outside India
(iib)</t>
  </si>
  <si>
    <t>Tax payable on such income under normal provisions in India
(iic)</t>
  </si>
  <si>
    <t>Tax relief available in India
(iid=lower of iib and iic)</t>
  </si>
  <si>
    <t>Relevant article of DTAA if relief claimed u/s 90 or 90A
(iie)</t>
  </si>
  <si>
    <t>Income from outside India  (included in PART B-TI) 
(iiia)</t>
  </si>
  <si>
    <t>Tax paid outside India
(iiib)</t>
  </si>
  <si>
    <t>Tax payable on such income under normal provisions in India
(iiic)</t>
  </si>
  <si>
    <t>Tax relief available in India
(iid=lower of iiib and iiic)</t>
  </si>
  <si>
    <t>Relevant article of DTAA if relief claimed u/s 90 or 90A
(iiie)</t>
  </si>
  <si>
    <t>Income (included in PART B-TI) 
(iia)</t>
  </si>
  <si>
    <t>Income from outside India  (included in PART B-TI) 
(iva)</t>
  </si>
  <si>
    <t>Tax paid outside India
(ivb)</t>
  </si>
  <si>
    <t>Tax payable on such income under normal provisions in India
(ivc)</t>
  </si>
  <si>
    <t>Tax relief available in India
(iiid=lower of ivib and ivc)</t>
  </si>
  <si>
    <t>Relevant article of DTAA if relief claimed u/s 90 or 90A
(ive)</t>
  </si>
  <si>
    <t>Income from outside India (included in PART B-TI) 
(va)</t>
  </si>
  <si>
    <t>Tax paid outside India
(vb)</t>
  </si>
  <si>
    <t>Tax payable on such income under normal provisions in India
(vc)</t>
  </si>
  <si>
    <t>Tax relief available in India
ivde=lower of vb and vc)</t>
  </si>
  <si>
    <t>Relevant article of DTAA if relief claimed u/s 90 or 90A
(ve)</t>
  </si>
  <si>
    <t>Income from outside India  (included in PART B-TI) 
(via)</t>
  </si>
  <si>
    <t>Tax paid outside India
(vib)</t>
  </si>
  <si>
    <t>Tax payable on such income under normal provisions in India
(vic)</t>
  </si>
  <si>
    <t>Tax relief available in India
ivde=lower of vib and vic)</t>
  </si>
  <si>
    <t>Tax Deduction Account
Number (TAN) of the
Deductor</t>
  </si>
  <si>
    <t>Income chargeable
under Salaries</t>
  </si>
  <si>
    <t>Total tax
deducted</t>
  </si>
  <si>
    <t>Tax Deduction and Tax Collection Account Number of the collector</t>
  </si>
  <si>
    <t>Name of the Collector</t>
  </si>
  <si>
    <t>TCS of the current Fin. Year</t>
  </si>
  <si>
    <t>(1)</t>
  </si>
  <si>
    <t>( 3 )</t>
  </si>
  <si>
    <t>( 6 )</t>
  </si>
  <si>
    <t>( 7 )</t>
  </si>
  <si>
    <t>( 8 )</t>
  </si>
  <si>
    <t>Schedule 5A</t>
  </si>
  <si>
    <t>Name of the Spouse</t>
  </si>
  <si>
    <t>PAN of the Spouse</t>
  </si>
  <si>
    <t>House Property</t>
  </si>
  <si>
    <t>Business or profession</t>
  </si>
  <si>
    <t>Total (1+2+3+4)</t>
  </si>
  <si>
    <t>Information regarding apportionment of income between spouses governed by Portuguese Civil Code</t>
  </si>
  <si>
    <t>Schedule AL</t>
  </si>
  <si>
    <t>DETAILS OF ASSET AND LIABILTY</t>
  </si>
  <si>
    <t>Particulars of Asset</t>
  </si>
  <si>
    <t>Amount (Cost) (Rs.)</t>
  </si>
  <si>
    <t>Immovable Asset</t>
  </si>
  <si>
    <t>Land</t>
  </si>
  <si>
    <t>Building</t>
  </si>
  <si>
    <t>Movable Asset</t>
  </si>
  <si>
    <t>Financial Asset</t>
  </si>
  <si>
    <t>2ai</t>
  </si>
  <si>
    <t>Shares and securities</t>
  </si>
  <si>
    <t>2aii</t>
  </si>
  <si>
    <t>Insurance policies</t>
  </si>
  <si>
    <t>2aiii</t>
  </si>
  <si>
    <t>Loans and Advances given</t>
  </si>
  <si>
    <t>2aiv</t>
  </si>
  <si>
    <t>Cash in hand</t>
  </si>
  <si>
    <t>2av</t>
  </si>
  <si>
    <t>Jewellery, bullion etc.</t>
  </si>
  <si>
    <t>Archaeological collections, drawings, painting, sculpture or any work of art</t>
  </si>
  <si>
    <t>Vehicles, yachts, boats and aircrafts</t>
  </si>
  <si>
    <t>Liability in relation to Assets at A</t>
  </si>
  <si>
    <t>Password</t>
  </si>
  <si>
    <t>B5</t>
  </si>
  <si>
    <t>B100</t>
  </si>
  <si>
    <t>F10</t>
  </si>
  <si>
    <t>I25</t>
  </si>
  <si>
    <t>S20</t>
  </si>
  <si>
    <t>TempBusLoss</t>
  </si>
  <si>
    <t>Normal Bus loss</t>
  </si>
  <si>
    <t>After Speculative loss Set off</t>
  </si>
  <si>
    <t>After Specified loss Setoff</t>
  </si>
  <si>
    <t>os.BalanceNoRaceHorse</t>
  </si>
  <si>
    <t>OS</t>
  </si>
  <si>
    <t>5A1aiiab - 115A(1) (a)(iiab) - Interest as per Sec. 194LD</t>
  </si>
  <si>
    <t>5A1aiii - 115A(1) (a)(iii) - Income received in respect of units of UTI purchased in Foreign Currency</t>
  </si>
  <si>
    <t>5A1bA - 115A(1)(b)(A) - Income from royalty &amp; technical services</t>
  </si>
  <si>
    <t>5A1bB - 115A(1)(b)(B) - Income from royalty &amp; technical services</t>
  </si>
  <si>
    <t>5ACA1a - 115ACA(1)(a) -  Income from GDR purchased in foreign currency  - resident</t>
  </si>
  <si>
    <t>5AD1iP - 115AD(1)(i) - Income received by an FII in respect of bonds or government securities as per Sec 194LD</t>
  </si>
  <si>
    <t>5BBA - 115BBA - Tax on non - residents sportsmen or sports associations</t>
  </si>
  <si>
    <t>5BBC - 115BBC - Anonymous donations</t>
  </si>
  <si>
    <t>5Ea - 115E(a) - Investment income</t>
  </si>
  <si>
    <t>1 - 111 - Tax on accumulated balance of recognised PF</t>
  </si>
  <si>
    <t>2002-03</t>
  </si>
  <si>
    <t>2003-04</t>
  </si>
  <si>
    <t>2004-05</t>
  </si>
  <si>
    <t>2005-06</t>
  </si>
  <si>
    <t xml:space="preserve">2009-10 </t>
  </si>
  <si>
    <t>AssYearUnit</t>
  </si>
  <si>
    <t xml:space="preserve">Balance (3ia – 3ibiv) </t>
  </si>
  <si>
    <t>Total Counted Value at 16 DOA</t>
  </si>
  <si>
    <t>Total Counted Value at 16 DPM</t>
  </si>
  <si>
    <t>Val Enter By User At DPM16</t>
  </si>
  <si>
    <t>Val Enter By User at DOA 16</t>
  </si>
  <si>
    <t>4ia</t>
  </si>
  <si>
    <t>4ic</t>
  </si>
  <si>
    <t>4iia</t>
  </si>
  <si>
    <t>4iic</t>
  </si>
  <si>
    <t>i6a</t>
  </si>
  <si>
    <t>(Note : If no entry is made in the Country Code column, then other columns will not be considered for that row)</t>
  </si>
  <si>
    <t>Summary of tax relief claimed for taxes paid outside India</t>
  </si>
  <si>
    <t>AFGHANISTAN:93</t>
  </si>
  <si>
    <t>ALBANIA:355</t>
  </si>
  <si>
    <t>ALGERIA:213</t>
  </si>
  <si>
    <t>ANDORRA:376</t>
  </si>
  <si>
    <t>ANGOLA:244</t>
  </si>
  <si>
    <t>ANTIGUA AND BARBUDA:1268</t>
  </si>
  <si>
    <t>ARGENTINA:54</t>
  </si>
  <si>
    <t>ARMENIA:374</t>
  </si>
  <si>
    <t>AUSTRALIA:61</t>
  </si>
  <si>
    <t>AUSTRIA:43</t>
  </si>
  <si>
    <t>AZERBAIJAN:994</t>
  </si>
  <si>
    <t>BAHAMAS:1242</t>
  </si>
  <si>
    <t>BAHRAIN:973</t>
  </si>
  <si>
    <t>BANGLADESH:880</t>
  </si>
  <si>
    <t>BARBADOS:1246</t>
  </si>
  <si>
    <t>BELARUS:375</t>
  </si>
  <si>
    <t>BELGIUM:32</t>
  </si>
  <si>
    <t>BELIZE:501</t>
  </si>
  <si>
    <t>BENIN:229</t>
  </si>
  <si>
    <t>BHUTAN:975</t>
  </si>
  <si>
    <t>BOSNIA AND HERZEGOVINA:387</t>
  </si>
  <si>
    <t>BOTSWANA:267</t>
  </si>
  <si>
    <t>BRAZIL:55</t>
  </si>
  <si>
    <t>BRUNEI DARUSSALAM:673</t>
  </si>
  <si>
    <t>BULGARIA:359</t>
  </si>
  <si>
    <t>BURKINA FASO:226</t>
  </si>
  <si>
    <t>BURUNDI:257</t>
  </si>
  <si>
    <t>CAMBODIA:855</t>
  </si>
  <si>
    <t>CAMEROON:237</t>
  </si>
  <si>
    <t>CANADA:1</t>
  </si>
  <si>
    <t>CENTRAL AFRICAN REPUBLIC:236</t>
  </si>
  <si>
    <t>CHAD:235</t>
  </si>
  <si>
    <t>CHILE:56</t>
  </si>
  <si>
    <t>CHINA:86</t>
  </si>
  <si>
    <t>COLOMBIA:57</t>
  </si>
  <si>
    <t>COMOROS:270</t>
  </si>
  <si>
    <t>COSTA RICA:506</t>
  </si>
  <si>
    <t>CROATIA:385</t>
  </si>
  <si>
    <t>CUBA:53</t>
  </si>
  <si>
    <t>CYPRUS:357</t>
  </si>
  <si>
    <t>DENMARK:45</t>
  </si>
  <si>
    <t>DJIBOUTI:253</t>
  </si>
  <si>
    <t>DOMINICA:1767</t>
  </si>
  <si>
    <t>DOMINICAN REPUBLIC:1809</t>
  </si>
  <si>
    <t>ECUADOR:593</t>
  </si>
  <si>
    <t>EGYPT:20</t>
  </si>
  <si>
    <t>EL SALVADOR:503</t>
  </si>
  <si>
    <t>EQUATORIAL GUINEA:240</t>
  </si>
  <si>
    <t>ERITREA:291</t>
  </si>
  <si>
    <t>ESTONIA:372</t>
  </si>
  <si>
    <t>ETHIOPIA:251</t>
  </si>
  <si>
    <t>FINLAND:358</t>
  </si>
  <si>
    <t>FRANCE:33</t>
  </si>
  <si>
    <t>GABON:241</t>
  </si>
  <si>
    <t>GAMBIA:220</t>
  </si>
  <si>
    <t>GEORGIA:995</t>
  </si>
  <si>
    <t>GERMANY:49</t>
  </si>
  <si>
    <t>GHANA:233</t>
  </si>
  <si>
    <t>GREECE:30</t>
  </si>
  <si>
    <t>GRENADA:1473</t>
  </si>
  <si>
    <t>GUATEMALA:502</t>
  </si>
  <si>
    <t>GUINEA:224</t>
  </si>
  <si>
    <t>GUINEA-BISSAU:245</t>
  </si>
  <si>
    <t>GUYANA:592</t>
  </si>
  <si>
    <t>HAITI:509</t>
  </si>
  <si>
    <t>HONDURAS:504</t>
  </si>
  <si>
    <t>HUNGARY:36</t>
  </si>
  <si>
    <t>ICELAND:354</t>
  </si>
  <si>
    <t>INDONESIA:62</t>
  </si>
  <si>
    <t>IRAQ:964</t>
  </si>
  <si>
    <t>IRELAND:353</t>
  </si>
  <si>
    <t>ISRAEL:972</t>
  </si>
  <si>
    <t>ITALY:5</t>
  </si>
  <si>
    <t>JAMAICA:1876</t>
  </si>
  <si>
    <t>JAPAN:81</t>
  </si>
  <si>
    <t>JORDAN:962</t>
  </si>
  <si>
    <t>KAZAKHSTAN:7</t>
  </si>
  <si>
    <t>KENYA:254</t>
  </si>
  <si>
    <t>KIRIBATI:686</t>
  </si>
  <si>
    <t>KUWAIT:965</t>
  </si>
  <si>
    <t>KYRGYZSTAN:996</t>
  </si>
  <si>
    <t>LATVIA:371</t>
  </si>
  <si>
    <t>LEBANON:961</t>
  </si>
  <si>
    <t>LESOTHO:266</t>
  </si>
  <si>
    <t>LIBERIA:231</t>
  </si>
  <si>
    <t>LIBYA:218</t>
  </si>
  <si>
    <t>LIECHTENSTEIN:423</t>
  </si>
  <si>
    <t>LITHUANIA:370</t>
  </si>
  <si>
    <t>LUXEMBOURG:352</t>
  </si>
  <si>
    <t>MADAGASCAR:261</t>
  </si>
  <si>
    <t>MALAWI:265</t>
  </si>
  <si>
    <t>MALAYSIA:60</t>
  </si>
  <si>
    <t>MALDIVES:960</t>
  </si>
  <si>
    <t>MALI:223</t>
  </si>
  <si>
    <t>MALTA:356</t>
  </si>
  <si>
    <t>MARSHALL ISLANDS:692</t>
  </si>
  <si>
    <t>MAURITANIA:222</t>
  </si>
  <si>
    <t>MAURITIUS:230</t>
  </si>
  <si>
    <t>MEXICO:52</t>
  </si>
  <si>
    <t>MONACO:377</t>
  </si>
  <si>
    <t>MONGOLIA:976</t>
  </si>
  <si>
    <t>MONTENEGRO:382</t>
  </si>
  <si>
    <t>MOROCCO:212</t>
  </si>
  <si>
    <t>MOZAMBIQUE:258</t>
  </si>
  <si>
    <t>MYANMAR:95</t>
  </si>
  <si>
    <t>NAMIBIA:264</t>
  </si>
  <si>
    <t>NAURU:674</t>
  </si>
  <si>
    <t>NEPAL:977</t>
  </si>
  <si>
    <t>NETHERLANDS:31</t>
  </si>
  <si>
    <t>NEW ZEALAND:64</t>
  </si>
  <si>
    <t>NICARAGUA:505</t>
  </si>
  <si>
    <t>NIGER:227</t>
  </si>
  <si>
    <t>NIGERIA:234</t>
  </si>
  <si>
    <t>NORWAY:47</t>
  </si>
  <si>
    <t>OMAN:968</t>
  </si>
  <si>
    <t>PAKISTAN:92</t>
  </si>
  <si>
    <t>PALAU:680</t>
  </si>
  <si>
    <t>PANAMA:507</t>
  </si>
  <si>
    <t>PAPUA NEW GUINEA:675</t>
  </si>
  <si>
    <t>PARAGUAY:595</t>
  </si>
  <si>
    <t>PERU:51</t>
  </si>
  <si>
    <t>PHILIPPINES:63</t>
  </si>
  <si>
    <t>POLAND:48</t>
  </si>
  <si>
    <t>PORTUGAL:14</t>
  </si>
  <si>
    <t>QATAR:974</t>
  </si>
  <si>
    <t>ROMANIA:40</t>
  </si>
  <si>
    <t>RUSSIAN FEDERATION:8</t>
  </si>
  <si>
    <t>RWANDA:250</t>
  </si>
  <si>
    <t>SAINT KITTS AND NEVIS:1869</t>
  </si>
  <si>
    <t>SAINT LUCIA:1758</t>
  </si>
  <si>
    <t>SAINT VINCENT AND THE GRENADINES:1784</t>
  </si>
  <si>
    <t>SAMOA:685</t>
  </si>
  <si>
    <t>SAN MARINO:378</t>
  </si>
  <si>
    <t>SAO TOME AND PRINCIPE:239</t>
  </si>
  <si>
    <t>SAUDI ARABIA:966</t>
  </si>
  <si>
    <t>SENEGAL:221</t>
  </si>
  <si>
    <t>SERBIA:381</t>
  </si>
  <si>
    <t>SEYCHELLES:248</t>
  </si>
  <si>
    <t>SIERRA LEONE:232</t>
  </si>
  <si>
    <t>SINGAPORE:65</t>
  </si>
  <si>
    <t>SLOVAKIA:421</t>
  </si>
  <si>
    <t>SLOVENIA:386</t>
  </si>
  <si>
    <t>SOLOMON ISLANDS:677</t>
  </si>
  <si>
    <t>SOMALIA:252</t>
  </si>
  <si>
    <t>SOUTH AFRICA:28</t>
  </si>
  <si>
    <t>SOUTH SUDAN:211</t>
  </si>
  <si>
    <t>SPAIN:35</t>
  </si>
  <si>
    <t>SRI LANKA:94</t>
  </si>
  <si>
    <t>SUDAN:249</t>
  </si>
  <si>
    <t>SURINAME:597</t>
  </si>
  <si>
    <t>SWAZILAND:268</t>
  </si>
  <si>
    <t>SWEDEN:46</t>
  </si>
  <si>
    <t>SWITZERLAND:41</t>
  </si>
  <si>
    <t>SYRIAN ARAB REPUBLIC:963</t>
  </si>
  <si>
    <t>TAJIKISTAN:992</t>
  </si>
  <si>
    <t>THAILAND:66</t>
  </si>
  <si>
    <t>TOGO:228</t>
  </si>
  <si>
    <t>TONGA:676</t>
  </si>
  <si>
    <t>TRINIDAD AND TOBAGO:1868</t>
  </si>
  <si>
    <t>TUNISIA:216</t>
  </si>
  <si>
    <t>TURKEY:90</t>
  </si>
  <si>
    <t>TURKMENISTAN:993</t>
  </si>
  <si>
    <t>TUVALU:688</t>
  </si>
  <si>
    <t>UGANDA:256</t>
  </si>
  <si>
    <t>UKRAINE:380</t>
  </si>
  <si>
    <t>UNITED ARAB EMIRATES:971</t>
  </si>
  <si>
    <t>UNITED KINGDOM OF GREAT BRITAIN AND NORTHERN IRELAND:44</t>
  </si>
  <si>
    <t>UNITED STATES OF AMERICA:2</t>
  </si>
  <si>
    <t>URUGUAY:598</t>
  </si>
  <si>
    <t>UZBEKISTAN:998</t>
  </si>
  <si>
    <t>VANUATU:678</t>
  </si>
  <si>
    <t>YEMEN:967</t>
  </si>
  <si>
    <t>ZAMBIA:260</t>
  </si>
  <si>
    <t>ZIMBABWE:263</t>
  </si>
  <si>
    <t>OTHERS:9999</t>
  </si>
  <si>
    <t>Total Tax relief available in respect of country where DTAA is applicable (section 90/90A) (Part of total of 1(d))</t>
  </si>
  <si>
    <t>Total Tax relief available in respect of country where DTAA is not applicable (section 91) (Part of total of 1(d))</t>
  </si>
  <si>
    <t>Whether any tax paid outside India, on which tax relief was allowed in India, has been refunded/credited by the foreign tax authority during the year? If yes, provide the details below</t>
  </si>
  <si>
    <t xml:space="preserve">Amount of tax refunded </t>
  </si>
  <si>
    <t xml:space="preserve">  b) Assessment year in which tax relief allowed in India</t>
  </si>
  <si>
    <t>Name of the Bank</t>
  </si>
  <si>
    <t>Account Number</t>
  </si>
  <si>
    <t>Total:</t>
  </si>
  <si>
    <t>Details of trusts, created under the laws of a country outside India, in which you are a trustee, beneficiary or settlor</t>
  </si>
  <si>
    <t>IF(GTI_LIMIT &gt; 1200000,0,MIN(VALUE(scvia.Section80CCG),25000))),GTI_LIMIT))</t>
  </si>
  <si>
    <t xml:space="preserve">Tot Income </t>
  </si>
  <si>
    <t>OneFrthofTI</t>
  </si>
  <si>
    <t>20sec112</t>
  </si>
  <si>
    <t>20Sec11EA</t>
  </si>
  <si>
    <t>15Sec111a</t>
  </si>
  <si>
    <t>15Sec115ad1bii</t>
  </si>
  <si>
    <t>10SecPro</t>
  </si>
  <si>
    <t>10Sec115ACA1</t>
  </si>
  <si>
    <t>10Sec115Eb</t>
  </si>
  <si>
    <t>10Sec1121c2</t>
  </si>
  <si>
    <t>10Sec115AC1</t>
  </si>
  <si>
    <t>10Sec115AD3</t>
  </si>
  <si>
    <t>Different Section value after setoff</t>
  </si>
  <si>
    <t>Full Name</t>
  </si>
  <si>
    <t>Exemption=</t>
  </si>
  <si>
    <t>Age=</t>
  </si>
  <si>
    <t>1</t>
  </si>
  <si>
    <t>tempPercentagecountValue</t>
  </si>
  <si>
    <t>Remaining Set offHP Loss</t>
  </si>
  <si>
    <t>Remaining Set off BP</t>
  </si>
  <si>
    <t>HP</t>
  </si>
  <si>
    <t>BP</t>
  </si>
  <si>
    <t>Remaining Setoff OS</t>
  </si>
  <si>
    <t>tothpincome</t>
  </si>
  <si>
    <t>From CFL</t>
  </si>
  <si>
    <t>Spec BP</t>
  </si>
  <si>
    <t>Spcif BP</t>
  </si>
  <si>
    <t xml:space="preserve">sTCG </t>
  </si>
  <si>
    <t>LTCG</t>
  </si>
  <si>
    <t>Maintain Horse</t>
  </si>
  <si>
    <t>Remaining Set off</t>
  </si>
  <si>
    <t>Tot CY LTCG Income</t>
  </si>
  <si>
    <t>Tot Pys LTCG Loss</t>
  </si>
  <si>
    <t>Remaining LTCG set off Remaining</t>
  </si>
  <si>
    <t>After LTCG  setoff at</t>
  </si>
  <si>
    <t>Amt to be set off at 20%
LTCG</t>
  </si>
  <si>
    <t>Remaining Amt to set off</t>
  </si>
  <si>
    <t>STCG</t>
  </si>
  <si>
    <t>Amt to be Set off at 10% wen STCG has income</t>
  </si>
  <si>
    <t>When only LTCG set off Exists</t>
  </si>
  <si>
    <t>Set off</t>
  </si>
  <si>
    <t>STCG 15%</t>
  </si>
  <si>
    <t>112 proviso</t>
  </si>
  <si>
    <t>112(1)c(iii)</t>
  </si>
  <si>
    <t>115AC(1)</t>
  </si>
  <si>
    <t>115ACA(1)</t>
  </si>
  <si>
    <t>111A</t>
  </si>
  <si>
    <t>Incomes</t>
  </si>
  <si>
    <t>115AD(iii)</t>
  </si>
  <si>
    <t>115E(b)</t>
  </si>
  <si>
    <t>115AD (1)(b)(ii)</t>
  </si>
  <si>
    <t>115Ea</t>
  </si>
  <si>
    <t>LTCG 20%</t>
  </si>
  <si>
    <t>Total Loss in STCG</t>
  </si>
  <si>
    <t>LTCG10%</t>
  </si>
  <si>
    <t>neg15</t>
  </si>
  <si>
    <t>Different Section value after setoff after CYLA</t>
  </si>
  <si>
    <t>Different Section value after setoff after BFLA</t>
  </si>
  <si>
    <t>date for Validation</t>
  </si>
  <si>
    <t>Depriciation</t>
  </si>
  <si>
    <t>From UD</t>
  </si>
  <si>
    <t>Remaining</t>
  </si>
  <si>
    <t>DeductionSystemTotal</t>
  </si>
  <si>
    <t>adjustGTI</t>
  </si>
  <si>
    <t>qualifyingLimit</t>
  </si>
  <si>
    <t>residue</t>
  </si>
  <si>
    <t>residue50perc</t>
  </si>
  <si>
    <t>ChapVIASumWithout80G80GG</t>
  </si>
  <si>
    <t>10-11-13A-13B</t>
  </si>
  <si>
    <t>TTI Income Tax Calculations</t>
  </si>
  <si>
    <t>Total Inc from 17 of TI</t>
  </si>
  <si>
    <t>Temp Net Taxable Inc</t>
  </si>
  <si>
    <t>To Calculate 17</t>
  </si>
  <si>
    <t>tempInc(14-15)</t>
  </si>
  <si>
    <t xml:space="preserve">Exemtion </t>
  </si>
  <si>
    <t>Tot Deductions Without 80GG</t>
  </si>
  <si>
    <t>SUM of Individual Deductions</t>
  </si>
  <si>
    <t>dedPartB</t>
  </si>
  <si>
    <t>dedPartCA</t>
  </si>
  <si>
    <t>dedPartC</t>
  </si>
  <si>
    <t>DedViA</t>
  </si>
  <si>
    <t>totInc</t>
  </si>
  <si>
    <t>CalcSurchargeAboveOneCrore</t>
  </si>
  <si>
    <t>taxOnCutOffInc</t>
  </si>
  <si>
    <t>RoundDown Value from AMT</t>
  </si>
  <si>
    <t>taxPayable or taxOnTotInc</t>
  </si>
  <si>
    <t>tempSurcharge</t>
  </si>
  <si>
    <t>//check if eligible for marginal relief</t>
  </si>
  <si>
    <t>extraInc</t>
  </si>
  <si>
    <t>marginal Relief</t>
  </si>
  <si>
    <t>surchargeOnAboveCrore</t>
  </si>
  <si>
    <t>Last Digit of AMT</t>
  </si>
  <si>
    <t>111 - Tax on accumulated balance of recognised PF</t>
  </si>
  <si>
    <t>111A (STCG on shares where STT paid)</t>
  </si>
  <si>
    <t>115AD(1)(b)(ii)- Short term capital gains referred to in section 111A</t>
  </si>
  <si>
    <t>112 (LTCG on others)</t>
  </si>
  <si>
    <t>112 proviso (LTCG on listed securities/ units without indexation)</t>
  </si>
  <si>
    <t>112(1)(c)(iii)(LTCG on unlisted securities in case of non-residents)</t>
  </si>
  <si>
    <t>115A(1)(a)(i)- Dividends interest and income from units purchase in foreign currency</t>
  </si>
  <si>
    <t>115A(1)(a)(ii)- Interest received from govt/Indian Concerns recived in Foreign Currency</t>
  </si>
  <si>
    <t>115A(1) (a)(iia) -Interest from Infrastructure Debt Fund</t>
  </si>
  <si>
    <t>115A(1) (a)(iiaa) -Interest as per Sec. 194LC</t>
  </si>
  <si>
    <t>115A(1) (a)(iiab) -Interest as per Sec. 194LD</t>
  </si>
  <si>
    <t>115A(1) (a)(iii) - Income received in respect of units of UTI purchased in Foreign Currency</t>
  </si>
  <si>
    <t>Para E II of Part I of Ist Sch of FA - Income from royalty or technical services - Non-domestic company</t>
  </si>
  <si>
    <t>115AC(1)(c) -LTCG arising from the transfer of bonds or GDR purchased in foreign currency - non-resident</t>
  </si>
  <si>
    <t>115ACA(1)(a) - Income from GDR purchased in foreign currency -resident</t>
  </si>
  <si>
    <t>115ACA(1)(b) - LTCG arising from the transfer of GDR purchased in foreign currency -resident</t>
  </si>
  <si>
    <t>115AD(1)(i) -Income received by an FII in respect of bonds or government securities as per Sec 194LD</t>
  </si>
  <si>
    <t>115AD(1)(ii) -STCG (other than on equity share or equity oriented mutual fund referred to in section 111A) by an FII</t>
  </si>
  <si>
    <t>115AD(1)(iii)-Long term capital gains by an FII</t>
  </si>
  <si>
    <t>115BB (Winnings from lotteries, puzzles, races, games etc.)</t>
  </si>
  <si>
    <t>115BBA - Tax on non-residents sportsmen or sports associations</t>
  </si>
  <si>
    <t>115BBC - Anonymous donations</t>
  </si>
  <si>
    <t>115E(a) - Investment income</t>
  </si>
  <si>
    <t>115E(a)-LTCG on any asset other than a specified asset-non resident Indian</t>
  </si>
  <si>
    <t>115E(b) - Income by way of long term capital gains</t>
  </si>
  <si>
    <t>ExemptionUnderSI</t>
  </si>
  <si>
    <t>ExemptionAmt</t>
  </si>
  <si>
    <t>partbSetoffInc</t>
  </si>
  <si>
    <t>Final Exemption Allowed</t>
  </si>
  <si>
    <t>For 112</t>
  </si>
  <si>
    <t>Exemption Remaining after Set off</t>
  </si>
  <si>
    <t>FOR 111A</t>
  </si>
  <si>
    <t>For 112(proviso)</t>
  </si>
  <si>
    <t>TO Calculate 2g</t>
  </si>
  <si>
    <t>taxPayable</t>
  </si>
  <si>
    <t>totInc (14 of TI)</t>
  </si>
  <si>
    <t>totalIncome</t>
  </si>
  <si>
    <t>taxAtSpecialRates (2b of TTI)</t>
  </si>
  <si>
    <t>incChargeTaxSplRate111A112 (11 of TI)</t>
  </si>
  <si>
    <t>dtaaInc</t>
  </si>
  <si>
    <t>dtaaTax</t>
  </si>
  <si>
    <t>// for Surcharge</t>
  </si>
  <si>
    <t>totInc + dtaaInc</t>
  </si>
  <si>
    <t>(taxOnTotInc-incChargeTaxSplRate111A112)+taxAtSpecialRates</t>
  </si>
  <si>
    <t>normalInc</t>
  </si>
  <si>
    <t>TTI 1b</t>
  </si>
  <si>
    <t>Reference Of Tax Head</t>
  </si>
  <si>
    <t>IsSenior</t>
  </si>
  <si>
    <t>Tax Head</t>
  </si>
  <si>
    <t>Value</t>
  </si>
  <si>
    <t>ISSuperSenior</t>
  </si>
  <si>
    <t>IsNormal</t>
  </si>
  <si>
    <t>Age</t>
  </si>
  <si>
    <t>Point 7 of Income Detail</t>
  </si>
  <si>
    <t>Taxable Income</t>
  </si>
  <si>
    <t>GrpA(Normal Citizen)</t>
  </si>
  <si>
    <t>GrpB(Senior Citizen)</t>
  </si>
  <si>
    <t>GrpC(Super Senior Citizen)</t>
  </si>
  <si>
    <t>Tax on Taxable Income</t>
  </si>
  <si>
    <t>Date Of  interest calculation</t>
  </si>
  <si>
    <t>Date of filing</t>
  </si>
  <si>
    <t>Due date for filing of returns</t>
  </si>
  <si>
    <t>Interest u/s 234A</t>
  </si>
  <si>
    <t>Interest u/s 234B</t>
  </si>
  <si>
    <t>Interest u/s 234C</t>
  </si>
  <si>
    <t>Point No.15 of Income Details :  Net Tax liability</t>
  </si>
  <si>
    <t>TDS</t>
  </si>
  <si>
    <t>TCS</t>
  </si>
  <si>
    <t>Assessed Tax</t>
  </si>
  <si>
    <t>Self Assesment</t>
  </si>
  <si>
    <t>Advance Tax</t>
  </si>
  <si>
    <t>Quarter Income Break up</t>
  </si>
  <si>
    <t>Section Wise</t>
  </si>
  <si>
    <t>54B</t>
  </si>
  <si>
    <t>54D</t>
  </si>
  <si>
    <t>54EC</t>
  </si>
  <si>
    <t>54F</t>
  </si>
  <si>
    <t>54G</t>
  </si>
  <si>
    <t>54GA</t>
  </si>
  <si>
    <t>54GB</t>
  </si>
  <si>
    <t>115F</t>
  </si>
  <si>
    <t>from D</t>
  </si>
  <si>
    <t>frm Sum</t>
  </si>
  <si>
    <t>Current Date</t>
  </si>
  <si>
    <t>Calculation of 234A</t>
  </si>
  <si>
    <t>intsrt234AprincTemp</t>
  </si>
  <si>
    <t>intsrt234Aprinc</t>
  </si>
  <si>
    <t>dueDate1</t>
  </si>
  <si>
    <t>dueDateLiable</t>
  </si>
  <si>
    <t>finalDuedate</t>
  </si>
  <si>
    <t>currentVerDate</t>
  </si>
  <si>
    <t>filingType</t>
  </si>
  <si>
    <t>systemDate</t>
  </si>
  <si>
    <t>currentDateAftercomp(sys,ver)</t>
  </si>
  <si>
    <t>finalCurrentDate</t>
  </si>
  <si>
    <t>noOfMonthAfterdueDate</t>
  </si>
  <si>
    <t>section234A</t>
  </si>
  <si>
    <t>DelayedNoOfMonths</t>
  </si>
  <si>
    <t>countIsLiable</t>
  </si>
  <si>
    <t>Tax Calculation at normal Rate on aggregate income:</t>
  </si>
  <si>
    <t xml:space="preserve">Rebate On Agricultural Income:          </t>
  </si>
  <si>
    <t>taxPayerStatus</t>
  </si>
  <si>
    <t>resStatus</t>
  </si>
  <si>
    <t>age</t>
  </si>
  <si>
    <t>totalIncm</t>
  </si>
  <si>
    <t>pan</t>
  </si>
  <si>
    <t>netTxblIncm</t>
  </si>
  <si>
    <t>checkwhichGropu</t>
  </si>
  <si>
    <t>tax1</t>
  </si>
  <si>
    <t>tax2</t>
  </si>
  <si>
    <t>tax3</t>
  </si>
  <si>
    <t>taxAggrIncm</t>
  </si>
  <si>
    <t>Exemption</t>
  </si>
  <si>
    <t>totIncm</t>
  </si>
  <si>
    <t>rebateOnAgriIncm</t>
  </si>
  <si>
    <t>incChargeTaxSplRate111A112</t>
  </si>
  <si>
    <t>Value(totalIncome-incChargeTaxSplRate111A1112</t>
  </si>
  <si>
    <t>taxAtSpecialRates</t>
  </si>
  <si>
    <t>taxOnTotInc</t>
  </si>
  <si>
    <t>exemption</t>
  </si>
  <si>
    <t>cg10</t>
  </si>
  <si>
    <t>cg15</t>
  </si>
  <si>
    <t>cg20</t>
  </si>
  <si>
    <t>cg30</t>
  </si>
  <si>
    <t>toBeTaxed</t>
  </si>
  <si>
    <t>exmptn10</t>
  </si>
  <si>
    <t>exmptn15</t>
  </si>
  <si>
    <t>exmptn20</t>
  </si>
  <si>
    <t>toBeTaxedAftrCg10andCg15</t>
  </si>
  <si>
    <t>toBeTaxedAftrCg20</t>
  </si>
  <si>
    <t>normalCutOffInc</t>
  </si>
  <si>
    <t>marginalRelief</t>
  </si>
  <si>
    <t>surcharge</t>
  </si>
  <si>
    <t>Tax Payable Calculation:</t>
  </si>
  <si>
    <t>slabbed Tax For normalCutOffInc</t>
  </si>
  <si>
    <t>Group</t>
  </si>
  <si>
    <t>incTax1</t>
  </si>
  <si>
    <t>incTax2</t>
  </si>
  <si>
    <t>IncTax3</t>
  </si>
  <si>
    <t>final_incTax</t>
  </si>
  <si>
    <t>Slabbed Income:</t>
  </si>
  <si>
    <t>inc1</t>
  </si>
  <si>
    <t>inc2</t>
  </si>
  <si>
    <t>inc3</t>
  </si>
  <si>
    <t>normal10</t>
  </si>
  <si>
    <t>normal20</t>
  </si>
  <si>
    <t>normal30</t>
  </si>
  <si>
    <t>Find CgTax,CgTaxed and tobeTaxed:</t>
  </si>
  <si>
    <t>case1(cg10&lt;toBeTaxed )</t>
  </si>
  <si>
    <t>case2(cg15&lt;toBeTaxed)</t>
  </si>
  <si>
    <t>case3(cg20&lt;toBeTaxed)</t>
  </si>
  <si>
    <t>case4(cg30&lt;toBeTaxed)</t>
  </si>
  <si>
    <t>slabbedTax1</t>
  </si>
  <si>
    <t>slabbedTax2</t>
  </si>
  <si>
    <t>slabbedTax3</t>
  </si>
  <si>
    <t>slabbedTax</t>
  </si>
  <si>
    <t>Cg10</t>
  </si>
  <si>
    <t>cgTax</t>
  </si>
  <si>
    <t>cgTaxed</t>
  </si>
  <si>
    <t>calculate234B</t>
  </si>
  <si>
    <t>intrst234A</t>
  </si>
  <si>
    <t>intrst234C</t>
  </si>
  <si>
    <t>advance tax</t>
  </si>
  <si>
    <t>tds</t>
  </si>
  <si>
    <t>tcs</t>
  </si>
  <si>
    <t>netTaxLiability</t>
  </si>
  <si>
    <t>shortFall</t>
  </si>
  <si>
    <t>dateOfProcessing</t>
  </si>
  <si>
    <t>startDate</t>
  </si>
  <si>
    <t>CalcIntrst234BUptoPeriod</t>
  </si>
  <si>
    <t>234B------- 24 cycles:</t>
  </si>
  <si>
    <t>Cycle 1</t>
  </si>
  <si>
    <t>Cycle 2</t>
  </si>
  <si>
    <t>Cycle  3</t>
  </si>
  <si>
    <t>Cycle  4</t>
  </si>
  <si>
    <t>Cycle  5</t>
  </si>
  <si>
    <t>Cycle   6</t>
  </si>
  <si>
    <t>Cycle  7</t>
  </si>
  <si>
    <t>Cycle  8</t>
  </si>
  <si>
    <t>Cycle  9</t>
  </si>
  <si>
    <t>Cycle  10</t>
  </si>
  <si>
    <t>Cycle  11</t>
  </si>
  <si>
    <t>Cycle  12</t>
  </si>
  <si>
    <t>Cycle  13</t>
  </si>
  <si>
    <t>Cycle 14</t>
  </si>
  <si>
    <t>Cycle  15</t>
  </si>
  <si>
    <t>Cycle  16</t>
  </si>
  <si>
    <t>Cycle  17</t>
  </si>
  <si>
    <t>Cycle  18</t>
  </si>
  <si>
    <t>Cycle  19</t>
  </si>
  <si>
    <t>Cycle  20</t>
  </si>
  <si>
    <t>Cycle  21</t>
  </si>
  <si>
    <t>Cycle  22</t>
  </si>
  <si>
    <t>Cycle  23</t>
  </si>
  <si>
    <t>Cycle  24</t>
  </si>
  <si>
    <t>balancePrincipal</t>
  </si>
  <si>
    <t>calcIntrst234BOnPeriod</t>
  </si>
  <si>
    <t>calcInterestPayable234B</t>
  </si>
  <si>
    <t>balanceInterest</t>
  </si>
  <si>
    <t>SATPaidAtPeriod</t>
  </si>
  <si>
    <t>adjustedInterest</t>
  </si>
  <si>
    <t>adjustedPrincipal</t>
  </si>
  <si>
    <t>carryForwardPrinicipal</t>
  </si>
  <si>
    <t>carryForwardInterest</t>
  </si>
  <si>
    <t>interest234Bi</t>
  </si>
  <si>
    <t>interest234Bii</t>
  </si>
  <si>
    <t>interest234Biii</t>
  </si>
  <si>
    <t>interest234Biv</t>
  </si>
  <si>
    <t>interest234B</t>
  </si>
  <si>
    <t>Calculation of 234C</t>
  </si>
  <si>
    <t>CGTotal</t>
  </si>
  <si>
    <t>SI_Income(OS)</t>
  </si>
  <si>
    <t>MarginalRelief</t>
  </si>
  <si>
    <t>normalBalanceIncm</t>
  </si>
  <si>
    <t>exemptionOth_Spl</t>
  </si>
  <si>
    <t>winLottRace</t>
  </si>
  <si>
    <t>CgAr</t>
  </si>
  <si>
    <t>exemptn30</t>
  </si>
  <si>
    <t>AppRate +NormalIncome</t>
  </si>
  <si>
    <t>IncomeAftrExemp</t>
  </si>
  <si>
    <t>exemptionRemaining</t>
  </si>
  <si>
    <t>case1:</t>
  </si>
  <si>
    <t>AR income</t>
  </si>
  <si>
    <t>case2:</t>
  </si>
  <si>
    <t>Incm till Q3</t>
  </si>
  <si>
    <t>tax</t>
  </si>
  <si>
    <t>Surcharge</t>
  </si>
  <si>
    <t>eduCess</t>
  </si>
  <si>
    <t>total tax</t>
  </si>
  <si>
    <t>Quarter</t>
  </si>
  <si>
    <t>Income</t>
  </si>
  <si>
    <t>BasicExemption</t>
  </si>
  <si>
    <t>Net income</t>
  </si>
  <si>
    <t>Accum Income</t>
  </si>
  <si>
    <t>Normal Income</t>
  </si>
  <si>
    <t>TotalIncome</t>
  </si>
  <si>
    <t>Tax on tot Income</t>
  </si>
  <si>
    <t>EduCess</t>
  </si>
  <si>
    <t>Total Tax</t>
  </si>
  <si>
    <t>totalUpto15Of9</t>
  </si>
  <si>
    <t>totalUp16Of9To15Of12</t>
  </si>
  <si>
    <t>totalUp16Of12To15Of3</t>
  </si>
  <si>
    <t>totalUp16Of3To31Of3</t>
  </si>
  <si>
    <t>30% CG income</t>
  </si>
  <si>
    <t>20% CG income</t>
  </si>
  <si>
    <t>CountValue</t>
  </si>
  <si>
    <t>15% CG income</t>
  </si>
  <si>
    <t>countValue</t>
  </si>
  <si>
    <t>10% CG income</t>
  </si>
  <si>
    <t>Consolidation of tax for 234C</t>
  </si>
  <si>
    <t>SI_IncmTax(otherThanCG)</t>
  </si>
  <si>
    <t>SurchargeOnSI</t>
  </si>
  <si>
    <t>TotalSITax</t>
  </si>
  <si>
    <t xml:space="preserve"> tax App+income</t>
  </si>
  <si>
    <t>tax 30%</t>
  </si>
  <si>
    <t>tax 20%</t>
  </si>
  <si>
    <t>tax 15%</t>
  </si>
  <si>
    <t>Tax  of 10%</t>
  </si>
  <si>
    <t>tax SI</t>
  </si>
  <si>
    <t>Cumulative tax to be paid</t>
  </si>
  <si>
    <t>Cumulative tax paid</t>
  </si>
  <si>
    <t>Amount on which interest is payable</t>
  </si>
  <si>
    <t>interest u/s 234C</t>
  </si>
  <si>
    <t>Total 234C</t>
  </si>
  <si>
    <t>IF 3 = 1d</t>
  </si>
  <si>
    <t>totaltax-TDS-TCS</t>
  </si>
  <si>
    <t>FINALPBT</t>
  </si>
  <si>
    <t>DTAA - Double Taxation Avoidance Agreement</t>
  </si>
  <si>
    <t>1d or 3 Value</t>
  </si>
  <si>
    <t>Surcharge Calculation</t>
  </si>
  <si>
    <t>tax on normal income</t>
  </si>
  <si>
    <t>Exemptions</t>
  </si>
  <si>
    <t>Exemptionused_Normal</t>
  </si>
  <si>
    <t>5%Income</t>
  </si>
  <si>
    <t>10%income</t>
  </si>
  <si>
    <t>15%Incomne</t>
  </si>
  <si>
    <t>20%Income</t>
  </si>
  <si>
    <t>25%income</t>
  </si>
  <si>
    <t>30%Income</t>
  </si>
  <si>
    <t>50%Income</t>
  </si>
  <si>
    <t>CheckFor1Cr.</t>
  </si>
  <si>
    <t>Tax</t>
  </si>
  <si>
    <t>tobeTaxed</t>
  </si>
  <si>
    <t>DTAA</t>
  </si>
  <si>
    <t>1A</t>
  </si>
  <si>
    <t>5AD1biip</t>
  </si>
  <si>
    <t>21ciii</t>
  </si>
  <si>
    <t>5AC1c</t>
  </si>
  <si>
    <t>5ACA1b</t>
  </si>
  <si>
    <t>5ADii</t>
  </si>
  <si>
    <t>5ADiii</t>
  </si>
  <si>
    <t>5Eacg</t>
  </si>
  <si>
    <t>5Eb</t>
  </si>
  <si>
    <t>Nature Of Business</t>
  </si>
  <si>
    <t>Part A - BS</t>
  </si>
  <si>
    <t>Quantitative Details</t>
  </si>
  <si>
    <t>Part A - OI</t>
  </si>
  <si>
    <t>ESR</t>
  </si>
  <si>
    <t>CG</t>
  </si>
  <si>
    <t>80G</t>
  </si>
  <si>
    <t>AMT</t>
  </si>
  <si>
    <t>AMTC</t>
  </si>
  <si>
    <t>EI</t>
  </si>
  <si>
    <t>IT</t>
  </si>
  <si>
    <t>Sch 5A</t>
  </si>
  <si>
    <t>AL</t>
  </si>
  <si>
    <t>Schedule Name</t>
  </si>
  <si>
    <t>PART A - General</t>
  </si>
  <si>
    <t>DEP_DCG</t>
  </si>
  <si>
    <t>DPM - DOA</t>
  </si>
  <si>
    <t>CYLA - BFLA</t>
  </si>
  <si>
    <t>TR_FA</t>
  </si>
  <si>
    <t>Unabsorbed Depreciation</t>
  </si>
  <si>
    <t>OS Section</t>
  </si>
  <si>
    <t>OS Value</t>
  </si>
  <si>
    <t>Instructions to fill up Excel Utility</t>
  </si>
  <si>
    <t>Overview</t>
  </si>
  <si>
    <t>Before you begin</t>
  </si>
  <si>
    <t>Structure of the utility for ITR4</t>
  </si>
  <si>
    <t>Customisation of the utility</t>
  </si>
  <si>
    <t>Filling up the sections of the form using the utility</t>
  </si>
  <si>
    <t>Validating the sheets</t>
  </si>
  <si>
    <t>Printing</t>
  </si>
  <si>
    <t>Importing</t>
  </si>
  <si>
    <t>Configure the utility</t>
  </si>
  <si>
    <t>Fill up applicable schedules</t>
  </si>
  <si>
    <t>Validate each sheet</t>
  </si>
  <si>
    <t>Validate Summary</t>
  </si>
  <si>
    <t>The excel utility provides all the sections and schedules required to be submitted as a part of the eFiling process.</t>
  </si>
  <si>
    <t>Read the general instructions for filling up the form.</t>
  </si>
  <si>
    <t>The ITR5 Excel Utility is an Excel Workbook that consists of a number of individual, integrated worksheets. Each of the sheets contains one or more schedules for data entry. Initially, all the sheets are visible to the user. A number of these sheets are o</t>
  </si>
  <si>
    <t>The following elements are available on every sheet</t>
  </si>
  <si>
    <t>a) The navigate buttons for navigating to the various schedules.</t>
  </si>
  <si>
    <t>b) Home Button which allows a user to navigate to the customisation home page.</t>
  </si>
  <si>
    <t>c) Validate Sheet button , which allows the user to check for errors / omissions if any, per sheet.</t>
  </si>
  <si>
    <t>e) Print button which will print all the sheets selected for printing on the Customization page.</t>
  </si>
  <si>
    <t>f) Help button providing context specific help.</t>
  </si>
  <si>
    <t>Structure of the utility for ITR5</t>
  </si>
  <si>
    <t>The various sheets and the schedules covered per sheet is as below.</t>
  </si>
  <si>
    <t>The name of each sheet displays in the tab at the bottom of the workbook.</t>
  </si>
  <si>
    <t xml:space="preserve">Each sheet includes a number of distinct, titled sections / schedules. These titles are displayed in black color background with white text. </t>
  </si>
  <si>
    <t>Each sheet is identified by the sheet tabs located at the bottom of the Excel window. These tabs are labeled with abbreviation forms of the schedules of the sheet.</t>
  </si>
  <si>
    <t>You can move to a specific sheet by either choosing the sheet tab from the bottom, or by navigating to the required schedule (and sheet) using the right panel.</t>
  </si>
  <si>
    <t>Customisation of the utility by clicking on the Home button shown here ----&gt;</t>
  </si>
  <si>
    <t>Depending on the various optional schedules that you need to leave out of the filing, you can customize the utility to show you only relevant sheets.</t>
  </si>
  <si>
    <t>To customize the utility, one needs to go to the Home page / Customization sheet by clicking on the Home button.</t>
  </si>
  <si>
    <t>This sheet has embedded in it the Version number, buttons to access the "General instructions to fill the utility and form". "Customize" button which when clicked will apply the customization inputs for hiding unnecessary sheets, to the utility.</t>
  </si>
  <si>
    <t>The print options are also stored on clicking Customize button. These options include user selected list of sheets that need to be printed.</t>
  </si>
  <si>
    <t xml:space="preserve">Note : If, on a sheet, there are more than one schedules, you should disable the sheet by selecting "N" only if all the schedules on that sheet are not relevant to you. </t>
  </si>
  <si>
    <t>Filling up the sections of the form using the utility.</t>
  </si>
  <si>
    <t>Every section / schedule is color coded to facilitate the user to enter data.</t>
  </si>
  <si>
    <t>There are following different types of cells in the sheet.</t>
  </si>
  <si>
    <t>a)    Data entry cells for mandatory fields which are required to be compulsorily entered by the user. These have a red font and a green background color.</t>
  </si>
  <si>
    <t>b)    Data entry cells for mandatory fields which , if left empty by the user, will default to a predefined value. These have a red font and a green background color.</t>
  </si>
  <si>
    <r>
      <t xml:space="preserve">c)   </t>
    </r>
    <r>
      <rPr>
        <b/>
        <sz val="10"/>
        <rFont val="Times New Roman"/>
        <family val="1"/>
      </rPr>
      <t xml:space="preserve"> Data entry cells for fields which may be mandatory based on the value of some other field. Ex : Only in the case of revised return are the dates of original return and receipt no to be filled in. Such labels are either </t>
    </r>
    <r>
      <rPr>
        <b/>
        <sz val="10"/>
        <color indexed="10"/>
        <rFont val="Times New Roman"/>
        <family val="1"/>
      </rPr>
      <t xml:space="preserve">partially red, </t>
    </r>
    <r>
      <rPr>
        <b/>
        <sz val="10"/>
        <rFont val="Times New Roman"/>
        <family val="1"/>
      </rPr>
      <t>or , if they ha</t>
    </r>
  </si>
  <si>
    <t>d) Data entry cells for optional fields have a black font and a green background color.</t>
  </si>
  <si>
    <t>e) Formula fields where no data entry is done by the user but a value is calculated based on already available values. These have a blue font for the labels and a white background color. The formulas are not changeable by the user but are calculated by th</t>
  </si>
  <si>
    <t xml:space="preserve">f) Linked fields, where no data entry is done by the user, but a value is picked up from an existing cell elsewhere in the sheet. These have  a blue font for the labels and a white background. </t>
  </si>
  <si>
    <t>All green cells are areas where the user input is expected.</t>
  </si>
  <si>
    <r>
      <t xml:space="preserve">Refer to the navigation buttons shown on the left for Next, Previous and Index. </t>
    </r>
    <r>
      <rPr>
        <sz val="10"/>
        <rFont val="Times New Roman"/>
        <family val="1"/>
      </rPr>
      <t xml:space="preserve">The user can navigate the various sheets and schedules by either clicking on next or previous buttons to move to the next or the previous tab, or by clicking on Index to move </t>
    </r>
  </si>
  <si>
    <r>
      <t xml:space="preserve">Moving through the cells : </t>
    </r>
    <r>
      <rPr>
        <sz val="10"/>
        <rFont val="Times New Roman"/>
        <family val="1"/>
      </rPr>
      <t>After the user has reached the desired schedule, the user can click on the tab keyboard button. On clicking tab, the user is taken to the next green cell of the schedule.</t>
    </r>
  </si>
  <si>
    <r>
      <t xml:space="preserve">Adding more rows : </t>
    </r>
    <r>
      <rPr>
        <sz val="10"/>
        <rFont val="Times New Roman"/>
        <family val="1"/>
      </rPr>
      <t>Schedules such as Subsidiary Details, 10A, TDS2, TCS etc allow users to enter data in tabular format.</t>
    </r>
  </si>
  <si>
    <t>The utility provides an option to add more rows in these schedules than provided in the base utility.</t>
  </si>
  <si>
    <t>IMPORTANT : To add more rows, the user must place the cursor in the last row that is already filled up in the schedule. Thereafter, the user can click on the button provided to add more rows. The user can enter a number greater than or equal to 1. On clic</t>
  </si>
  <si>
    <r>
      <t xml:space="preserve">Note while filling tabular data </t>
    </r>
    <r>
      <rPr>
        <sz val="10"/>
        <rFont val="Times New Roman"/>
        <family val="1"/>
      </rPr>
      <t xml:space="preserve"> : When filling tabular data, ensure that all rows are filled one after another. Do not skip a row blank. Do not use 2 rows for entering value for a particular entry. Example : If address is longer than the available space,</t>
    </r>
  </si>
  <si>
    <t>Validating the sheets :</t>
  </si>
  <si>
    <t>After the required schedules in a sheet are filled up, the user must click the Validate sheet button to confirm that the sheet has no obvious errors or data entry validation errors that are checked by the utility. Though the utility attempts to check most</t>
  </si>
  <si>
    <t>This file can then be uploaded towards efiling your return and an acknowledgement can be hence generated.</t>
  </si>
  <si>
    <t>Printing.</t>
  </si>
  <si>
    <t>The filled up sheets can be printed. The user can decide which sheets to print by selecting from the homepage, the sheets desired to be printed from the last column.</t>
  </si>
  <si>
    <t>On clicking Print, the selected sheets will be printed out.</t>
  </si>
  <si>
    <t>If a taxpayer has already filled up ITR5 on a previous version, the tax payer can transfer all of the data from the previous version to the current version by following the given steps.</t>
  </si>
  <si>
    <t>Step 1 : Ensure that the previous version is kept in a specific folder (any folder) and the taxpayer is aware of the location of this file. If this file is open, please close it / save and close before proceeding.</t>
  </si>
  <si>
    <t xml:space="preserve">Step 2 : Open the latest version of the ITR5 utility after downloading from the site, unzipping if the downloaded utility is in an archived (zip) format . </t>
  </si>
  <si>
    <t>Step 3 : Go to the General sheet and click on the import button on the top right. Follow the messages thereafter</t>
  </si>
  <si>
    <t>Click here to go back to Sch SI</t>
  </si>
  <si>
    <t>\</t>
  </si>
  <si>
    <t>Serial No.</t>
  </si>
  <si>
    <t>Rate in %.</t>
  </si>
  <si>
    <t>111A - STCG on shares where STT paid</t>
  </si>
  <si>
    <t>112 - LTCG on listed securities/ units without indexation</t>
  </si>
  <si>
    <t>112(1)(c)(iii) - LTCG on unlisted securities in case of non-residents</t>
  </si>
  <si>
    <t>112 - LTCG on others</t>
  </si>
  <si>
    <t>115BB - Winnings from lotteries, puzzles, races, games etc</t>
  </si>
  <si>
    <t>Rate to be left blank</t>
  </si>
  <si>
    <t>Drop Down</t>
  </si>
  <si>
    <t>115A(1)(a)(i)- Dividends, interest and income from units purchase in foreign currency</t>
  </si>
  <si>
    <t>115A(1) (a)(iia) - Interest from Infrastructure Debt Fund</t>
  </si>
  <si>
    <t>115A(1) (a)(iiaa) - Interest as per Sec. 194LC</t>
  </si>
  <si>
    <t>115A(1)(b)-1 - Income from royalty &amp; technical services</t>
  </si>
  <si>
    <t>5A1b1</t>
  </si>
  <si>
    <t>115A(1)(b)-2 - Income from royalty &amp; technical services</t>
  </si>
  <si>
    <t>5A1b2</t>
  </si>
  <si>
    <t>115A(1)(b)-3 - Income from royalty &amp; technical services</t>
  </si>
  <si>
    <t>5A1b3</t>
  </si>
  <si>
    <t>115AB(1)(a) - Income in respect of units - off -shore fund</t>
  </si>
  <si>
    <t>5AB1a</t>
  </si>
  <si>
    <t>115AB(1)(b) - LTCG on units - off-shore fund</t>
  </si>
  <si>
    <t>5AB 1b</t>
  </si>
  <si>
    <t>115AC(1) - Income from bonds or GDR purchases or capital gains  -  non-resident</t>
  </si>
  <si>
    <t>5AC</t>
  </si>
  <si>
    <t>115ACA(1) - Income from  GDR purchases or capital gains  - resident</t>
  </si>
  <si>
    <t>5ACA</t>
  </si>
  <si>
    <t>115B - Profits and gains of life insurance business</t>
  </si>
  <si>
    <t>5B</t>
  </si>
  <si>
    <t xml:space="preserve">115BBB - Tax on income from units  </t>
  </si>
  <si>
    <t>5BBB</t>
  </si>
  <si>
    <t>115BBE - Tax on income referred to in sections 68 or 69 or 69A or  69B or  69C or  69D</t>
  </si>
  <si>
    <t>Schedule</t>
  </si>
  <si>
    <t>No of entries</t>
  </si>
  <si>
    <t>QUANTITATIVE_DETAILS-a</t>
  </si>
  <si>
    <t>80G-A</t>
  </si>
  <si>
    <t>QUANTITATIVE_DETAILS-b</t>
  </si>
  <si>
    <t>80G-B</t>
  </si>
  <si>
    <t>QUANTITATIVE_DETAILS-c</t>
  </si>
  <si>
    <t>80G-C</t>
  </si>
  <si>
    <t>SCHEDULE S</t>
  </si>
  <si>
    <t>SPI</t>
  </si>
  <si>
    <t>HOUSE_PROPERTY</t>
  </si>
  <si>
    <t>IF</t>
  </si>
  <si>
    <t>TDS1</t>
  </si>
  <si>
    <t>TDS2</t>
  </si>
  <si>
    <t>Please verify the following schedules / sheets whichever showing up as empty, whether they are optional, not filled, or are they actually empty</t>
  </si>
  <si>
    <t>Schedule 80 IA</t>
  </si>
  <si>
    <t>Schedule DOA</t>
  </si>
  <si>
    <t>Schedule 80 IB</t>
  </si>
  <si>
    <t>Schedule 80 IC</t>
  </si>
  <si>
    <t>VERIFICATION DETAILS</t>
  </si>
  <si>
    <t>Name</t>
  </si>
  <si>
    <t>Son / daughter of</t>
  </si>
  <si>
    <t>TDS3</t>
  </si>
  <si>
    <t>80G-D</t>
  </si>
  <si>
    <t>GG</t>
  </si>
  <si>
    <t>Select Applicable sheets  below by choosing Y/N and click on apply</t>
  </si>
  <si>
    <t>Select Sheets to print and click on apply</t>
  </si>
  <si>
    <t>Personal Info., Filing Status, Audit Info</t>
  </si>
  <si>
    <t>CFL</t>
  </si>
  <si>
    <t>Schedule HP</t>
  </si>
  <si>
    <t>Schedule DPM, Schedule DOA</t>
  </si>
  <si>
    <t>Schedule DEP, Schedule DCG</t>
  </si>
  <si>
    <t>Schedule OS</t>
  </si>
  <si>
    <t>Schedule CYLA, Schedule BFLA</t>
  </si>
  <si>
    <t>Schedule 10A, 10AA, 10B,10BA</t>
  </si>
  <si>
    <t>Schedule SPI, Schedule SI, Schedule IF</t>
  </si>
  <si>
    <t>Schedule FSI</t>
  </si>
  <si>
    <t>S.NO</t>
  </si>
  <si>
    <t>I</t>
  </si>
  <si>
    <t>H</t>
  </si>
  <si>
    <t>M-Male</t>
  </si>
  <si>
    <t>F-Female</t>
  </si>
  <si>
    <t>I-INDIVIDUAL</t>
  </si>
  <si>
    <t>H-HUF</t>
  </si>
  <si>
    <t>SPI - SI - IF</t>
  </si>
  <si>
    <t>ABHY0065002</t>
  </si>
  <si>
    <t>ABHY0065003</t>
  </si>
  <si>
    <t>ABHY0065004</t>
  </si>
  <si>
    <t>ABHY0065005</t>
  </si>
  <si>
    <t>ABHY0065006</t>
  </si>
  <si>
    <t>ABHY0065007</t>
  </si>
  <si>
    <t>ABHY0065008</t>
  </si>
  <si>
    <t>ABHY0065009</t>
  </si>
  <si>
    <t>ABHY0065010</t>
  </si>
  <si>
    <t>ABHY0065011</t>
  </si>
  <si>
    <t>ABHY0065012</t>
  </si>
  <si>
    <t>ABHY0065013</t>
  </si>
  <si>
    <t>ABHY0065014</t>
  </si>
  <si>
    <t>ABHY0065015</t>
  </si>
  <si>
    <t>ABHY0065016</t>
  </si>
  <si>
    <t>ABHY0065017</t>
  </si>
  <si>
    <t>ABHY0065018</t>
  </si>
  <si>
    <t>ABHY0065019</t>
  </si>
  <si>
    <t>ABHY0065020</t>
  </si>
  <si>
    <t>ABHY0065021</t>
  </si>
  <si>
    <t>ABHY0065022</t>
  </si>
  <si>
    <t>ABHY0065023</t>
  </si>
  <si>
    <t>ABHY0065024</t>
  </si>
  <si>
    <t>ABHY0065025</t>
  </si>
  <si>
    <t>ABHY0065026</t>
  </si>
  <si>
    <t>ABHY0065027</t>
  </si>
  <si>
    <t>ABHY0065028</t>
  </si>
  <si>
    <t>ABHY0065029</t>
  </si>
  <si>
    <t>ABHY0065030</t>
  </si>
  <si>
    <t>ABHY0065031</t>
  </si>
  <si>
    <t>ABHY0065032</t>
  </si>
  <si>
    <t>ABHY0065034</t>
  </si>
  <si>
    <t>ABHY0065035</t>
  </si>
  <si>
    <t>ABHY0065036</t>
  </si>
  <si>
    <t>ABHY0065037</t>
  </si>
  <si>
    <t>ABHY0065038</t>
  </si>
  <si>
    <t>ABHY0065039</t>
  </si>
  <si>
    <t>ABHY0065040</t>
  </si>
  <si>
    <t>ABHY0065041</t>
  </si>
  <si>
    <t>ABHY0065042</t>
  </si>
  <si>
    <t>ABHY0065043</t>
  </si>
  <si>
    <t>ABHY0065044</t>
  </si>
  <si>
    <t>ABHY0065045</t>
  </si>
  <si>
    <t>ABHY0065046</t>
  </si>
  <si>
    <t>ABHY0065047</t>
  </si>
  <si>
    <t>ABHY0065048</t>
  </si>
  <si>
    <t>ABHY0065049</t>
  </si>
  <si>
    <t>ABHY0065050</t>
  </si>
  <si>
    <t>ABHY0065051</t>
  </si>
  <si>
    <t>ABHY0065052</t>
  </si>
  <si>
    <t>ABHY0065053</t>
  </si>
  <si>
    <t>ABHY0065054</t>
  </si>
  <si>
    <t>ABHY0065055</t>
  </si>
  <si>
    <t>ABHY0065056</t>
  </si>
  <si>
    <t>ABHY0065057</t>
  </si>
  <si>
    <t>ABHY0065058</t>
  </si>
  <si>
    <t>ABHY0065059</t>
  </si>
  <si>
    <t>ABHY0065060</t>
  </si>
  <si>
    <t>ABHY0065061</t>
  </si>
  <si>
    <t>ABHY0065062</t>
  </si>
  <si>
    <t>ABHY0065063</t>
  </si>
  <si>
    <t>ABHY0065064</t>
  </si>
  <si>
    <t>ABHY0065065</t>
  </si>
  <si>
    <t>ABHY0065066</t>
  </si>
  <si>
    <t>ABHY0065067</t>
  </si>
  <si>
    <t>ABHY0065068</t>
  </si>
  <si>
    <t>ABHY0065069</t>
  </si>
  <si>
    <t>ABHY0065070</t>
  </si>
  <si>
    <t>ABHY0065071</t>
  </si>
  <si>
    <t>ABHY0065072</t>
  </si>
  <si>
    <t>ABHY0065073</t>
  </si>
  <si>
    <t>ABHY0065074</t>
  </si>
  <si>
    <t>ABHY0065075</t>
  </si>
  <si>
    <t>ABHY0065076</t>
  </si>
  <si>
    <t>ABHY0065077</t>
  </si>
  <si>
    <t>ABHY0065102</t>
  </si>
  <si>
    <t>ABHY0065103</t>
  </si>
  <si>
    <t>ABHY0065104</t>
  </si>
  <si>
    <t>ABHY0065105</t>
  </si>
  <si>
    <t>ABHY0065106</t>
  </si>
  <si>
    <t>ABHY0065107</t>
  </si>
  <si>
    <t>ABHY0065108</t>
  </si>
  <si>
    <t>ABHY0065109</t>
  </si>
  <si>
    <t>ABHY0065110</t>
  </si>
  <si>
    <t>ABHY0065111</t>
  </si>
  <si>
    <t>ABHY0065112</t>
  </si>
  <si>
    <t>ABHY0065113</t>
  </si>
  <si>
    <t>ABHY0065114</t>
  </si>
  <si>
    <t>ABHY0065115</t>
  </si>
  <si>
    <t>ABHY0065116</t>
  </si>
  <si>
    <t>ABHY0065117</t>
  </si>
  <si>
    <t>ABHY0065118</t>
  </si>
  <si>
    <t>ABHY0065119</t>
  </si>
  <si>
    <t>ABHY0065120</t>
  </si>
  <si>
    <t>ABHY0065121</t>
  </si>
  <si>
    <t>ABHY0065122</t>
  </si>
  <si>
    <t>ABHY0065123</t>
  </si>
  <si>
    <t>ABHY0065124</t>
  </si>
  <si>
    <t>ABHY0065125</t>
  </si>
  <si>
    <t>ABHY0065126</t>
  </si>
  <si>
    <t>ABHY0065201</t>
  </si>
  <si>
    <t>ABHY0065202</t>
  </si>
  <si>
    <t>ABHY0065203</t>
  </si>
  <si>
    <t>ABHY0065204</t>
  </si>
  <si>
    <t>ABHY0065205</t>
  </si>
  <si>
    <t>ABHY0065208</t>
  </si>
  <si>
    <t>ABHY0065301</t>
  </si>
  <si>
    <t>ABHY0065302</t>
  </si>
  <si>
    <t>ABHY0065304</t>
  </si>
  <si>
    <t>ABHY0065305</t>
  </si>
  <si>
    <t>ABHY0065306</t>
  </si>
  <si>
    <t>ADCB0000002</t>
  </si>
  <si>
    <t>ALLA0210001</t>
  </si>
  <si>
    <t>ALLA0210002</t>
  </si>
  <si>
    <t>ALLA0210003</t>
  </si>
  <si>
    <t>ALLA0210004</t>
  </si>
  <si>
    <t>ALLA0210005</t>
  </si>
  <si>
    <t>ALLA0210006</t>
  </si>
  <si>
    <t>ALLA0210007</t>
  </si>
  <si>
    <t>ALLA0210008</t>
  </si>
  <si>
    <t>ALLA0210009</t>
  </si>
  <si>
    <t>ALLA0210010</t>
  </si>
  <si>
    <t>ALLA0210011</t>
  </si>
  <si>
    <t>ALLA0210012</t>
  </si>
  <si>
    <t>ALLA0210013</t>
  </si>
  <si>
    <t>ALLA0210014</t>
  </si>
  <si>
    <t>ALLA0210015</t>
  </si>
  <si>
    <t>ALLA0210016</t>
  </si>
  <si>
    <t>ALLA0210017</t>
  </si>
  <si>
    <t>ALLA0210018</t>
  </si>
  <si>
    <t>ALLA0210019</t>
  </si>
  <si>
    <t>ALLA0210020</t>
  </si>
  <si>
    <t>ALLA0210021</t>
  </si>
  <si>
    <t>ALLA0210022</t>
  </si>
  <si>
    <t>ALLA0210023</t>
  </si>
  <si>
    <t>ALLA0210024</t>
  </si>
  <si>
    <t>ALLA0210025</t>
  </si>
  <si>
    <t>ALLA0210026</t>
  </si>
  <si>
    <t>ALLA0210027</t>
  </si>
  <si>
    <t>ALLA0210028</t>
  </si>
  <si>
    <t>ALLA0210029</t>
  </si>
  <si>
    <t>ALLA0210030</t>
  </si>
  <si>
    <t>ALLA0210031</t>
  </si>
  <si>
    <t>ALLA0210032</t>
  </si>
  <si>
    <t>ALLA0210033</t>
  </si>
  <si>
    <t>ALLA0210034</t>
  </si>
  <si>
    <t>ALLA0210035</t>
  </si>
  <si>
    <t>ALLA0210036</t>
  </si>
  <si>
    <t>ALLA0210037</t>
  </si>
  <si>
    <t>ALLA0210038</t>
  </si>
  <si>
    <t>ALLA0210039</t>
  </si>
  <si>
    <t>ALLA0210040</t>
  </si>
  <si>
    <t>ALLA0210041</t>
  </si>
  <si>
    <t>ALLA0210042</t>
  </si>
  <si>
    <t>ALLA0210043</t>
  </si>
  <si>
    <t>ALLA0210044</t>
  </si>
  <si>
    <t>ALLA0210045</t>
  </si>
  <si>
    <t>ALLA0210046</t>
  </si>
  <si>
    <t>ALLA0210047</t>
  </si>
  <si>
    <t>ALLA0210048</t>
  </si>
  <si>
    <t>ALLA0210049</t>
  </si>
  <si>
    <t>ALLA0210050</t>
  </si>
  <si>
    <t>ALLA0210051</t>
  </si>
  <si>
    <t>ALLA0210052</t>
  </si>
  <si>
    <t>ALLA0210053</t>
  </si>
  <si>
    <t>ALLA0210054</t>
  </si>
  <si>
    <t>ALLA0210055</t>
  </si>
  <si>
    <t>ALLA0210056</t>
  </si>
  <si>
    <t>ALLA0210057</t>
  </si>
  <si>
    <t>ALLA0210058</t>
  </si>
  <si>
    <t>ALLA0210059</t>
  </si>
  <si>
    <t>ALLA0210060</t>
  </si>
  <si>
    <t>ALLA0210061</t>
  </si>
  <si>
    <t>ALLA0210062</t>
  </si>
  <si>
    <t>ALLA0210063</t>
  </si>
  <si>
    <t>ALLA0210064</t>
  </si>
  <si>
    <t>ALLA0210065</t>
  </si>
  <si>
    <t>ALLA0210066</t>
  </si>
  <si>
    <t>ALLA0210067</t>
  </si>
  <si>
    <t>ALLA0210068</t>
  </si>
  <si>
    <t>ALLA0210069</t>
  </si>
  <si>
    <t>ALLA0210070</t>
  </si>
  <si>
    <t>ALLA0210071</t>
  </si>
  <si>
    <t>ALLA0210072</t>
  </si>
  <si>
    <t>ALLA0210073</t>
  </si>
  <si>
    <t>ALLA0210074</t>
  </si>
  <si>
    <t>ALLA0210075</t>
  </si>
  <si>
    <t>ALLA0210076</t>
  </si>
  <si>
    <t>ALLA0210077</t>
  </si>
  <si>
    <t>ALLA0210078</t>
  </si>
  <si>
    <t>ALLA0210079</t>
  </si>
  <si>
    <t>ALLA0210080</t>
  </si>
  <si>
    <t>ALLA0210081</t>
  </si>
  <si>
    <t>ALLA0210082</t>
  </si>
  <si>
    <t>ALLA0210083</t>
  </si>
  <si>
    <t>ALLA0210084</t>
  </si>
  <si>
    <t>ALLA0210085</t>
  </si>
  <si>
    <t>ALLA0210086</t>
  </si>
  <si>
    <t>ALLA0210087</t>
  </si>
  <si>
    <t>ALLA0210088</t>
  </si>
  <si>
    <t>ALLA0210089</t>
  </si>
  <si>
    <t>ALLA0210090</t>
  </si>
  <si>
    <t>ALLA0210091</t>
  </si>
  <si>
    <t>ALLA0210092</t>
  </si>
  <si>
    <t>ALLA0210093</t>
  </si>
  <si>
    <t>ALLA0210094</t>
  </si>
  <si>
    <t>ALLA0210095</t>
  </si>
  <si>
    <t>ALLA0210096</t>
  </si>
  <si>
    <t>ALLA0210097</t>
  </si>
  <si>
    <t>ALLA0210098</t>
  </si>
  <si>
    <t>ALLA0210099</t>
  </si>
  <si>
    <t>ALLA0210100</t>
  </si>
  <si>
    <t>ALLA0210101</t>
  </si>
  <si>
    <t>ALLA0210102</t>
  </si>
  <si>
    <t>ALLA0210103</t>
  </si>
  <si>
    <t>ALLA0210104</t>
  </si>
  <si>
    <t>ALLA0210105</t>
  </si>
  <si>
    <t>ALLA0210106</t>
  </si>
  <si>
    <t>ALLA0210107</t>
  </si>
  <si>
    <t>ALLA0210108</t>
  </si>
  <si>
    <t>ALLA0210109</t>
  </si>
  <si>
    <t>ALLA0210110</t>
  </si>
  <si>
    <t>ALLA0210111</t>
  </si>
  <si>
    <t>ALLA0210112</t>
  </si>
  <si>
    <t>ALLA0210113</t>
  </si>
  <si>
    <t>ALLA0210114</t>
  </si>
  <si>
    <t>ALLA0210115</t>
  </si>
  <si>
    <t>ALLA0210116</t>
  </si>
  <si>
    <t>ALLA0210117</t>
  </si>
  <si>
    <t>ALLA0210118</t>
  </si>
  <si>
    <t>ALLA0210119</t>
  </si>
  <si>
    <t>ALLA0210120</t>
  </si>
  <si>
    <t>ALLA0210121</t>
  </si>
  <si>
    <t>ALLA0210122</t>
  </si>
  <si>
    <t>ALLA0210123</t>
  </si>
  <si>
    <t>ALLA0210124</t>
  </si>
  <si>
    <t>ALLA0210125</t>
  </si>
  <si>
    <t>ALLA0210126</t>
  </si>
  <si>
    <t>ALLA0210127</t>
  </si>
  <si>
    <t>ALLA0210128</t>
  </si>
  <si>
    <t>ALLA0210129</t>
  </si>
  <si>
    <t>ALLA0210131</t>
  </si>
  <si>
    <t>ALLA0210132</t>
  </si>
  <si>
    <t>ALLA0210133</t>
  </si>
  <si>
    <t>ALLA0210134</t>
  </si>
  <si>
    <t>ALLA0210135</t>
  </si>
  <si>
    <t>ALLA0210136</t>
  </si>
  <si>
    <t>ALLA0210137</t>
  </si>
  <si>
    <t>ALLA0210138</t>
  </si>
  <si>
    <t>ALLA0210139</t>
  </si>
  <si>
    <t>ALLA0210140</t>
  </si>
  <si>
    <t>ALLA0210141</t>
  </si>
  <si>
    <t>ALLA0210142</t>
  </si>
  <si>
    <t>ALLA0210143</t>
  </si>
  <si>
    <t>ALLA0210144</t>
  </si>
  <si>
    <t>ALLA0210145</t>
  </si>
  <si>
    <t>ALLA0210146</t>
  </si>
  <si>
    <t>ALLA0210147</t>
  </si>
  <si>
    <t>ALLA0210148</t>
  </si>
  <si>
    <t>ALLA0210149</t>
  </si>
  <si>
    <t>ALLA0210150</t>
  </si>
  <si>
    <t>ALLA0210151</t>
  </si>
  <si>
    <t>ALLA0210152</t>
  </si>
  <si>
    <t>ALLA0210153</t>
  </si>
  <si>
    <t>ALLA0210154</t>
  </si>
  <si>
    <t>ALLA0210155</t>
  </si>
  <si>
    <t>ALLA0210156</t>
  </si>
  <si>
    <t>ALLA0210157</t>
  </si>
  <si>
    <t>ALLA0210158</t>
  </si>
  <si>
    <t>ALLA0210159</t>
  </si>
  <si>
    <t>ALLA0210160</t>
  </si>
  <si>
    <t>ALLA0210162</t>
  </si>
  <si>
    <t>ALLA0210163</t>
  </si>
  <si>
    <t>ALLA0210164</t>
  </si>
  <si>
    <t>ALLA0210165</t>
  </si>
  <si>
    <t>ALLA0210166</t>
  </si>
  <si>
    <t>ALLA0210167</t>
  </si>
  <si>
    <t>ALLA0210168</t>
  </si>
  <si>
    <t>ALLA0210169</t>
  </si>
  <si>
    <t>ALLA0210170</t>
  </si>
  <si>
    <t>ALLA0210171</t>
  </si>
  <si>
    <t>ALLA0210172</t>
  </si>
  <si>
    <t>ALLA0210173</t>
  </si>
  <si>
    <t>ALLA0210174</t>
  </si>
  <si>
    <t>ALLA0210175</t>
  </si>
  <si>
    <t>ALLA0210176</t>
  </si>
  <si>
    <t>ALLA0210177</t>
  </si>
  <si>
    <t>ALLA0210178</t>
  </si>
  <si>
    <t>ALLA0210179</t>
  </si>
  <si>
    <t>ALLA0210180</t>
  </si>
  <si>
    <t>ALLA0210181</t>
  </si>
  <si>
    <t>ALLA0210182</t>
  </si>
  <si>
    <t>ALLA0210184</t>
  </si>
  <si>
    <t>ALLA0210185</t>
  </si>
  <si>
    <t>ALLA0210186</t>
  </si>
  <si>
    <t>ALLA0210187</t>
  </si>
  <si>
    <t>ALLA0210188</t>
  </si>
  <si>
    <t>ALLA0210189</t>
  </si>
  <si>
    <t>ALLA0210190</t>
  </si>
  <si>
    <t>ALLA0210191</t>
  </si>
  <si>
    <t>ALLA0210192</t>
  </si>
  <si>
    <t>ALLA0210193</t>
  </si>
  <si>
    <t>ALLA0210194</t>
  </si>
  <si>
    <t>ALLA0210195</t>
  </si>
  <si>
    <t>ALLA0210196</t>
  </si>
  <si>
    <t>ALLA0210197</t>
  </si>
  <si>
    <t>ALLA0210198</t>
  </si>
  <si>
    <t>ALLA0210199</t>
  </si>
  <si>
    <t>ALLA0210200</t>
  </si>
  <si>
    <t>ALLA0210201</t>
  </si>
  <si>
    <t>ALLA0210202</t>
  </si>
  <si>
    <t>ALLA0210203</t>
  </si>
  <si>
    <t>ALLA0210204</t>
  </si>
  <si>
    <t>ALLA0210205</t>
  </si>
  <si>
    <t>ALLA0210206</t>
  </si>
  <si>
    <t>ALLA0210207</t>
  </si>
  <si>
    <t>ALLA0210208</t>
  </si>
  <si>
    <t>ALLA0210209</t>
  </si>
  <si>
    <t>ALLA0210210</t>
  </si>
  <si>
    <t>ALLA0210211</t>
  </si>
  <si>
    <t>ALLA0210212</t>
  </si>
  <si>
    <t>ALLA0210213</t>
  </si>
  <si>
    <t>ALLA0210214</t>
  </si>
  <si>
    <t>ALLA0210215</t>
  </si>
  <si>
    <t>ALLA0210216</t>
  </si>
  <si>
    <t>ALLA0210217</t>
  </si>
  <si>
    <t>ALLA0210218</t>
  </si>
  <si>
    <t>ALLA0210219</t>
  </si>
  <si>
    <t>ALLA0210220</t>
  </si>
  <si>
    <t>ALLA0210221</t>
  </si>
  <si>
    <t>ALLA0210222</t>
  </si>
  <si>
    <t>ALLA0210223</t>
  </si>
  <si>
    <t>ALLA0210224</t>
  </si>
  <si>
    <t>ALLA0210225</t>
  </si>
  <si>
    <t>ALLA0210226</t>
  </si>
  <si>
    <t>ALLA0210227</t>
  </si>
  <si>
    <t>ALLA0210228</t>
  </si>
  <si>
    <t>ALLA0210229</t>
  </si>
  <si>
    <t>ALLA0210230</t>
  </si>
  <si>
    <t>ALLA0210231</t>
  </si>
  <si>
    <t>ALLA0210232</t>
  </si>
  <si>
    <t>ALLA0210233</t>
  </si>
  <si>
    <t>ALLA0210234</t>
  </si>
  <si>
    <t>ALLA0210235</t>
  </si>
  <si>
    <t>ALLA0210236</t>
  </si>
  <si>
    <t>ALLA0210237</t>
  </si>
  <si>
    <t>ALLA0210238</t>
  </si>
  <si>
    <t>ALLA0210239</t>
  </si>
  <si>
    <t>ALLA0210240</t>
  </si>
  <si>
    <t>ALLA0210241</t>
  </si>
  <si>
    <t>ALLA0210242</t>
  </si>
  <si>
    <t>ALLA0210243</t>
  </si>
  <si>
    <t>ALLA0210244</t>
  </si>
  <si>
    <t>ALLA0210245</t>
  </si>
  <si>
    <t>ALLA0210246</t>
  </si>
  <si>
    <t>ALLA0210247</t>
  </si>
  <si>
    <t>ALLA0210248</t>
  </si>
  <si>
    <t>ALLA0210249</t>
  </si>
  <si>
    <t>ALLA0210250</t>
  </si>
  <si>
    <t>ALLA0210251</t>
  </si>
  <si>
    <t>ALLA0210252</t>
  </si>
  <si>
    <t>ALLA0210253</t>
  </si>
  <si>
    <t>ALLA0210254</t>
  </si>
  <si>
    <t>ALLA0210255</t>
  </si>
  <si>
    <t>ALLA0210256</t>
  </si>
  <si>
    <t>ALLA0210257</t>
  </si>
  <si>
    <t>ALLA0210258</t>
  </si>
  <si>
    <t>ALLA0210259</t>
  </si>
  <si>
    <t>ALLA0210260</t>
  </si>
  <si>
    <t>ALLA0210261</t>
  </si>
  <si>
    <t>ALLA0210262</t>
  </si>
  <si>
    <t>ALLA0210263</t>
  </si>
  <si>
    <t>ALLA0210264</t>
  </si>
  <si>
    <t>ALLA0210265</t>
  </si>
  <si>
    <t>ALLA0210266</t>
  </si>
  <si>
    <t>ALLA0210267</t>
  </si>
  <si>
    <t>ALLA0210268</t>
  </si>
  <si>
    <t>ALLA0210269</t>
  </si>
  <si>
    <t>ALLA0210270</t>
  </si>
  <si>
    <t>ALLA0210271</t>
  </si>
  <si>
    <t>ALLA0210272</t>
  </si>
  <si>
    <t>ALLA0210273</t>
  </si>
  <si>
    <t>ALLA0210274</t>
  </si>
  <si>
    <t>ALLA0210275</t>
  </si>
  <si>
    <t>ALLA0210276</t>
  </si>
  <si>
    <t>ALLA0210277</t>
  </si>
  <si>
    <t>ALLA0210278</t>
  </si>
  <si>
    <t>ALLA0210279</t>
  </si>
  <si>
    <t>ALLA0210280</t>
  </si>
  <si>
    <t>ALLA0210281</t>
  </si>
  <si>
    <t>ALLA0210282</t>
  </si>
  <si>
    <t>ALLA0210283</t>
  </si>
  <si>
    <t>ALLA0210284</t>
  </si>
  <si>
    <t>ALLA0210285</t>
  </si>
  <si>
    <t>ALLA0210286</t>
  </si>
  <si>
    <t>ALLA0210287</t>
  </si>
  <si>
    <t>ALLA0210288</t>
  </si>
  <si>
    <t>ALLA0210289</t>
  </si>
  <si>
    <t>ALLA0210290</t>
  </si>
  <si>
    <t>ALLA0210291</t>
  </si>
  <si>
    <t>ALLA0210292</t>
  </si>
  <si>
    <t>ALLA0210293</t>
  </si>
  <si>
    <t>ALLA0210299</t>
  </si>
  <si>
    <t>ALLA0210300</t>
  </si>
  <si>
    <t>ALLA0210301</t>
  </si>
  <si>
    <t>ALLA0210302</t>
  </si>
  <si>
    <t>ALLA0210303</t>
  </si>
  <si>
    <t>ALLA0210304</t>
  </si>
  <si>
    <t>ALLA0210305</t>
  </si>
  <si>
    <t>ALLA0210306</t>
  </si>
  <si>
    <t>ALLA0210307</t>
  </si>
  <si>
    <t>ALLA0210308</t>
  </si>
  <si>
    <t>ALLA0210309</t>
  </si>
  <si>
    <t>ALLA0210310</t>
  </si>
  <si>
    <t>ALLA0210311</t>
  </si>
  <si>
    <t>ALLA0210312</t>
  </si>
  <si>
    <t>ALLA0210313</t>
  </si>
  <si>
    <t>ALLA0210314</t>
  </si>
  <si>
    <t>ALLA0210315</t>
  </si>
  <si>
    <t>ALLA0210316</t>
  </si>
  <si>
    <t>ALLA0210317</t>
  </si>
  <si>
    <t>ALLA0210318</t>
  </si>
  <si>
    <t>ALLA0210319</t>
  </si>
  <si>
    <t>ALLA0210320</t>
  </si>
  <si>
    <t>ALLA0210321</t>
  </si>
  <si>
    <t>ALLA0210322</t>
  </si>
  <si>
    <t>ALLA0210323</t>
  </si>
  <si>
    <t>ALLA0210324</t>
  </si>
  <si>
    <t>ALLA0210325</t>
  </si>
  <si>
    <t>ALLA0210326</t>
  </si>
  <si>
    <t>ALLA0210327</t>
  </si>
  <si>
    <t>ALLA0210328</t>
  </si>
  <si>
    <t>ALLA0210329</t>
  </si>
  <si>
    <t>ALLA0210330</t>
  </si>
  <si>
    <t>ALLA0210331</t>
  </si>
  <si>
    <t>ALLA0210332</t>
  </si>
  <si>
    <t>ALLA0210333</t>
  </si>
  <si>
    <t>ALLA0210334</t>
  </si>
  <si>
    <t>ALLA0210335</t>
  </si>
  <si>
    <t>ALLA0210336</t>
  </si>
  <si>
    <t>ALLA0210337</t>
  </si>
  <si>
    <t>ALLA0210338</t>
  </si>
  <si>
    <t>ALLA0210339</t>
  </si>
  <si>
    <t>ALLA0210340</t>
  </si>
  <si>
    <t>ALLA0210341</t>
  </si>
  <si>
    <t>ALLA0210342</t>
  </si>
  <si>
    <t>ALLA0210343</t>
  </si>
  <si>
    <t>ALLA0210344</t>
  </si>
  <si>
    <t>ALLA0210345</t>
  </si>
  <si>
    <t>ALLA0210346</t>
  </si>
  <si>
    <t>ALLA0210347</t>
  </si>
  <si>
    <t>ALLA0210348</t>
  </si>
  <si>
    <t>ALLA0210349</t>
  </si>
  <si>
    <t>ALLA0210350</t>
  </si>
  <si>
    <t>ALLA0210351</t>
  </si>
  <si>
    <t>ALLA0210352</t>
  </si>
  <si>
    <t>ALLA0210354</t>
  </si>
  <si>
    <t>ALLA0210355</t>
  </si>
  <si>
    <t>ALLA0210356</t>
  </si>
  <si>
    <t>ALLA0210357</t>
  </si>
  <si>
    <t>ALLA0210358</t>
  </si>
  <si>
    <t>ALLA0210359</t>
  </si>
  <si>
    <t>ALLA0210360</t>
  </si>
  <si>
    <t>ALLA0210361</t>
  </si>
  <si>
    <t>ALLA0210362</t>
  </si>
  <si>
    <t>ALLA0210363</t>
  </si>
  <si>
    <t>ALLA0210364</t>
  </si>
  <si>
    <t>ALLA0210365</t>
  </si>
  <si>
    <t>ALLA0210366</t>
  </si>
  <si>
    <t>ALLA0210367</t>
  </si>
  <si>
    <t>ALLA0210368</t>
  </si>
  <si>
    <t>ALLA0210369</t>
  </si>
  <si>
    <t>ALLA0210370</t>
  </si>
  <si>
    <t>ALLA0210371</t>
  </si>
  <si>
    <t>ALLA0210372</t>
  </si>
  <si>
    <t>ALLA0210373</t>
  </si>
  <si>
    <t>ALLA0210374</t>
  </si>
  <si>
    <t>ALLA0210375</t>
  </si>
  <si>
    <t>ALLA0210376</t>
  </si>
  <si>
    <t>ALLA0210377</t>
  </si>
  <si>
    <t>ALLA0210378</t>
  </si>
  <si>
    <t>ALLA0210379</t>
  </si>
  <si>
    <t>ALLA0210380</t>
  </si>
  <si>
    <t>ALLA0210381</t>
  </si>
  <si>
    <t>ALLA0210382</t>
  </si>
  <si>
    <t>ALLA0210383</t>
  </si>
  <si>
    <t>ALLA0210384</t>
  </si>
  <si>
    <t>ALLA0210385</t>
  </si>
  <si>
    <t>ALLA0210386</t>
  </si>
  <si>
    <t>ALLA0210387</t>
  </si>
  <si>
    <t>ALLA0210388</t>
  </si>
  <si>
    <t>ALLA0210389</t>
  </si>
  <si>
    <t>ALLA0210390</t>
  </si>
  <si>
    <t>ALLA0210391</t>
  </si>
  <si>
    <t>ALLA0210392</t>
  </si>
  <si>
    <t>ALLA0210393</t>
  </si>
  <si>
    <t>ALLA0210394</t>
  </si>
  <si>
    <t>ALLA0210395</t>
  </si>
  <si>
    <t>ALLA0210396</t>
  </si>
  <si>
    <t>ALLA0210397</t>
  </si>
  <si>
    <t>ALLA0210398</t>
  </si>
  <si>
    <t>ALLA0210399</t>
  </si>
  <si>
    <t>ALLA0210400</t>
  </si>
  <si>
    <t>ALLA0210401</t>
  </si>
  <si>
    <t>ALLA0210402</t>
  </si>
  <si>
    <t>ALLA0210403</t>
  </si>
  <si>
    <t>ALLA0210404</t>
  </si>
  <si>
    <t>ALLA0210405</t>
  </si>
  <si>
    <t>ALLA0210406</t>
  </si>
  <si>
    <t>ALLA0210407</t>
  </si>
  <si>
    <t>ALLA0210408</t>
  </si>
  <si>
    <t>ALLA0210409</t>
  </si>
  <si>
    <t>ALLA0210410</t>
  </si>
  <si>
    <t>ALLA0210411</t>
  </si>
  <si>
    <t>ALLA0210412</t>
  </si>
  <si>
    <t>ALLA0210413</t>
  </si>
  <si>
    <t>ALLA0210414</t>
  </si>
  <si>
    <t>ALLA0210415</t>
  </si>
  <si>
    <t>ALLA0210416</t>
  </si>
  <si>
    <t>ALLA0210417</t>
  </si>
  <si>
    <t>ALLA0210418</t>
  </si>
  <si>
    <t>ALLA0210419</t>
  </si>
  <si>
    <t>ALLA0210420</t>
  </si>
  <si>
    <t>ALLA0210421</t>
  </si>
  <si>
    <t>ALLA0210422</t>
  </si>
  <si>
    <t>ALLA0210423</t>
  </si>
  <si>
    <t>ALLA0210424</t>
  </si>
  <si>
    <t>ALLA0210425</t>
  </si>
  <si>
    <t>ALLA0210426</t>
  </si>
  <si>
    <t>ALLA0210427</t>
  </si>
  <si>
    <t>ALLA0210428</t>
  </si>
  <si>
    <t>ALLA0210429</t>
  </si>
  <si>
    <t>ALLA0210430</t>
  </si>
  <si>
    <t>ALLA0210431</t>
  </si>
  <si>
    <t>ALLA0210433</t>
  </si>
  <si>
    <t>ALLA0210434</t>
  </si>
  <si>
    <t>ALLA0210435</t>
  </si>
  <si>
    <t>ALLA0210436</t>
  </si>
  <si>
    <t>ALLA0210437</t>
  </si>
  <si>
    <t>ALLA0210438</t>
  </si>
  <si>
    <t>ALLA0210439</t>
  </si>
  <si>
    <t>ALLA0210440</t>
  </si>
  <si>
    <t>ALLA0210441</t>
  </si>
  <si>
    <t>ALLA0210442</t>
  </si>
  <si>
    <t>ALLA0210443</t>
  </si>
  <si>
    <t>ALLA0210444</t>
  </si>
  <si>
    <t>ALLA0210445</t>
  </si>
  <si>
    <t>ALLA0210446</t>
  </si>
  <si>
    <t>ALLA0210447</t>
  </si>
  <si>
    <t>ALLA0210448</t>
  </si>
  <si>
    <t>ALLA0210449</t>
  </si>
  <si>
    <t>ALLA0210450</t>
  </si>
  <si>
    <t>ALLA0210451</t>
  </si>
  <si>
    <t>ALLA0210452</t>
  </si>
  <si>
    <t>ALLA0210453</t>
  </si>
  <si>
    <t>ALLA0210454</t>
  </si>
  <si>
    <t>ALLA0210455</t>
  </si>
  <si>
    <t>ALLA0210456</t>
  </si>
  <si>
    <t>ALLA0210457</t>
  </si>
  <si>
    <t>ALLA0210458</t>
  </si>
  <si>
    <t>ALLA0210459</t>
  </si>
  <si>
    <t>ALLA0210460</t>
  </si>
  <si>
    <t>ALLA0210461</t>
  </si>
  <si>
    <t>ALLA0210462</t>
  </si>
  <si>
    <t>ALLA0210463</t>
  </si>
  <si>
    <t>ALLA0210464</t>
  </si>
  <si>
    <t>ALLA0210465</t>
  </si>
  <si>
    <t>ALLA0210466</t>
  </si>
  <si>
    <t>ALLA0210467</t>
  </si>
  <si>
    <t>ALLA0210468</t>
  </si>
  <si>
    <t>ALLA0210469</t>
  </si>
  <si>
    <t>ALLA0210470</t>
  </si>
  <si>
    <t>ALLA0210471</t>
  </si>
  <si>
    <t>ALLA0210472</t>
  </si>
  <si>
    <t>ALLA0210473</t>
  </si>
  <si>
    <t>ALLA0210474</t>
  </si>
  <si>
    <t>ALLA0210475</t>
  </si>
  <si>
    <t>ALLA0210476</t>
  </si>
  <si>
    <t>ALLA0210477</t>
  </si>
  <si>
    <t>ALLA0210478</t>
  </si>
  <si>
    <t>ALLA0210479</t>
  </si>
  <si>
    <t>ALLA0210480</t>
  </si>
  <si>
    <t>ALLA0210481</t>
  </si>
  <si>
    <t>ALLA0210482</t>
  </si>
  <si>
    <t>ALLA0210483</t>
  </si>
  <si>
    <t>ALLA0210484</t>
  </si>
  <si>
    <t>ALLA0210485</t>
  </si>
  <si>
    <t>ALLA0210486</t>
  </si>
  <si>
    <t>ALLA0210487</t>
  </si>
  <si>
    <t>ALLA0210488</t>
  </si>
  <si>
    <t>ALLA0210489</t>
  </si>
  <si>
    <t>ALLA0210490</t>
  </si>
  <si>
    <t>ALLA0210491</t>
  </si>
  <si>
    <t>ALLA0210492</t>
  </si>
  <si>
    <t>ALLA0210493</t>
  </si>
  <si>
    <t>ALLA0210494</t>
  </si>
  <si>
    <t>ALLA0210495</t>
  </si>
  <si>
    <t>ALLA0210496</t>
  </si>
  <si>
    <t>ALLA0210497</t>
  </si>
  <si>
    <t>ALLA0210498</t>
  </si>
  <si>
    <t>ALLA0210499</t>
  </si>
  <si>
    <t>ALLA0210500</t>
  </si>
  <si>
    <t>ALLA0210501</t>
  </si>
  <si>
    <t>ALLA0210502</t>
  </si>
  <si>
    <t>ALLA0210503</t>
  </si>
  <si>
    <t>ALLA0210504</t>
  </si>
  <si>
    <t>ALLA0210505</t>
  </si>
  <si>
    <t>ALLA0210506</t>
  </si>
  <si>
    <t>ALLA0210508</t>
  </si>
  <si>
    <t>ALLA0210509</t>
  </si>
  <si>
    <t>ALLA0210510</t>
  </si>
  <si>
    <t>ALLA0210511</t>
  </si>
  <si>
    <t>ALLA0210513</t>
  </si>
  <si>
    <t>ALLA0210514</t>
  </si>
  <si>
    <t>ALLA0210515</t>
  </si>
  <si>
    <t>ALLA0210516</t>
  </si>
  <si>
    <t>ALLA0210517</t>
  </si>
  <si>
    <t>ALLA0210518</t>
  </si>
  <si>
    <t>ALLA0210519</t>
  </si>
  <si>
    <t>ALLA0210520</t>
  </si>
  <si>
    <t>ALLA0210521</t>
  </si>
  <si>
    <t>ALLA0210522</t>
  </si>
  <si>
    <t>ALLA0210523</t>
  </si>
  <si>
    <t>ALLA0210524</t>
  </si>
  <si>
    <t>ALLA0210525</t>
  </si>
  <si>
    <t>ALLA0210526</t>
  </si>
  <si>
    <t>ALLA0210527</t>
  </si>
  <si>
    <t>ALLA0210528</t>
  </si>
  <si>
    <t>ALLA0210529</t>
  </si>
  <si>
    <t>ALLA0210530</t>
  </si>
  <si>
    <t>ALLA0210531</t>
  </si>
  <si>
    <t>ALLA0210532</t>
  </si>
  <si>
    <t>ALLA0210533</t>
  </si>
  <si>
    <t>ALLA0210534</t>
  </si>
  <si>
    <t>ALLA0210535</t>
  </si>
  <si>
    <t>ALLA0210536</t>
  </si>
  <si>
    <t>ALLA0210537</t>
  </si>
  <si>
    <t>ALLA0210539</t>
  </si>
  <si>
    <t>ALLA0210540</t>
  </si>
  <si>
    <t>ALLA0210541</t>
  </si>
  <si>
    <t>ALLA0210542</t>
  </si>
  <si>
    <t>ALLA0210543</t>
  </si>
  <si>
    <t>ALLA0210545</t>
  </si>
  <si>
    <t>ALLA0210546</t>
  </si>
  <si>
    <t>ALLA0210547</t>
  </si>
  <si>
    <t>ALLA0210548</t>
  </si>
  <si>
    <t>ALLA0210549</t>
  </si>
  <si>
    <t>ALLA0210550</t>
  </si>
  <si>
    <t>ALLA0210551</t>
  </si>
  <si>
    <t>ALLA0AU1386</t>
  </si>
  <si>
    <t>ALLA0AU1387</t>
  </si>
  <si>
    <t>ALLA0AU1388</t>
  </si>
  <si>
    <t>ALLA0AU1389</t>
  </si>
  <si>
    <t>ALLA0AU1390</t>
  </si>
  <si>
    <t>ALLA0AU1391</t>
  </si>
  <si>
    <t>ALLA0AU1392</t>
  </si>
  <si>
    <t>ALLA0AU1393</t>
  </si>
  <si>
    <t>ALLA0AU1394</t>
  </si>
  <si>
    <t>ALLA0AU1395</t>
  </si>
  <si>
    <t>ALLA0AU1396</t>
  </si>
  <si>
    <t>ALLA0AU1397</t>
  </si>
  <si>
    <t>ALLA0AU1398</t>
  </si>
  <si>
    <t>ALLA0AU1399</t>
  </si>
  <si>
    <t>ALLA0AU1400</t>
  </si>
  <si>
    <t>ALLA0AU1401</t>
  </si>
  <si>
    <t>ALLA0AU1402</t>
  </si>
  <si>
    <t>ALLA0AU1403</t>
  </si>
  <si>
    <t>ALLA0AU1404</t>
  </si>
  <si>
    <t>ALLA0AU1405</t>
  </si>
  <si>
    <t>ALLA0AU1406</t>
  </si>
  <si>
    <t>ALLA0AU1407</t>
  </si>
  <si>
    <t>ALLA0AU1408</t>
  </si>
  <si>
    <t>ALLA0AU1409</t>
  </si>
  <si>
    <t>ALLA0AU1410</t>
  </si>
  <si>
    <t>ALLA0AU1411</t>
  </si>
  <si>
    <t>ALLA0AU1412</t>
  </si>
  <si>
    <t>ALLA0AU1413</t>
  </si>
  <si>
    <t>ALLA0AU1414</t>
  </si>
  <si>
    <t>ALLA0AU1415</t>
  </si>
  <si>
    <t>ALLA0AU1416</t>
  </si>
  <si>
    <t>ALLA0AU1417</t>
  </si>
  <si>
    <t>ALLA0AU1418</t>
  </si>
  <si>
    <t>ALLA0AU1419</t>
  </si>
  <si>
    <t>ALLA0AU1420</t>
  </si>
  <si>
    <t>ALLA0AU1421</t>
  </si>
  <si>
    <t>ALLA0AU1422</t>
  </si>
  <si>
    <t>ALLA0AU1423</t>
  </si>
  <si>
    <t>ALLA0AU1424</t>
  </si>
  <si>
    <t>ALLA0AU1425</t>
  </si>
  <si>
    <t>ALLA0AU1426</t>
  </si>
  <si>
    <t>ALLA0AU1427</t>
  </si>
  <si>
    <t>ALLA0AU1428</t>
  </si>
  <si>
    <t>ALLA0AU1429</t>
  </si>
  <si>
    <t>ALLA0AU1430</t>
  </si>
  <si>
    <t>ALLA0AU1431</t>
  </si>
  <si>
    <t>ALLA0AU1433</t>
  </si>
  <si>
    <t>ALLA0AU1434</t>
  </si>
  <si>
    <t>ALLA0AU1435</t>
  </si>
  <si>
    <t>ALLA0AU1436</t>
  </si>
  <si>
    <t>ALLA0AU1437</t>
  </si>
  <si>
    <t>ALLA0AU1438</t>
  </si>
  <si>
    <t>ALLA0AU1439</t>
  </si>
  <si>
    <t>ALLA0AU1440</t>
  </si>
  <si>
    <t>ALLA0AU1441</t>
  </si>
  <si>
    <t>ALLA0AU1442</t>
  </si>
  <si>
    <t>ALLA0AU1443</t>
  </si>
  <si>
    <t>ALLA0AU1444</t>
  </si>
  <si>
    <t>ALLA0AU1445</t>
  </si>
  <si>
    <t>ALLA0AU1446</t>
  </si>
  <si>
    <t>ALLA0AU1447</t>
  </si>
  <si>
    <t>ALLA0AU1448</t>
  </si>
  <si>
    <t>ALLA0AU1449</t>
  </si>
  <si>
    <t>ALLA0AU1450</t>
  </si>
  <si>
    <t>ALLA0AU1451</t>
  </si>
  <si>
    <t>ALLA0AU1452</t>
  </si>
  <si>
    <t>ALLA0AU1453</t>
  </si>
  <si>
    <t>ALLA0AU1454</t>
  </si>
  <si>
    <t>ALLA0AU1455</t>
  </si>
  <si>
    <t>ALLA0AU1456</t>
  </si>
  <si>
    <t>ALLA0AU1457</t>
  </si>
  <si>
    <t>ALLA0AU1458</t>
  </si>
  <si>
    <t>ALLA0AU1459</t>
  </si>
  <si>
    <t>ALLA0AU1460</t>
  </si>
  <si>
    <t>ALLA0AU1461</t>
  </si>
  <si>
    <t>ALLA0AU1462</t>
  </si>
  <si>
    <t>ALLA0AU1463</t>
  </si>
  <si>
    <t>ALLA0AU1464</t>
  </si>
  <si>
    <t>ALLA0AU1465</t>
  </si>
  <si>
    <t>ALLA0AU1466</t>
  </si>
  <si>
    <t>ALLA0AU1467</t>
  </si>
  <si>
    <t>ALLA0AU1468</t>
  </si>
  <si>
    <t>ALLA0AU1469</t>
  </si>
  <si>
    <t>ALLA0AU1470</t>
  </si>
  <si>
    <t>ALLA0AU1471</t>
  </si>
  <si>
    <t>ALLA0AU1472</t>
  </si>
  <si>
    <t>ALLA0AU1473</t>
  </si>
  <si>
    <t>ALLA0AU1474</t>
  </si>
  <si>
    <t>ALLA0AU1475</t>
  </si>
  <si>
    <t>ALLA0AU1476</t>
  </si>
  <si>
    <t>ALLA0AU1477</t>
  </si>
  <si>
    <t>ALLA0AU1478</t>
  </si>
  <si>
    <t>ALLA0AU1479</t>
  </si>
  <si>
    <t>ALLA0AU1480</t>
  </si>
  <si>
    <t>ALLA0AU1481</t>
  </si>
  <si>
    <t>ALLA0AU1482</t>
  </si>
  <si>
    <t>ALLA0AU1483</t>
  </si>
  <si>
    <t>ALLA0AU1484</t>
  </si>
  <si>
    <t>ALLA0AU1485</t>
  </si>
  <si>
    <t>ALLA0AU1486</t>
  </si>
  <si>
    <t>ALLA0AU1487</t>
  </si>
  <si>
    <t>ALLA0AU1488</t>
  </si>
  <si>
    <t>ALLA0AU1489</t>
  </si>
  <si>
    <t>ALLA0AU1490</t>
  </si>
  <si>
    <t>ALLA0AU1491</t>
  </si>
  <si>
    <t>ALLA0AU1492</t>
  </si>
  <si>
    <t>ALLA0AU1493</t>
  </si>
  <si>
    <t>ALLA0AU1494</t>
  </si>
  <si>
    <t>ALLA0AU1495</t>
  </si>
  <si>
    <t>ALLA0AU1496</t>
  </si>
  <si>
    <t>ALLA0AU1497</t>
  </si>
  <si>
    <t>ALLA0AU1498</t>
  </si>
  <si>
    <t>ALLA0AU1499</t>
  </si>
  <si>
    <t>ALLA0AU1500</t>
  </si>
  <si>
    <t>ALLA0AU1501</t>
  </si>
  <si>
    <t>ALLA0AU1502</t>
  </si>
  <si>
    <t>ALLA0AU1503</t>
  </si>
  <si>
    <t>ALLA0AU1504</t>
  </si>
  <si>
    <t>ALLA0AU1505</t>
  </si>
  <si>
    <t>ALLA0AU1506</t>
  </si>
  <si>
    <t>ALLA0AU1507</t>
  </si>
  <si>
    <t>ALLA0AU1508</t>
  </si>
  <si>
    <t>ALLA0AU1509</t>
  </si>
  <si>
    <t>ALLA0AU1510</t>
  </si>
  <si>
    <t>ALLA0AU1511</t>
  </si>
  <si>
    <t>ALLA0AU1512</t>
  </si>
  <si>
    <t>ALLA0AU1513</t>
  </si>
  <si>
    <t>ALLA0AU1514</t>
  </si>
  <si>
    <t>ALLA0AU1515</t>
  </si>
  <si>
    <t>ALLA0AU1516</t>
  </si>
  <si>
    <t>ALLA0AU1517</t>
  </si>
  <si>
    <t>ALLA0AU1518</t>
  </si>
  <si>
    <t>ALLA0AU1519</t>
  </si>
  <si>
    <t>ALLA0AU1520</t>
  </si>
  <si>
    <t>ALLA0AU1521</t>
  </si>
  <si>
    <t>ALLA0AU1522</t>
  </si>
  <si>
    <t>ALLA0AU1523</t>
  </si>
  <si>
    <t>ALLA0AU1524</t>
  </si>
  <si>
    <t>ALLA0AU1525</t>
  </si>
  <si>
    <t>ALLA0AU1526</t>
  </si>
  <si>
    <t>ALLA0AU1527</t>
  </si>
  <si>
    <t>ALLA0AU1528</t>
  </si>
  <si>
    <t>ALLA0AU1529</t>
  </si>
  <si>
    <t>ALLA0AU1530</t>
  </si>
  <si>
    <t>ALLA0AU1531</t>
  </si>
  <si>
    <t>ALLA0AU1532</t>
  </si>
  <si>
    <t>ALLA0AU1533</t>
  </si>
  <si>
    <t>ALLA0AU1534</t>
  </si>
  <si>
    <t>ALLA0AU1535</t>
  </si>
  <si>
    <t>ALLA0AU1536</t>
  </si>
  <si>
    <t>ALLA0AU1537</t>
  </si>
  <si>
    <t>ALLA0AU1538</t>
  </si>
  <si>
    <t>ALLA0AU1539</t>
  </si>
  <si>
    <t>ALLA0AU1540</t>
  </si>
  <si>
    <t>ALLA0AU1541</t>
  </si>
  <si>
    <t>ALLA0AU1546</t>
  </si>
  <si>
    <t>ALLA0AU1547</t>
  </si>
  <si>
    <t>ALLA0AU1548</t>
  </si>
  <si>
    <t>ALLA0AU1549</t>
  </si>
  <si>
    <t>ALLA0AU1550</t>
  </si>
  <si>
    <t>ALLA0AU1551</t>
  </si>
  <si>
    <t>ALLA0AU1552</t>
  </si>
  <si>
    <t>ALLA0AU1553</t>
  </si>
  <si>
    <t>ALLA0AU1554</t>
  </si>
  <si>
    <t>ALLA0AU1555</t>
  </si>
  <si>
    <t>ALLA0AU1556</t>
  </si>
  <si>
    <t>ALLA0AU1557</t>
  </si>
  <si>
    <t>ALLA0AU1558</t>
  </si>
  <si>
    <t>ALLA0AU1559</t>
  </si>
  <si>
    <t>ALLA0AU1560</t>
  </si>
  <si>
    <t>ALLA0AU1561</t>
  </si>
  <si>
    <t>ALLA0AU1562</t>
  </si>
  <si>
    <t>ALLA0AU1563</t>
  </si>
  <si>
    <t>ALLA0AU1564</t>
  </si>
  <si>
    <t>ALLA0AU1565</t>
  </si>
  <si>
    <t>ALLA0AU1566</t>
  </si>
  <si>
    <t>ALLA0AU1567</t>
  </si>
  <si>
    <t>ALLA0AU1568</t>
  </si>
  <si>
    <t>ALLA0AU1569</t>
  </si>
  <si>
    <t>ALLA0AU1570</t>
  </si>
  <si>
    <t>ALLA0AU1571</t>
  </si>
  <si>
    <t>ALLA0AU1572</t>
  </si>
  <si>
    <t>ALLA0AU1573</t>
  </si>
  <si>
    <t>ALLA0AU1574</t>
  </si>
  <si>
    <t>ALLA0AU1575</t>
  </si>
  <si>
    <t>ALLA0AU1576</t>
  </si>
  <si>
    <t>ALLA0AU1577</t>
  </si>
  <si>
    <t>ALLA0AU1578</t>
  </si>
  <si>
    <t>ALLA0AU1579</t>
  </si>
  <si>
    <t>ALLA0AU1580</t>
  </si>
  <si>
    <t>ALLA0AU1581</t>
  </si>
  <si>
    <t>ALLA0AU1582</t>
  </si>
  <si>
    <t>ALLA0AU1583</t>
  </si>
  <si>
    <t>ALLA0AU1584</t>
  </si>
  <si>
    <t>ALLA0AU1585</t>
  </si>
  <si>
    <t>ALLA0AU1586</t>
  </si>
  <si>
    <t>ALLA0AU1587</t>
  </si>
  <si>
    <t>ALLA0AU1588</t>
  </si>
  <si>
    <t>ALLA0AU1589</t>
  </si>
  <si>
    <t>ALLA0AU1590</t>
  </si>
  <si>
    <t>ALLA0AU1591</t>
  </si>
  <si>
    <t>ALLA0AU1592</t>
  </si>
  <si>
    <t>ALLA0AU1593</t>
  </si>
  <si>
    <t>ALLA0AU1594</t>
  </si>
  <si>
    <t>ALLA0AU1595</t>
  </si>
  <si>
    <t>ALLA0AU1597</t>
  </si>
  <si>
    <t>ALLA0AU1599</t>
  </si>
  <si>
    <t>ALLA0AU1600</t>
  </si>
  <si>
    <t>ALLA0AU1601</t>
  </si>
  <si>
    <t>ALLA0AU1602</t>
  </si>
  <si>
    <t>ALLA0AU1603</t>
  </si>
  <si>
    <t>ALLA0AU1604</t>
  </si>
  <si>
    <t>ALLA0AU1605</t>
  </si>
  <si>
    <t>ALLA0AU1606</t>
  </si>
  <si>
    <t>ALLA0AU1607</t>
  </si>
  <si>
    <t>ALLA0AU1608</t>
  </si>
  <si>
    <t>ALLA0AU1609</t>
  </si>
  <si>
    <t>AMCB0660002</t>
  </si>
  <si>
    <t>AMCB0660003</t>
  </si>
  <si>
    <t>AMCB0660004</t>
  </si>
  <si>
    <t>AMCB0660005</t>
  </si>
  <si>
    <t>AMCB0660007</t>
  </si>
  <si>
    <t>AMCB0660008</t>
  </si>
  <si>
    <t>AMCB0660009</t>
  </si>
  <si>
    <t>AMCB0660010</t>
  </si>
  <si>
    <t>AMCB0660011</t>
  </si>
  <si>
    <t>AMCB0660012</t>
  </si>
  <si>
    <t>AMCB0660013</t>
  </si>
  <si>
    <t>AMCB0660014</t>
  </si>
  <si>
    <t>AMCB0660015</t>
  </si>
  <si>
    <t>AMCB0660016</t>
  </si>
  <si>
    <t>AMCB0660017</t>
  </si>
  <si>
    <t>AMCB0660018</t>
  </si>
  <si>
    <t>AMCB0660019</t>
  </si>
  <si>
    <t>AMCB0660020</t>
  </si>
  <si>
    <t>AMCB0660021</t>
  </si>
  <si>
    <t>AMCB0660022</t>
  </si>
  <si>
    <t>AMCB0660023</t>
  </si>
  <si>
    <t>AMCB0660024</t>
  </si>
  <si>
    <t>AMCB0660025</t>
  </si>
  <si>
    <t>AMCB0660026</t>
  </si>
  <si>
    <t>AMCB0660027</t>
  </si>
  <si>
    <t>AMCB0660028</t>
  </si>
  <si>
    <t>AMCB0660029</t>
  </si>
  <si>
    <t>AMCB0660030</t>
  </si>
  <si>
    <t>BACB0000003</t>
  </si>
  <si>
    <t>BACB0000004</t>
  </si>
  <si>
    <t>BACB0000005</t>
  </si>
  <si>
    <t>BACB0000006</t>
  </si>
  <si>
    <t>BACB0000007</t>
  </si>
  <si>
    <t>BACB0000008</t>
  </si>
  <si>
    <t>BACB0000009</t>
  </si>
  <si>
    <t>BACB0000010</t>
  </si>
  <si>
    <t>BACB0000011</t>
  </si>
  <si>
    <t>BACB0000012</t>
  </si>
  <si>
    <t>BACB0000013</t>
  </si>
  <si>
    <t>BACB0000014</t>
  </si>
  <si>
    <t>BACB0000015</t>
  </si>
  <si>
    <t>BACB0000016</t>
  </si>
  <si>
    <t>BACB0000017</t>
  </si>
  <si>
    <t>BACB0000018</t>
  </si>
  <si>
    <t>BACB0000019</t>
  </si>
  <si>
    <t>BACB0000020</t>
  </si>
  <si>
    <t>BACB0000021</t>
  </si>
  <si>
    <t>BACB0000022</t>
  </si>
  <si>
    <t>BACB0000023</t>
  </si>
  <si>
    <t>BACB0000024</t>
  </si>
  <si>
    <t>BACB0000025</t>
  </si>
  <si>
    <t>BACB0000026</t>
  </si>
  <si>
    <t>BACB0000027</t>
  </si>
  <si>
    <t>BACB0000028</t>
  </si>
  <si>
    <t>BACB0000029</t>
  </si>
  <si>
    <t>BACB0000030</t>
  </si>
  <si>
    <t>BACB0000031</t>
  </si>
  <si>
    <t>BACB0000032</t>
  </si>
  <si>
    <t>BACB0000033</t>
  </si>
  <si>
    <t>BACB0000034</t>
  </si>
  <si>
    <t>BACB0000035</t>
  </si>
  <si>
    <t>BACB0000036</t>
  </si>
  <si>
    <t>BACB0000102</t>
  </si>
  <si>
    <t>BACB0000111</t>
  </si>
  <si>
    <t>BACB0000112</t>
  </si>
  <si>
    <t>BACB0000121</t>
  </si>
  <si>
    <t>BARC0INBBIR</t>
  </si>
  <si>
    <t>BCBM0000018</t>
  </si>
  <si>
    <t>BCBM0000019</t>
  </si>
  <si>
    <t>BCBM0000020</t>
  </si>
  <si>
    <t>BCBM0000021</t>
  </si>
  <si>
    <t>BCBM0000022</t>
  </si>
  <si>
    <t>BCBM0000023</t>
  </si>
  <si>
    <t>BCBM0000024</t>
  </si>
  <si>
    <t>BCBM0000025</t>
  </si>
  <si>
    <t>BCBM0000026</t>
  </si>
  <si>
    <t>BCBM0000027</t>
  </si>
  <si>
    <t>BCBM0000028</t>
  </si>
  <si>
    <t>BCBM0000029</t>
  </si>
  <si>
    <t>BCBM0000030</t>
  </si>
  <si>
    <t>BCBM0000031</t>
  </si>
  <si>
    <t>BCBM0000032</t>
  </si>
  <si>
    <t>BCBM0000033</t>
  </si>
  <si>
    <t>BCBM0000034</t>
  </si>
  <si>
    <t>BCBM0000035</t>
  </si>
  <si>
    <t>BCBM0000036</t>
  </si>
  <si>
    <t>BCBM0000037</t>
  </si>
  <si>
    <t>BCBM0000038</t>
  </si>
  <si>
    <t>BCBM0000039</t>
  </si>
  <si>
    <t>BCBM0000040</t>
  </si>
  <si>
    <t>BCBM0000041</t>
  </si>
  <si>
    <t>BCBM0000042</t>
  </si>
  <si>
    <t>BCBM0000043</t>
  </si>
  <si>
    <t>BCBM0000044</t>
  </si>
  <si>
    <t>BCBM0000045</t>
  </si>
  <si>
    <t>BCBM0000046</t>
  </si>
  <si>
    <t>BCBM0000047</t>
  </si>
  <si>
    <t>BCBM0000048</t>
  </si>
  <si>
    <t>BCBM0000049</t>
  </si>
  <si>
    <t>BCBM0000050</t>
  </si>
  <si>
    <t>BCBM0000051</t>
  </si>
  <si>
    <t>BCBM0000052</t>
  </si>
  <si>
    <t>BCBM0000053</t>
  </si>
  <si>
    <t>BCBM0000054</t>
  </si>
  <si>
    <t>BCBM0000055</t>
  </si>
  <si>
    <t>BCBM0000056</t>
  </si>
  <si>
    <t>BOTM0BL3626</t>
  </si>
  <si>
    <t>BOTM0CN3615</t>
  </si>
  <si>
    <t>BOTM0MB3612</t>
  </si>
  <si>
    <t>BOTM0ND3611</t>
  </si>
  <si>
    <t>BOTM0NEEMRA</t>
  </si>
  <si>
    <t>HDFC0000833</t>
  </si>
  <si>
    <t>HDFC0000835</t>
  </si>
  <si>
    <t>HDFC0000836</t>
  </si>
  <si>
    <t>HDFC0000837</t>
  </si>
  <si>
    <t>HDFC0000839</t>
  </si>
  <si>
    <t>HDFC0000844</t>
  </si>
  <si>
    <t>HDFC0000847</t>
  </si>
  <si>
    <t>HDFC0000848</t>
  </si>
  <si>
    <t>HDFC0000849</t>
  </si>
  <si>
    <t>HDFC0000850</t>
  </si>
  <si>
    <t>HDFC0000851</t>
  </si>
  <si>
    <t>HDFC0000852</t>
  </si>
  <si>
    <t>HDFC0000853</t>
  </si>
  <si>
    <t>HDFC0000854</t>
  </si>
  <si>
    <t>HDFC0000855</t>
  </si>
  <si>
    <t>HDFC0000856</t>
  </si>
  <si>
    <t>HDFC0000857</t>
  </si>
  <si>
    <t>HDFC0000858</t>
  </si>
  <si>
    <t>HDFC0000859</t>
  </si>
  <si>
    <t>HDFC0000860</t>
  </si>
  <si>
    <t>HDFC0000861</t>
  </si>
  <si>
    <t>HDFC0000862</t>
  </si>
  <si>
    <t>HDFC0000863</t>
  </si>
  <si>
    <t>HDFC0000864</t>
  </si>
  <si>
    <t>HDFC0000865</t>
  </si>
  <si>
    <t>HDFC0000866</t>
  </si>
  <si>
    <t>HDFC0000867</t>
  </si>
  <si>
    <t>HDFC0000868</t>
  </si>
  <si>
    <t>HDFC0000869</t>
  </si>
  <si>
    <t>HDFC0000870</t>
  </si>
  <si>
    <t>HDFC0000871</t>
  </si>
  <si>
    <t>HDFC0000872</t>
  </si>
  <si>
    <t>HDFC0000873</t>
  </si>
  <si>
    <t>HDFC0000875</t>
  </si>
  <si>
    <t>HDFC0000876</t>
  </si>
  <si>
    <t>HDFC0000877</t>
  </si>
  <si>
    <t>HDFC0000878</t>
  </si>
  <si>
    <t>HDFC0000879</t>
  </si>
  <si>
    <t>HDFC0000880</t>
  </si>
  <si>
    <t>HDFC0000881</t>
  </si>
  <si>
    <t>HDFC0000882</t>
  </si>
  <si>
    <t>HDFC0000884</t>
  </si>
  <si>
    <t>HDFC0000885</t>
  </si>
  <si>
    <t>HDFC0000886</t>
  </si>
  <si>
    <t>HDFC0000887</t>
  </si>
  <si>
    <t>HDFC0000888</t>
  </si>
  <si>
    <t>HDFC0000889</t>
  </si>
  <si>
    <t>HDFC0000890</t>
  </si>
  <si>
    <t>HDFC0000891</t>
  </si>
  <si>
    <t>HDFC0000893</t>
  </si>
  <si>
    <t>HDFC0000894</t>
  </si>
  <si>
    <t>HDFC0000896</t>
  </si>
  <si>
    <t>HDFC0000897</t>
  </si>
  <si>
    <t>HDFC0000900</t>
  </si>
  <si>
    <t>HDFC0000901</t>
  </si>
  <si>
    <t>HDFC0000903</t>
  </si>
  <si>
    <t>HDFC0000904</t>
  </si>
  <si>
    <t>HDFC0000905</t>
  </si>
  <si>
    <t>HDFC0000906</t>
  </si>
  <si>
    <t>HDFC0000907</t>
  </si>
  <si>
    <t>HDFC0000908</t>
  </si>
  <si>
    <t>HDFC0000909</t>
  </si>
  <si>
    <t>HDFC0000910</t>
  </si>
  <si>
    <t>HDFC0000911</t>
  </si>
  <si>
    <t>HDFC0000912</t>
  </si>
  <si>
    <t>HDFC0000913</t>
  </si>
  <si>
    <t>HDFC0000914</t>
  </si>
  <si>
    <t>HDFC0000915</t>
  </si>
  <si>
    <t>HDFC0000916</t>
  </si>
  <si>
    <t>HDFC0000917</t>
  </si>
  <si>
    <t>HDFC0000918</t>
  </si>
  <si>
    <t>HDFC0000919</t>
  </si>
  <si>
    <t>HDFC0000920</t>
  </si>
  <si>
    <t>HDFC0000921</t>
  </si>
  <si>
    <t>HDFC0000922</t>
  </si>
  <si>
    <t>HDFC0000923</t>
  </si>
  <si>
    <t>HDFC0000924</t>
  </si>
  <si>
    <t>HDFC0000925</t>
  </si>
  <si>
    <t>HDFC0000926</t>
  </si>
  <si>
    <t>HDFC0000927</t>
  </si>
  <si>
    <t>HDFC0000928</t>
  </si>
  <si>
    <t>HDFC0000929</t>
  </si>
  <si>
    <t>HDFC0000930</t>
  </si>
  <si>
    <t>HDFC0000931</t>
  </si>
  <si>
    <t>HDFC0000932</t>
  </si>
  <si>
    <t>HDFC0000933</t>
  </si>
  <si>
    <t>HDFC0000934</t>
  </si>
  <si>
    <t>HDFC0000935</t>
  </si>
  <si>
    <t>HDFC0000936</t>
  </si>
  <si>
    <t>HDFC0000937</t>
  </si>
  <si>
    <t>HDFC0000939</t>
  </si>
  <si>
    <t>HDFC0000942</t>
  </si>
  <si>
    <t>HDFC0000943</t>
  </si>
  <si>
    <t>HDFC0000944</t>
  </si>
  <si>
    <t>HDFC0000945</t>
  </si>
  <si>
    <t>HDFC0000946</t>
  </si>
  <si>
    <t>HDFC0000947</t>
  </si>
  <si>
    <t>HDFC0000948</t>
  </si>
  <si>
    <t>HDFC0000949</t>
  </si>
  <si>
    <t>HDFC0000950</t>
  </si>
  <si>
    <t>HDFC0000951</t>
  </si>
  <si>
    <t>HDFC0000952</t>
  </si>
  <si>
    <t>HDFC0000953</t>
  </si>
  <si>
    <t>HDFC0000954</t>
  </si>
  <si>
    <t>HDFC0000955</t>
  </si>
  <si>
    <t>HDFC0000956</t>
  </si>
  <si>
    <t>HDFC0000957</t>
  </si>
  <si>
    <t>HDFC0000958</t>
  </si>
  <si>
    <t>HDFC0000959</t>
  </si>
  <si>
    <t>HDFC0000960</t>
  </si>
  <si>
    <t>HDFC0000961</t>
  </si>
  <si>
    <t>HDFC0000962</t>
  </si>
  <si>
    <t>HDFC0000963</t>
  </si>
  <si>
    <t>HDFC0000964</t>
  </si>
  <si>
    <t>HDFC0000965</t>
  </si>
  <si>
    <t>HDFC0000966</t>
  </si>
  <si>
    <t>HDFC0000967</t>
  </si>
  <si>
    <t>HDFC0000968</t>
  </si>
  <si>
    <t>HDFC0000970</t>
  </si>
  <si>
    <t>HDFC0000971</t>
  </si>
  <si>
    <t>HDFC0000972</t>
  </si>
  <si>
    <t>HDFC0000973</t>
  </si>
  <si>
    <t>HDFC0000974</t>
  </si>
  <si>
    <t>HDFC0000975</t>
  </si>
  <si>
    <t>HDFC0000979</t>
  </si>
  <si>
    <t>HDFC0000980</t>
  </si>
  <si>
    <t>HDFC0000981</t>
  </si>
  <si>
    <t>HDFC0000982</t>
  </si>
  <si>
    <t>HDFC0000985</t>
  </si>
  <si>
    <t>HDFC0000986</t>
  </si>
  <si>
    <t>HDFC0000987</t>
  </si>
  <si>
    <t>HDFC0000988</t>
  </si>
  <si>
    <t>HDFC0000989</t>
  </si>
  <si>
    <t>HDFC0000990</t>
  </si>
  <si>
    <t>HDFC0000993</t>
  </si>
  <si>
    <t>HDFC0000994</t>
  </si>
  <si>
    <t>HDFC0000995</t>
  </si>
  <si>
    <t>HDFC0000996</t>
  </si>
  <si>
    <t>HDFC0000997</t>
  </si>
  <si>
    <t>HDFC0000998</t>
  </si>
  <si>
    <t>HDFC0001000</t>
  </si>
  <si>
    <t>HDFC0001001</t>
  </si>
  <si>
    <t>HDFC0001002</t>
  </si>
  <si>
    <t>HDFC0001003</t>
  </si>
  <si>
    <t>HDFC0001004</t>
  </si>
  <si>
    <t>HDFC0001005</t>
  </si>
  <si>
    <t>HDFC0001006</t>
  </si>
  <si>
    <t>HDFC0001007</t>
  </si>
  <si>
    <t>HDFC0001008</t>
  </si>
  <si>
    <t>HDFC0001009</t>
  </si>
  <si>
    <t>HDFC0001012</t>
  </si>
  <si>
    <t>HDFC0001013</t>
  </si>
  <si>
    <t>HDFC0001014</t>
  </si>
  <si>
    <t>HDFC0001015</t>
  </si>
  <si>
    <t>HDFC0001016</t>
  </si>
  <si>
    <t>HDFC0001017</t>
  </si>
  <si>
    <t>HDFC0001019</t>
  </si>
  <si>
    <t>HDFC0001020</t>
  </si>
  <si>
    <t>HDFC0001021</t>
  </si>
  <si>
    <t>HDFC0001022</t>
  </si>
  <si>
    <t>HDFC0001023</t>
  </si>
  <si>
    <t>HDFC0001024</t>
  </si>
  <si>
    <t>HDFC0001026</t>
  </si>
  <si>
    <t>HDFC0001027</t>
  </si>
  <si>
    <t>HDFC0001028</t>
  </si>
  <si>
    <t>HDFC0001029</t>
  </si>
  <si>
    <t>HDFC0001030</t>
  </si>
  <si>
    <t>HDFC0001031</t>
  </si>
  <si>
    <t>HDFC0001032</t>
  </si>
  <si>
    <t>HDFC0001033</t>
  </si>
  <si>
    <t>HDFC0001034</t>
  </si>
  <si>
    <t>HDFC0001035</t>
  </si>
  <si>
    <t>HDFC0001036</t>
  </si>
  <si>
    <t>HDFC0001037</t>
  </si>
  <si>
    <t>HDFC0001038</t>
  </si>
  <si>
    <t>HDFC0001039</t>
  </si>
  <si>
    <t>HDFC0001040</t>
  </si>
  <si>
    <t>HDFC0001041</t>
  </si>
  <si>
    <t>HDFC0001042</t>
  </si>
  <si>
    <t>HDFC0001043</t>
  </si>
  <si>
    <t>HDFC0001044</t>
  </si>
  <si>
    <t>HDFC0001045</t>
  </si>
  <si>
    <t>HDFC0001046</t>
  </si>
  <si>
    <t>HDFC0001047</t>
  </si>
  <si>
    <t>HDFC0001048</t>
  </si>
  <si>
    <t>HDFC0001049</t>
  </si>
  <si>
    <t>HDFC0001050</t>
  </si>
  <si>
    <t>HDFC0001051</t>
  </si>
  <si>
    <t>HDFC0001052</t>
  </si>
  <si>
    <t>HDFC0001053</t>
  </si>
  <si>
    <t>HDFC0001054</t>
  </si>
  <si>
    <t>HDFC0001055</t>
  </si>
  <si>
    <t>HDFC0001056</t>
  </si>
  <si>
    <t>HDFC0001057</t>
  </si>
  <si>
    <t>HDFC0001058</t>
  </si>
  <si>
    <t>HDFC0001059</t>
  </si>
  <si>
    <t>HDFC0001060</t>
  </si>
  <si>
    <t>HDFC0001061</t>
  </si>
  <si>
    <t>HDFC0001062</t>
  </si>
  <si>
    <t>HDFC0001063</t>
  </si>
  <si>
    <t>HDFC0001064</t>
  </si>
  <si>
    <t>HDFC0001065</t>
  </si>
  <si>
    <t>HDFC0001066</t>
  </si>
  <si>
    <t>HDFC0001067</t>
  </si>
  <si>
    <t>HDFC0001068</t>
  </si>
  <si>
    <t>HDFC0001069</t>
  </si>
  <si>
    <t>HDFC0001070</t>
  </si>
  <si>
    <t>HDFC0001071</t>
  </si>
  <si>
    <t>HDFC0001072</t>
  </si>
  <si>
    <t>HDFC0001073</t>
  </si>
  <si>
    <t>HDFC0001075</t>
  </si>
  <si>
    <t>HDFC0001076</t>
  </si>
  <si>
    <t>HDFC0001077</t>
  </si>
  <si>
    <t>HDFC0001078</t>
  </si>
  <si>
    <t>HDFC0001079</t>
  </si>
  <si>
    <t>HDFC0001080</t>
  </si>
  <si>
    <t>HDFC0001082</t>
  </si>
  <si>
    <t>HDFC0001083</t>
  </si>
  <si>
    <t>HDFC0001084</t>
  </si>
  <si>
    <t>HDFC0001085</t>
  </si>
  <si>
    <t>HDFC0001086</t>
  </si>
  <si>
    <t>HDFC0001087</t>
  </si>
  <si>
    <t>HDFC0001088</t>
  </si>
  <si>
    <t>HDFC0001089</t>
  </si>
  <si>
    <t>HDFC0001090</t>
  </si>
  <si>
    <t>HDFC0001091</t>
  </si>
  <si>
    <t>HDFC0001092</t>
  </si>
  <si>
    <t>HDFC0001093</t>
  </si>
  <si>
    <t>HDFC0001094</t>
  </si>
  <si>
    <t>HDFC0001095</t>
  </si>
  <si>
    <t>HDFC0001096</t>
  </si>
  <si>
    <t>HDFC0001097</t>
  </si>
  <si>
    <t>HDFC0001098</t>
  </si>
  <si>
    <t>HDFC0001102</t>
  </si>
  <si>
    <t>HDFC0001103</t>
  </si>
  <si>
    <t>HDFC0001104</t>
  </si>
  <si>
    <t>HDFC0001105</t>
  </si>
  <si>
    <t>HDFC0001106</t>
  </si>
  <si>
    <t>HDFC0001107</t>
  </si>
  <si>
    <t>HDFC0001108</t>
  </si>
  <si>
    <t>HDFC0001109</t>
  </si>
  <si>
    <t>HDFC0001111</t>
  </si>
  <si>
    <t>HDFC0001112</t>
  </si>
  <si>
    <t>HDFC0001114</t>
  </si>
  <si>
    <t>HDFC0001115</t>
  </si>
  <si>
    <t>HDFC0001116</t>
  </si>
  <si>
    <t>HDFC0001117</t>
  </si>
  <si>
    <t>HDFC0001118</t>
  </si>
  <si>
    <t>HDFC0001119</t>
  </si>
  <si>
    <t>HDFC0001120</t>
  </si>
  <si>
    <t>HDFC0001121</t>
  </si>
  <si>
    <t>HDFC0001123</t>
  </si>
  <si>
    <t>HDFC0001125</t>
  </si>
  <si>
    <t>HDFC0001127</t>
  </si>
  <si>
    <t>HDFC0001128</t>
  </si>
  <si>
    <t>HDFC0001129</t>
  </si>
  <si>
    <t>HDFC0001130</t>
  </si>
  <si>
    <t>HDFC0001133</t>
  </si>
  <si>
    <t>HDFC0001136</t>
  </si>
  <si>
    <t>HDFC0001138</t>
  </si>
  <si>
    <t>HDFC0001141</t>
  </si>
  <si>
    <t>HDFC0001146</t>
  </si>
  <si>
    <t>HDFC0001158</t>
  </si>
  <si>
    <t>HDFC0001162</t>
  </si>
  <si>
    <t>HDFC0001164</t>
  </si>
  <si>
    <t>HDFC0001166</t>
  </si>
  <si>
    <t>HDFC0001170</t>
  </si>
  <si>
    <t>HDFC0001173</t>
  </si>
  <si>
    <t>HDFC0001174</t>
  </si>
  <si>
    <t>HDFC0001178</t>
  </si>
  <si>
    <t>HDFC0001201</t>
  </si>
  <si>
    <t>HDFC0001202</t>
  </si>
  <si>
    <t>HDFC0001203</t>
  </si>
  <si>
    <t>HDFC0001204</t>
  </si>
  <si>
    <t>HDFC0001205</t>
  </si>
  <si>
    <t>HDFC0001206</t>
  </si>
  <si>
    <t>HDFC0001207</t>
  </si>
  <si>
    <t>HDFC0001208</t>
  </si>
  <si>
    <t>HDFC0001209</t>
  </si>
  <si>
    <t>HDFC0001210</t>
  </si>
  <si>
    <t>HDFC0001211</t>
  </si>
  <si>
    <t>HDFC0001212</t>
  </si>
  <si>
    <t>HDFC0001213</t>
  </si>
  <si>
    <t>HDFC0001214</t>
  </si>
  <si>
    <t>HDFC0001215</t>
  </si>
  <si>
    <t>HDFC0001216</t>
  </si>
  <si>
    <t>HDFC0001217</t>
  </si>
  <si>
    <t>HDFC0001218</t>
  </si>
  <si>
    <t>HDFC0001219</t>
  </si>
  <si>
    <t>HDFC0001220</t>
  </si>
  <si>
    <t>HDFC0001221</t>
  </si>
  <si>
    <t>HDFC0001222</t>
  </si>
  <si>
    <t>HDFC0001223</t>
  </si>
  <si>
    <t>HDFC0001224</t>
  </si>
  <si>
    <t>HDFC0001225</t>
  </si>
  <si>
    <t>HDFC0001226</t>
  </si>
  <si>
    <t>HDFC0001227</t>
  </si>
  <si>
    <t>HDFC0001228</t>
  </si>
  <si>
    <t>HDFC0001229</t>
  </si>
  <si>
    <t>HDFC0001230</t>
  </si>
  <si>
    <t>HDFC0001231</t>
  </si>
  <si>
    <t>HDFC0001232</t>
  </si>
  <si>
    <t>HDFC0001233</t>
  </si>
  <si>
    <t>HDFC0001234</t>
  </si>
  <si>
    <t>HDFC0001235</t>
  </si>
  <si>
    <t>HDFC0001236</t>
  </si>
  <si>
    <t>HDFC0001237</t>
  </si>
  <si>
    <t>HDFC0001238</t>
  </si>
  <si>
    <t>HDFC0001239</t>
  </si>
  <si>
    <t>HDFC0001240</t>
  </si>
  <si>
    <t>HDFC0001241</t>
  </si>
  <si>
    <t>HDFC0001242</t>
  </si>
  <si>
    <t>HDFC0001243</t>
  </si>
  <si>
    <t>HDFC0001244</t>
  </si>
  <si>
    <t>HDFC0001245</t>
  </si>
  <si>
    <t>HDFC0001246</t>
  </si>
  <si>
    <t>HDFC0001247</t>
  </si>
  <si>
    <t>HDFC0001248</t>
  </si>
  <si>
    <t>HDFC0001249</t>
  </si>
  <si>
    <t>HDFC0001250</t>
  </si>
  <si>
    <t>HDFC0001251</t>
  </si>
  <si>
    <t>HDFC0001252</t>
  </si>
  <si>
    <t>HDFC0001253</t>
  </si>
  <si>
    <t>HDFC0001254</t>
  </si>
  <si>
    <t>HDFC0001255</t>
  </si>
  <si>
    <t>HDFC0001256</t>
  </si>
  <si>
    <t>HDFC0001257</t>
  </si>
  <si>
    <t>HDFC0001258</t>
  </si>
  <si>
    <t>HDFC0001259</t>
  </si>
  <si>
    <t>HDFC0001260</t>
  </si>
  <si>
    <t>HDFC0001261</t>
  </si>
  <si>
    <t>HDFC0001262</t>
  </si>
  <si>
    <t>HDFC0001263</t>
  </si>
  <si>
    <t>HDFC0001264</t>
  </si>
  <si>
    <t>HDFC0001265</t>
  </si>
  <si>
    <t>HDFC0001266</t>
  </si>
  <si>
    <t>HDFC0001267</t>
  </si>
  <si>
    <t>HDFC0001268</t>
  </si>
  <si>
    <t>HDFC0001269</t>
  </si>
  <si>
    <t>HDFC0001270</t>
  </si>
  <si>
    <t>HDFC0001271</t>
  </si>
  <si>
    <t>HDFC0001272</t>
  </si>
  <si>
    <t>HDFC0001273</t>
  </si>
  <si>
    <t>HDFC0001274</t>
  </si>
  <si>
    <t>HDFC0001275</t>
  </si>
  <si>
    <t>HDFC0001276</t>
  </si>
  <si>
    <t>HDFC0001277</t>
  </si>
  <si>
    <t>HDFC0001278</t>
  </si>
  <si>
    <t>HDFC0001279</t>
  </si>
  <si>
    <t>HDFC0001280</t>
  </si>
  <si>
    <t>HDFC0001281</t>
  </si>
  <si>
    <t>HDFC0001282</t>
  </si>
  <si>
    <t>HDFC0001283</t>
  </si>
  <si>
    <t>HDFC0001284</t>
  </si>
  <si>
    <t>HDFC0001285</t>
  </si>
  <si>
    <t>HDFC0001286</t>
  </si>
  <si>
    <t>HDFC0001287</t>
  </si>
  <si>
    <t>HDFC0001288</t>
  </si>
  <si>
    <t>HDFC0001289</t>
  </si>
  <si>
    <t>HDFC0001290</t>
  </si>
  <si>
    <t>HDFC0001291</t>
  </si>
  <si>
    <t>HDFC0001292</t>
  </si>
  <si>
    <t>HDFC0001293</t>
  </si>
  <si>
    <t>HDFC0001294</t>
  </si>
  <si>
    <t>HDFC0001295</t>
  </si>
  <si>
    <t>HDFC0001296</t>
  </si>
  <si>
    <t>HDFC0001297</t>
  </si>
  <si>
    <t>HDFC0001298</t>
  </si>
  <si>
    <t>HDFC0001299</t>
  </si>
  <si>
    <t>HDFC0001300</t>
  </si>
  <si>
    <t>HDFC0001301</t>
  </si>
  <si>
    <t>HDFC0001302</t>
  </si>
  <si>
    <t>HDFC0001303</t>
  </si>
  <si>
    <t>HDFC0001304</t>
  </si>
  <si>
    <t>HDFC0001305</t>
  </si>
  <si>
    <t>HDFC0001306</t>
  </si>
  <si>
    <t>HDFC0001307</t>
  </si>
  <si>
    <t>HDFC0001308</t>
  </si>
  <si>
    <t>HDFC0001309</t>
  </si>
  <si>
    <t>HDFC0001310</t>
  </si>
  <si>
    <t>HDFC0001311</t>
  </si>
  <si>
    <t>HDFC0001312</t>
  </si>
  <si>
    <t>HDFC0001313</t>
  </si>
  <si>
    <t>HDFC0001314</t>
  </si>
  <si>
    <t>HDFC0001315</t>
  </si>
  <si>
    <t>HDFC0001316</t>
  </si>
  <si>
    <t>HDFC0001317</t>
  </si>
  <si>
    <t>HDFC0001318</t>
  </si>
  <si>
    <t>HDFC0001319</t>
  </si>
  <si>
    <t>HDFC0001320</t>
  </si>
  <si>
    <t>HDFC0001321</t>
  </si>
  <si>
    <t>HDFC0001322</t>
  </si>
  <si>
    <t>HDFC0001323</t>
  </si>
  <si>
    <t>HDFC0001324</t>
  </si>
  <si>
    <t>HDFC0001325</t>
  </si>
  <si>
    <t>HDFC0001326</t>
  </si>
  <si>
    <t>HDFC0001327</t>
  </si>
  <si>
    <t>HDFC0001328</t>
  </si>
  <si>
    <t>HDFC0001329</t>
  </si>
  <si>
    <t>HDFC0001330</t>
  </si>
  <si>
    <t>HDFC0001331</t>
  </si>
  <si>
    <t>HDFC0001332</t>
  </si>
  <si>
    <t>HDFC0001333</t>
  </si>
  <si>
    <t>HDFC0001334</t>
  </si>
  <si>
    <t>HDFC0001335</t>
  </si>
  <si>
    <t>HDFC0001336</t>
  </si>
  <si>
    <t>HDFC0001337</t>
  </si>
  <si>
    <t>HDFC0001338</t>
  </si>
  <si>
    <t>HDFC0001339</t>
  </si>
  <si>
    <t>HDFC0001340</t>
  </si>
  <si>
    <t>HDFC0001341</t>
  </si>
  <si>
    <t>HDFC0001342</t>
  </si>
  <si>
    <t>HDFC0001343</t>
  </si>
  <si>
    <t>HDFC0001344</t>
  </si>
  <si>
    <t>HDFC0001345</t>
  </si>
  <si>
    <t>HDFC0001346</t>
  </si>
  <si>
    <t>HDFC0001347</t>
  </si>
  <si>
    <t>HDFC0001348</t>
  </si>
  <si>
    <t>HDFC0001349</t>
  </si>
  <si>
    <t>HDFC0001350</t>
  </si>
  <si>
    <t>HDFC0001351</t>
  </si>
  <si>
    <t>HDFC0001352</t>
  </si>
  <si>
    <t>HDFC0001353</t>
  </si>
  <si>
    <t>HDFC0001354</t>
  </si>
  <si>
    <t>HDFC0001355</t>
  </si>
  <si>
    <t>HDFC0001356</t>
  </si>
  <si>
    <t>HDFC0001357</t>
  </si>
  <si>
    <t>HDFC0001358</t>
  </si>
  <si>
    <t>HDFC0001359</t>
  </si>
  <si>
    <t>HDFC0001360</t>
  </si>
  <si>
    <t>HDFC0001361</t>
  </si>
  <si>
    <t>HDFC0001362</t>
  </si>
  <si>
    <t>HDFC0001363</t>
  </si>
  <si>
    <t>HDFC0001364</t>
  </si>
  <si>
    <t>HDFC0001365</t>
  </si>
  <si>
    <t>HDFC0001366</t>
  </si>
  <si>
    <t>HDFC0001367</t>
  </si>
  <si>
    <t>HDFC0001368</t>
  </si>
  <si>
    <t>HDFC0001369</t>
  </si>
  <si>
    <t>HDFC0001370</t>
  </si>
  <si>
    <t>HDFC0001371</t>
  </si>
  <si>
    <t>HDFC0001372</t>
  </si>
  <si>
    <t>HDFC0001373</t>
  </si>
  <si>
    <t>HDFC0001374</t>
  </si>
  <si>
    <t>HDFC0001375</t>
  </si>
  <si>
    <t>HDFC0001376</t>
  </si>
  <si>
    <t>HDFC0001377</t>
  </si>
  <si>
    <t>HDFC0001378</t>
  </si>
  <si>
    <t>HDFC0001379</t>
  </si>
  <si>
    <t>HDFC0001380</t>
  </si>
  <si>
    <t>HDFC0001381</t>
  </si>
  <si>
    <t>HDFC0001382</t>
  </si>
  <si>
    <t>HDFC0001383</t>
  </si>
  <si>
    <t>HDFC0001384</t>
  </si>
  <si>
    <t>HDFC0001385</t>
  </si>
  <si>
    <t>HDFC0001386</t>
  </si>
  <si>
    <t>HDFC0001387</t>
  </si>
  <si>
    <t>HDFC0001388</t>
  </si>
  <si>
    <t>HDFC0001389</t>
  </si>
  <si>
    <t>HDFC0001390</t>
  </si>
  <si>
    <t>HDFC0001391</t>
  </si>
  <si>
    <t>HDFC0001392</t>
  </si>
  <si>
    <t>HDFC0001393</t>
  </si>
  <si>
    <t>HDFC0001394</t>
  </si>
  <si>
    <t>HDFC0001395</t>
  </si>
  <si>
    <t>HDFC0001396</t>
  </si>
  <si>
    <t>HDFC0001397</t>
  </si>
  <si>
    <t>HDFC0001398</t>
  </si>
  <si>
    <t>HDFC0001399</t>
  </si>
  <si>
    <t>HDFC0001400</t>
  </si>
  <si>
    <t>HDFC0001401</t>
  </si>
  <si>
    <t>HDFC0001402</t>
  </si>
  <si>
    <t>HDFC0001403</t>
  </si>
  <si>
    <t>HDFC0001404</t>
  </si>
  <si>
    <t>HDFC0001405</t>
  </si>
  <si>
    <t>HDFC0001406</t>
  </si>
  <si>
    <t>HDFC0001407</t>
  </si>
  <si>
    <t>HDFC0001408</t>
  </si>
  <si>
    <t>HDFC0001409</t>
  </si>
  <si>
    <t>HDFC0001410</t>
  </si>
  <si>
    <t>HDFC0001411</t>
  </si>
  <si>
    <t>HDFC0001412</t>
  </si>
  <si>
    <t>HDFC0001413</t>
  </si>
  <si>
    <t>HDFC0001414</t>
  </si>
  <si>
    <t>HDFC0001415</t>
  </si>
  <si>
    <t>HDFC0001416</t>
  </si>
  <si>
    <t>HDFC0001417</t>
  </si>
  <si>
    <t>HDFC0001418</t>
  </si>
  <si>
    <t>HDFC0001419</t>
  </si>
  <si>
    <t>HDFC0001420</t>
  </si>
  <si>
    <t>HDFC0001421</t>
  </si>
  <si>
    <t>HDFC0001422</t>
  </si>
  <si>
    <t>HDFC0001423</t>
  </si>
  <si>
    <t>HDFC0001424</t>
  </si>
  <si>
    <t>HDFC0001425</t>
  </si>
  <si>
    <t>HDFC0001426</t>
  </si>
  <si>
    <t>HDFC0001427</t>
  </si>
  <si>
    <t>HDFC0001428</t>
  </si>
  <si>
    <t>HDFC0001429</t>
  </si>
  <si>
    <t>HDFC0001430</t>
  </si>
  <si>
    <t>HDFC0001431</t>
  </si>
  <si>
    <t>HDFC0001432</t>
  </si>
  <si>
    <t>HDFC0001433</t>
  </si>
  <si>
    <t>HDFC0001434</t>
  </si>
  <si>
    <t>HDFC0001435</t>
  </si>
  <si>
    <t>HDFC0001436</t>
  </si>
  <si>
    <t>HDFC0001437</t>
  </si>
  <si>
    <t>HDFC0001438</t>
  </si>
  <si>
    <t>HDFC0001439</t>
  </si>
  <si>
    <t>HDFC0001440</t>
  </si>
  <si>
    <t>HDFC0001441</t>
  </si>
  <si>
    <t>HDFC0001442</t>
  </si>
  <si>
    <t>HDFC0001443</t>
  </si>
  <si>
    <t>HDFC0001444</t>
  </si>
  <si>
    <t>HDFC0001445</t>
  </si>
  <si>
    <t>HDFC0001446</t>
  </si>
  <si>
    <t>HDFC0001447</t>
  </si>
  <si>
    <t>HDFC0001448</t>
  </si>
  <si>
    <t>HDFC0001449</t>
  </si>
  <si>
    <t>HDFC0001450</t>
  </si>
  <si>
    <t>HDFC0001451</t>
  </si>
  <si>
    <t>HDFC0001452</t>
  </si>
  <si>
    <t>HDFC0001453</t>
  </si>
  <si>
    <t>HDFC0001454</t>
  </si>
  <si>
    <t>HDFC0001455</t>
  </si>
  <si>
    <t>HDFC0001456</t>
  </si>
  <si>
    <t>HDFC0001457</t>
  </si>
  <si>
    <t>HDFC0001458</t>
  </si>
  <si>
    <t>HDFC0001459</t>
  </si>
  <si>
    <t>HDFC0001460</t>
  </si>
  <si>
    <t>HDFC0001461</t>
  </si>
  <si>
    <t>HDFC0001462</t>
  </si>
  <si>
    <t>HDFC0001463</t>
  </si>
  <si>
    <t>HDFC0001464</t>
  </si>
  <si>
    <t>HDFC0001465</t>
  </si>
  <si>
    <t>HDFC0001466</t>
  </si>
  <si>
    <t>HDFC0001467</t>
  </si>
  <si>
    <t>HDFC0001468</t>
  </si>
  <si>
    <t>HDFC0001469</t>
  </si>
  <si>
    <t>HDFC0001470</t>
  </si>
  <si>
    <t>HDFC0001471</t>
  </si>
  <si>
    <t>HDFC0001472</t>
  </si>
  <si>
    <t>HDFC0001473</t>
  </si>
  <si>
    <t>HDFC0001474</t>
  </si>
  <si>
    <t>HDFC0001475</t>
  </si>
  <si>
    <t>HDFC0001476</t>
  </si>
  <si>
    <t>HDFC0001477</t>
  </si>
  <si>
    <t>HDFC0001478</t>
  </si>
  <si>
    <t>HDFC0001479</t>
  </si>
  <si>
    <t>HDFC0001480</t>
  </si>
  <si>
    <t>HDFC0001481</t>
  </si>
  <si>
    <t>HDFC0001482</t>
  </si>
  <si>
    <t>HDFC0001483</t>
  </si>
  <si>
    <t>HDFC0001484</t>
  </si>
  <si>
    <t>HDFC0001485</t>
  </si>
  <si>
    <t>HDFC0001486</t>
  </si>
  <si>
    <t>HDFC0001487</t>
  </si>
  <si>
    <t>HDFC0001488</t>
  </si>
  <si>
    <t>HDFC0001489</t>
  </si>
  <si>
    <t>HDFC0001490</t>
  </si>
  <si>
    <t>HDFC0001491</t>
  </si>
  <si>
    <t>HDFC0001492</t>
  </si>
  <si>
    <t>HDFC0001493</t>
  </si>
  <si>
    <t>HDFC0001494</t>
  </si>
  <si>
    <t>HDFC0001495</t>
  </si>
  <si>
    <t>HDFC0001496</t>
  </si>
  <si>
    <t>HDFC0001497</t>
  </si>
  <si>
    <t>HDFC0001498</t>
  </si>
  <si>
    <t>HDFC0001499</t>
  </si>
  <si>
    <t>HDFC0001500</t>
  </si>
  <si>
    <t>HDFC0001501</t>
  </si>
  <si>
    <t>HDFC0001502</t>
  </si>
  <si>
    <t>HDFC0001503</t>
  </si>
  <si>
    <t>HDFC0001504</t>
  </si>
  <si>
    <t>HDFC0001505</t>
  </si>
  <si>
    <t>HDFC0001506</t>
  </si>
  <si>
    <t>HDFC0001507</t>
  </si>
  <si>
    <t>HDFC0001508</t>
  </si>
  <si>
    <t>HDFC0001509</t>
  </si>
  <si>
    <t>HDFC0001510</t>
  </si>
  <si>
    <t>HDFC0001511</t>
  </si>
  <si>
    <t>HDFC0001512</t>
  </si>
  <si>
    <t>HDFC0001513</t>
  </si>
  <si>
    <t>HDFC0001514</t>
  </si>
  <si>
    <t>HDFC0001515</t>
  </si>
  <si>
    <t>HDFC0001516</t>
  </si>
  <si>
    <t>HDFC0001517</t>
  </si>
  <si>
    <t>HDFC0001518</t>
  </si>
  <si>
    <t>HDFC0001519</t>
  </si>
  <si>
    <t>HDFC0001520</t>
  </si>
  <si>
    <t>HDFC0001521</t>
  </si>
  <si>
    <t>HDFC0001522</t>
  </si>
  <si>
    <t>HDFC0001523</t>
  </si>
  <si>
    <t>HDFC0001524</t>
  </si>
  <si>
    <t>HDFC0001525</t>
  </si>
  <si>
    <t>HDFC0001526</t>
  </si>
  <si>
    <t>HDFC0001527</t>
  </si>
  <si>
    <t>HDFC0001528</t>
  </si>
  <si>
    <t>HDFC0001529</t>
  </si>
  <si>
    <t>HDFC0001530</t>
  </si>
  <si>
    <t>HDFC0001531</t>
  </si>
  <si>
    <t>HDFC0001532</t>
  </si>
  <si>
    <t>HDFC0001533</t>
  </si>
  <si>
    <t>HDFC0001534</t>
  </si>
  <si>
    <t>HDFC0001535</t>
  </si>
  <si>
    <t>HDFC0001536</t>
  </si>
  <si>
    <t>HDFC0001537</t>
  </si>
  <si>
    <t>HDFC0001538</t>
  </si>
  <si>
    <t>HDFC0001539</t>
  </si>
  <si>
    <t>HDFC0001540</t>
  </si>
  <si>
    <t>HDFC0001541</t>
  </si>
  <si>
    <t>HDFC0001542</t>
  </si>
  <si>
    <t>HDFC0001543</t>
  </si>
  <si>
    <t>HDFC0001544</t>
  </si>
  <si>
    <t>HDFC0001545</t>
  </si>
  <si>
    <t>HDFC0001546</t>
  </si>
  <si>
    <t>HDFC0001547</t>
  </si>
  <si>
    <t>HDFC0001548</t>
  </si>
  <si>
    <t>HDFC0001549</t>
  </si>
  <si>
    <t>HDFC0001550</t>
  </si>
  <si>
    <t>HDFC0001551</t>
  </si>
  <si>
    <t>HDFC0001552</t>
  </si>
  <si>
    <t>HDFC0001553</t>
  </si>
  <si>
    <t>HDFC0001554</t>
  </si>
  <si>
    <t>HDFC0001555</t>
  </si>
  <si>
    <t>HDFC0001556</t>
  </si>
  <si>
    <t>HDFC0001557</t>
  </si>
  <si>
    <t>HDFC0001558</t>
  </si>
  <si>
    <t>HDFC0001559</t>
  </si>
  <si>
    <t>HDFC0001560</t>
  </si>
  <si>
    <t>HDFC0001561</t>
  </si>
  <si>
    <t>HDFC0001562</t>
  </si>
  <si>
    <t>HDFC0001563</t>
  </si>
  <si>
    <t>HDFC0001564</t>
  </si>
  <si>
    <t>HDFC0001565</t>
  </si>
  <si>
    <t>HDFC0001566</t>
  </si>
  <si>
    <t>HDFC0001567</t>
  </si>
  <si>
    <t>HDFC0001568</t>
  </si>
  <si>
    <t>HDFC0001569</t>
  </si>
  <si>
    <t>HDFC0001570</t>
  </si>
  <si>
    <t>HDFC0001571</t>
  </si>
  <si>
    <t>HDFC0001572</t>
  </si>
  <si>
    <t>HDFC0001573</t>
  </si>
  <si>
    <t>HDFC0001574</t>
  </si>
  <si>
    <t>HDFC0001575</t>
  </si>
  <si>
    <t>HDFC0001576</t>
  </si>
  <si>
    <t>HDFC0001578</t>
  </si>
  <si>
    <t>HDFC0001579</t>
  </si>
  <si>
    <t>HDFC0001580</t>
  </si>
  <si>
    <t>HDFC0001581</t>
  </si>
  <si>
    <t>HDFC0001582</t>
  </si>
  <si>
    <t>HDFC0001583</t>
  </si>
  <si>
    <t>HDFC0001584</t>
  </si>
  <si>
    <t>HDFC0001585</t>
  </si>
  <si>
    <t>HDFC0001586</t>
  </si>
  <si>
    <t>HDFC0001587</t>
  </si>
  <si>
    <t>HDFC0001588</t>
  </si>
  <si>
    <t>HDFC0001589</t>
  </si>
  <si>
    <t>HDFC0001590</t>
  </si>
  <si>
    <t>HDFC0001591</t>
  </si>
  <si>
    <t>HDFC0001592</t>
  </si>
  <si>
    <t>HDFC0001593</t>
  </si>
  <si>
    <t>HDFC0001594</t>
  </si>
  <si>
    <t>HDFC0001595</t>
  </si>
  <si>
    <t>HDFC0001596</t>
  </si>
  <si>
    <t>HDFC0001597</t>
  </si>
  <si>
    <t>HDFC0001598</t>
  </si>
  <si>
    <t>HDFC0001599</t>
  </si>
  <si>
    <t>HDFC0001600</t>
  </si>
  <si>
    <t>HDFC0001601</t>
  </si>
  <si>
    <t>HDFC0001602</t>
  </si>
  <si>
    <t>HDFC0001603</t>
  </si>
  <si>
    <t>HDFC0001604</t>
  </si>
  <si>
    <t>HDFC0001607</t>
  </si>
  <si>
    <t>HDFC0001611</t>
  </si>
  <si>
    <t>HDFC0001621</t>
  </si>
  <si>
    <t>HDFC0001622</t>
  </si>
  <si>
    <t>HDFC0001623</t>
  </si>
  <si>
    <t>HDFC0001624</t>
  </si>
  <si>
    <t>HDFC0001625</t>
  </si>
  <si>
    <t>HDFC0001626</t>
  </si>
  <si>
    <t>HDFC0001627</t>
  </si>
  <si>
    <t>HDFC0001628</t>
  </si>
  <si>
    <t>HDFC0001629</t>
  </si>
  <si>
    <t>HDFC0001630</t>
  </si>
  <si>
    <t>HDFC0001631</t>
  </si>
  <si>
    <t>HDFC0001632</t>
  </si>
  <si>
    <t>HDFC0001633</t>
  </si>
  <si>
    <t>HDFC0001634</t>
  </si>
  <si>
    <t>HDFC0001635</t>
  </si>
  <si>
    <t>HDFC0001636</t>
  </si>
  <si>
    <t>HDFC0001637</t>
  </si>
  <si>
    <t>HDFC0001638</t>
  </si>
  <si>
    <t>HDFC0001639</t>
  </si>
  <si>
    <t>HDFC0001640</t>
  </si>
  <si>
    <t>HDFC0001641</t>
  </si>
  <si>
    <t>HDFC0001642</t>
  </si>
  <si>
    <t>HDFC0001643</t>
  </si>
  <si>
    <t>HDFC0001644</t>
  </si>
  <si>
    <t>HDFC0001645</t>
  </si>
  <si>
    <t>HDFC0001646</t>
  </si>
  <si>
    <t>HDFC0001647</t>
  </si>
  <si>
    <t>HDFC0001648</t>
  </si>
  <si>
    <t>HDFC0001649</t>
  </si>
  <si>
    <t>HDFC0001650</t>
  </si>
  <si>
    <t>HDFC0001651</t>
  </si>
  <si>
    <t>HDFC0001652</t>
  </si>
  <si>
    <t>HDFC0001653</t>
  </si>
  <si>
    <t>HDFC0001654</t>
  </si>
  <si>
    <t>HDFC0001655</t>
  </si>
  <si>
    <t>HDFC0001656</t>
  </si>
  <si>
    <t>HDFC0001657</t>
  </si>
  <si>
    <t>HDFC0001658</t>
  </si>
  <si>
    <t>HDFC0001659</t>
  </si>
  <si>
    <t>HDFC0001660</t>
  </si>
  <si>
    <t>HDFC0001661</t>
  </si>
  <si>
    <t>HDFC0001662</t>
  </si>
  <si>
    <t>HDFC0001663</t>
  </si>
  <si>
    <t>HDFC0001664</t>
  </si>
  <si>
    <t>HDFC0001665</t>
  </si>
  <si>
    <t>HDFC0001666</t>
  </si>
  <si>
    <t>HDFC0001667</t>
  </si>
  <si>
    <t>HDFC0001668</t>
  </si>
  <si>
    <t>HDFC0001669</t>
  </si>
  <si>
    <t>HDFC0001670</t>
  </si>
  <si>
    <t>HDFC0001671</t>
  </si>
  <si>
    <t>HDFC0001672</t>
  </si>
  <si>
    <t>HDFC0001673</t>
  </si>
  <si>
    <t>HDFC0001674</t>
  </si>
  <si>
    <t>HDFC0001675</t>
  </si>
  <si>
    <t>HDFC0001676</t>
  </si>
  <si>
    <t>HDFC0001677</t>
  </si>
  <si>
    <t>HDFC0001678</t>
  </si>
  <si>
    <t>HDFC0001679</t>
  </si>
  <si>
    <t>HDFC0001680</t>
  </si>
  <si>
    <t>HDFC0001681</t>
  </si>
  <si>
    <t>HDFC0001682</t>
  </si>
  <si>
    <t>HDFC0001683</t>
  </si>
  <si>
    <t>HDFC0001684</t>
  </si>
  <si>
    <t>HDFC0001685</t>
  </si>
  <si>
    <t>HDFC0001686</t>
  </si>
  <si>
    <t>HDFC0001687</t>
  </si>
  <si>
    <t>HDFC0001689</t>
  </si>
  <si>
    <t>HDFC0001691</t>
  </si>
  <si>
    <t>HDFC0001692</t>
  </si>
  <si>
    <t>HDFC0001693</t>
  </si>
  <si>
    <t>HDFC0001694</t>
  </si>
  <si>
    <t>HDFC0001695</t>
  </si>
  <si>
    <t>HDFC0001696</t>
  </si>
  <si>
    <t>HDFC0001697</t>
  </si>
  <si>
    <t>HDFC0001698</t>
  </si>
  <si>
    <t>HDFC0001699</t>
  </si>
  <si>
    <t>HDFC0001700</t>
  </si>
  <si>
    <t>HDFC0001701</t>
  </si>
  <si>
    <t>HDFC0001702</t>
  </si>
  <si>
    <t>HDFC0001703</t>
  </si>
  <si>
    <t>HDFC0001704</t>
  </si>
  <si>
    <t>HDFC0001705</t>
  </si>
  <si>
    <t>HDFC0001706</t>
  </si>
  <si>
    <t>HDFC0001707</t>
  </si>
  <si>
    <t>HDFC0001708</t>
  </si>
  <si>
    <t>HDFC0001709</t>
  </si>
  <si>
    <t>HDFC0001710</t>
  </si>
  <si>
    <t>HDFC0001711</t>
  </si>
  <si>
    <t>HDFC0001712</t>
  </si>
  <si>
    <t>HDFC0001713</t>
  </si>
  <si>
    <t>HDFC0001714</t>
  </si>
  <si>
    <t>HDFC0001715</t>
  </si>
  <si>
    <t>HDFC0001716</t>
  </si>
  <si>
    <t>HDFC0001717</t>
  </si>
  <si>
    <t>HDFC0001718</t>
  </si>
  <si>
    <t>HDFC0001719</t>
  </si>
  <si>
    <t>HDFC0001720</t>
  </si>
  <si>
    <t>HDFC0001721</t>
  </si>
  <si>
    <t>HDFC0001722</t>
  </si>
  <si>
    <t>HDFC0001723</t>
  </si>
  <si>
    <t>HDFC0001724</t>
  </si>
  <si>
    <t>HDFC0001725</t>
  </si>
  <si>
    <t>HDFC0001726</t>
  </si>
  <si>
    <t>HDFC0001727</t>
  </si>
  <si>
    <t>HDFC0001728</t>
  </si>
  <si>
    <t>HDFC0001729</t>
  </si>
  <si>
    <t>HDFC0001730</t>
  </si>
  <si>
    <t>HDFC0001731</t>
  </si>
  <si>
    <t>HDFC0001732</t>
  </si>
  <si>
    <t>HDFC0001733</t>
  </si>
  <si>
    <t>HDFC0001734</t>
  </si>
  <si>
    <t>HDFC0001735</t>
  </si>
  <si>
    <t>HDFC0001736</t>
  </si>
  <si>
    <t>HDFC0001737</t>
  </si>
  <si>
    <t>HDFC0001738</t>
  </si>
  <si>
    <t>HDFC0001739</t>
  </si>
  <si>
    <t>HDFC0001740</t>
  </si>
  <si>
    <t>HDFC0001741</t>
  </si>
  <si>
    <t>HDFC0001742</t>
  </si>
  <si>
    <t>HDFC0001743</t>
  </si>
  <si>
    <t>HDFC0001744</t>
  </si>
  <si>
    <t>HDFC0001745</t>
  </si>
  <si>
    <t>HDFC0001746</t>
  </si>
  <si>
    <t>HDFC0001747</t>
  </si>
  <si>
    <t>HDFC0001748</t>
  </si>
  <si>
    <t>HDFC0001749</t>
  </si>
  <si>
    <t>HDFC0001750</t>
  </si>
  <si>
    <t>HDFC0001751</t>
  </si>
  <si>
    <t>HDFC0001752</t>
  </si>
  <si>
    <t>HDFC0001753</t>
  </si>
  <si>
    <t>HDFC0001754</t>
  </si>
  <si>
    <t>HDFC0001755</t>
  </si>
  <si>
    <t>HDFC0001756</t>
  </si>
  <si>
    <t>HDFC0001757</t>
  </si>
  <si>
    <t>HDFC0001758</t>
  </si>
  <si>
    <t>HDFC0001759</t>
  </si>
  <si>
    <t>HDFC0001760</t>
  </si>
  <si>
    <t>HDFC0001761</t>
  </si>
  <si>
    <t>HDFC0001762</t>
  </si>
  <si>
    <t>HDFC0001763</t>
  </si>
  <si>
    <t>HDFC0001764</t>
  </si>
  <si>
    <t>HDFC0001765</t>
  </si>
  <si>
    <t>HDFC0001766</t>
  </si>
  <si>
    <t>HDFC0001767</t>
  </si>
  <si>
    <t>HDFC0001768</t>
  </si>
  <si>
    <t>HDFC0001769</t>
  </si>
  <si>
    <t>HDFC0001770</t>
  </si>
  <si>
    <t>HDFC0001771</t>
  </si>
  <si>
    <t>HDFC0001772</t>
  </si>
  <si>
    <t>HDFC0001773</t>
  </si>
  <si>
    <t>HDFC0001774</t>
  </si>
  <si>
    <t>HDFC0001775</t>
  </si>
  <si>
    <t>HDFC0001776</t>
  </si>
  <si>
    <t>HDFC0001777</t>
  </si>
  <si>
    <t>HDFC0001778</t>
  </si>
  <si>
    <t>HDFC0001779</t>
  </si>
  <si>
    <t>HDFC0001780</t>
  </si>
  <si>
    <t>HDFC0001781</t>
  </si>
  <si>
    <t>HDFC0001782</t>
  </si>
  <si>
    <t>HDFC0001783</t>
  </si>
  <si>
    <t>HDFC0001784</t>
  </si>
  <si>
    <t>HDFC0001785</t>
  </si>
  <si>
    <t>HDFC0001786</t>
  </si>
  <si>
    <t>HDFC0001787</t>
  </si>
  <si>
    <t>HDFC0001788</t>
  </si>
  <si>
    <t>HDFC0001789</t>
  </si>
  <si>
    <t>HDFC0001790</t>
  </si>
  <si>
    <t>HDFC0001791</t>
  </si>
  <si>
    <t>HDFC0001792</t>
  </si>
  <si>
    <t>HDFC0001793</t>
  </si>
  <si>
    <t>HDFC0001794</t>
  </si>
  <si>
    <t>HDFC0001795</t>
  </si>
  <si>
    <t>HDFC0001796</t>
  </si>
  <si>
    <t>HDFC0001797</t>
  </si>
  <si>
    <t>HDFC0001798</t>
  </si>
  <si>
    <t>HDFC0001799</t>
  </si>
  <si>
    <t>HDFC0001800</t>
  </si>
  <si>
    <t>HDFC0001801</t>
  </si>
  <si>
    <t>HDFC0001802</t>
  </si>
  <si>
    <t>HDFC0001803</t>
  </si>
  <si>
    <t>HDFC0001804</t>
  </si>
  <si>
    <t>HDFC0001805</t>
  </si>
  <si>
    <t>HDFC0001806</t>
  </si>
  <si>
    <t>HDFC0001807</t>
  </si>
  <si>
    <t>HDFC0001808</t>
  </si>
  <si>
    <t>HDFC0001809</t>
  </si>
  <si>
    <t>HDFC0001810</t>
  </si>
  <si>
    <t>HDFC0001811</t>
  </si>
  <si>
    <t>HDFC0001812</t>
  </si>
  <si>
    <t>HDFC0001813</t>
  </si>
  <si>
    <t>HDFC0001814</t>
  </si>
  <si>
    <t>HDFC0001815</t>
  </si>
  <si>
    <t>HDFC0001816</t>
  </si>
  <si>
    <t>HDFC0001817</t>
  </si>
  <si>
    <t>HDFC0001818</t>
  </si>
  <si>
    <t>HDFC0001819</t>
  </si>
  <si>
    <t>HDFC0001820</t>
  </si>
  <si>
    <t>HDFC0001821</t>
  </si>
  <si>
    <t>HDFC0001822</t>
  </si>
  <si>
    <t>HDFC0001823</t>
  </si>
  <si>
    <t>HDFC0001824</t>
  </si>
  <si>
    <t>HDFC0001825</t>
  </si>
  <si>
    <t>HDFC0001826</t>
  </si>
  <si>
    <t>HDFC0001827</t>
  </si>
  <si>
    <t>HDFC0001828</t>
  </si>
  <si>
    <t>HDFC0001829</t>
  </si>
  <si>
    <t>HDFC0001830</t>
  </si>
  <si>
    <t>HDFC0001831</t>
  </si>
  <si>
    <t>HDFC0001832</t>
  </si>
  <si>
    <t>HDFC0001833</t>
  </si>
  <si>
    <t>HDFC0001834</t>
  </si>
  <si>
    <t>HDFC0001835</t>
  </si>
  <si>
    <t>HDFC0001836</t>
  </si>
  <si>
    <t>HDFC0001837</t>
  </si>
  <si>
    <t>HDFC0001838</t>
  </si>
  <si>
    <t>HDFC0001839</t>
  </si>
  <si>
    <t>HDFC0001840</t>
  </si>
  <si>
    <t>HDFC0001841</t>
  </si>
  <si>
    <t>HDFC0001842</t>
  </si>
  <si>
    <t>HDFC0001843</t>
  </si>
  <si>
    <t>HDFC0001844</t>
  </si>
  <si>
    <t>HDFC0001845</t>
  </si>
  <si>
    <t>HDFC0001846</t>
  </si>
  <si>
    <t>HDFC0001847</t>
  </si>
  <si>
    <t>HDFC0001848</t>
  </si>
  <si>
    <t>HDFC0001849</t>
  </si>
  <si>
    <t>HDFC0001850</t>
  </si>
  <si>
    <t>HDFC0001851</t>
  </si>
  <si>
    <t>HDFC0001852</t>
  </si>
  <si>
    <t>HDFC0001853</t>
  </si>
  <si>
    <t>HDFC0001854</t>
  </si>
  <si>
    <t>HDFC0001855</t>
  </si>
  <si>
    <t>HDFC0001856</t>
  </si>
  <si>
    <t>HDFC0001857</t>
  </si>
  <si>
    <t>HDFC0001858</t>
  </si>
  <si>
    <t>HDFC0001859</t>
  </si>
  <si>
    <t>HDFC0001860</t>
  </si>
  <si>
    <t>HDFC0001861</t>
  </si>
  <si>
    <t>HDFC0001862</t>
  </si>
  <si>
    <t>HDFC0001863</t>
  </si>
  <si>
    <t>HDFC0001864</t>
  </si>
  <si>
    <t>HDFC0001865</t>
  </si>
  <si>
    <t>HDFC0001866</t>
  </si>
  <si>
    <t>HDFC0001867</t>
  </si>
  <si>
    <t>HDFC0001868</t>
  </si>
  <si>
    <t>HDFC0001869</t>
  </si>
  <si>
    <t>HDFC0001870</t>
  </si>
  <si>
    <t>HDFC0001871</t>
  </si>
  <si>
    <t>HDFC0001872</t>
  </si>
  <si>
    <t>HDFC0001873</t>
  </si>
  <si>
    <t>HDFC0001874</t>
  </si>
  <si>
    <t>HDFC0001875</t>
  </si>
  <si>
    <t>HDFC0001876</t>
  </si>
  <si>
    <t>HDFC0001877</t>
  </si>
  <si>
    <t>HDFC0001878</t>
  </si>
  <si>
    <t>HDFC0001879</t>
  </si>
  <si>
    <t>HDFC0001880</t>
  </si>
  <si>
    <t>HDFC0001881</t>
  </si>
  <si>
    <t>HDFC0001882</t>
  </si>
  <si>
    <t>HDFC0001883</t>
  </si>
  <si>
    <t>HDFC0001884</t>
  </si>
  <si>
    <t>HDFC0001885</t>
  </si>
  <si>
    <t>HDFC0001886</t>
  </si>
  <si>
    <t>HDFC0001887</t>
  </si>
  <si>
    <t>HDFC0001888</t>
  </si>
  <si>
    <t>HDFC0001889</t>
  </si>
  <si>
    <t>HDFC0001890</t>
  </si>
  <si>
    <t>HDFC0001891</t>
  </si>
  <si>
    <t>HDFC0001892</t>
  </si>
  <si>
    <t>HDFC0001893</t>
  </si>
  <si>
    <t>HDFC0001894</t>
  </si>
  <si>
    <t>HDFC0001895</t>
  </si>
  <si>
    <t>HDFC0001896</t>
  </si>
  <si>
    <t>HDFC0001897</t>
  </si>
  <si>
    <t>HDFC0001898</t>
  </si>
  <si>
    <t>HDFC0001899</t>
  </si>
  <si>
    <t>HDFC0001900</t>
  </si>
  <si>
    <t>HDFC0001901</t>
  </si>
  <si>
    <t>HDFC0001902</t>
  </si>
  <si>
    <t>HDFC0001903</t>
  </si>
  <si>
    <t>HDFC0001904</t>
  </si>
  <si>
    <t>HDFC0001905</t>
  </si>
  <si>
    <t>HDFC0001906</t>
  </si>
  <si>
    <t>HDFC0001907</t>
  </si>
  <si>
    <t>HDFC0001908</t>
  </si>
  <si>
    <t>HDFC0001909</t>
  </si>
  <si>
    <t>HDFC0001910</t>
  </si>
  <si>
    <t>HDFC0001911</t>
  </si>
  <si>
    <t>HDFC0001912</t>
  </si>
  <si>
    <t>HDFC0001913</t>
  </si>
  <si>
    <t>HDFC0001914</t>
  </si>
  <si>
    <t>HDFC0001915</t>
  </si>
  <si>
    <t>HDFC0001916</t>
  </si>
  <si>
    <t>HDFC0001917</t>
  </si>
  <si>
    <t>HDFC0001918</t>
  </si>
  <si>
    <t>HDFC0001919</t>
  </si>
  <si>
    <t>HDFC0001920</t>
  </si>
  <si>
    <t>HDFC0001921</t>
  </si>
  <si>
    <t>HDFC0001922</t>
  </si>
  <si>
    <t>HDFC0001923</t>
  </si>
  <si>
    <t>HDFC0001924</t>
  </si>
  <si>
    <t>HDFC0001925</t>
  </si>
  <si>
    <t>HDFC0001926</t>
  </si>
  <si>
    <t>HDFC0001927</t>
  </si>
  <si>
    <t>HDFC0001928</t>
  </si>
  <si>
    <t>HDFC0001929</t>
  </si>
  <si>
    <t>HDFC0001930</t>
  </si>
  <si>
    <t>HDFC0001931</t>
  </si>
  <si>
    <t>HDFC0001932</t>
  </si>
  <si>
    <t>HDFC0001933</t>
  </si>
  <si>
    <t>HDFC0001934</t>
  </si>
  <si>
    <t>HDFC0001935</t>
  </si>
  <si>
    <t>HDFC0001936</t>
  </si>
  <si>
    <t>HDFC0001937</t>
  </si>
  <si>
    <t>HDFC0001938</t>
  </si>
  <si>
    <t>HDFC0001939</t>
  </si>
  <si>
    <t>HDFC0001940</t>
  </si>
  <si>
    <t>HDFC0001941</t>
  </si>
  <si>
    <t>HDFC0001942</t>
  </si>
  <si>
    <t>HDFC0001943</t>
  </si>
  <si>
    <t>HDFC0001944</t>
  </si>
  <si>
    <t>HDFC0001945</t>
  </si>
  <si>
    <t>ADCB0000001</t>
  </si>
  <si>
    <t>ABHY0065001</t>
  </si>
  <si>
    <t>NMGB0000001</t>
  </si>
  <si>
    <t>AKJB0000001</t>
  </si>
  <si>
    <t>SBIN0016357</t>
  </si>
  <si>
    <t>ORBC0108888</t>
  </si>
  <si>
    <t>ORBC0102002</t>
  </si>
  <si>
    <t>OIBA0000001</t>
  </si>
  <si>
    <t>NKGS0000001</t>
  </si>
  <si>
    <t>NKGS0000079</t>
  </si>
  <si>
    <t>NKGS0000080</t>
  </si>
  <si>
    <t>BACB0000001</t>
  </si>
  <si>
    <t>MAHB0001092</t>
  </si>
  <si>
    <t>MAHB0001093</t>
  </si>
  <si>
    <t>MAHB0001094</t>
  </si>
  <si>
    <t>MAHB0001095</t>
  </si>
  <si>
    <t>MAHB0001096</t>
  </si>
  <si>
    <t>MAHB0001097</t>
  </si>
  <si>
    <t>MAHB0001098</t>
  </si>
  <si>
    <t>MAHB0001099</t>
  </si>
  <si>
    <t>MAHB0001100</t>
  </si>
  <si>
    <t>MAHB0001101</t>
  </si>
  <si>
    <t>MAHB0001102</t>
  </si>
  <si>
    <t>MAHB0001103</t>
  </si>
  <si>
    <t>MAHB0001104</t>
  </si>
  <si>
    <t>MAHB0001105</t>
  </si>
  <si>
    <t>MAHB0001106</t>
  </si>
  <si>
    <t>MAHB0001107</t>
  </si>
  <si>
    <t>MAHB0001108</t>
  </si>
  <si>
    <t>MAHB0001109</t>
  </si>
  <si>
    <t>MAHB0001110</t>
  </si>
  <si>
    <t>MAHB0001111</t>
  </si>
  <si>
    <t>MAHB0001112</t>
  </si>
  <si>
    <t>MAHB0001113</t>
  </si>
  <si>
    <t>MAHB0001114</t>
  </si>
  <si>
    <t>MAHB0001115</t>
  </si>
  <si>
    <t>MAHB0001116</t>
  </si>
  <si>
    <t>MAHB0001117</t>
  </si>
  <si>
    <t>MAHB0001118</t>
  </si>
  <si>
    <t>MAHB0001119</t>
  </si>
  <si>
    <t>MAHB0001120</t>
  </si>
  <si>
    <t>MAHB0001121</t>
  </si>
  <si>
    <t>MAHB0001122</t>
  </si>
  <si>
    <t>MAHB0001123</t>
  </si>
  <si>
    <t>MAHB0001124</t>
  </si>
  <si>
    <t>MAHB0001125</t>
  </si>
  <si>
    <t>MAHB0001126</t>
  </si>
  <si>
    <t>MAHB0001127</t>
  </si>
  <si>
    <t>MAHB0001128</t>
  </si>
  <si>
    <t>MAHB0001129</t>
  </si>
  <si>
    <t>MAHB0001130</t>
  </si>
  <si>
    <t>MAHB0001131</t>
  </si>
  <si>
    <t>MAHB0001132</t>
  </si>
  <si>
    <t>MAHB0001133</t>
  </si>
  <si>
    <t>MAHB0001134</t>
  </si>
  <si>
    <t>MAHB0001135</t>
  </si>
  <si>
    <t>MAHB0001136</t>
  </si>
  <si>
    <t>MAHB0001137</t>
  </si>
  <si>
    <t>MAHB0001138</t>
  </si>
  <si>
    <t>MAHB0001139</t>
  </si>
  <si>
    <t>MAHB0001140</t>
  </si>
  <si>
    <t>MAHB0001141</t>
  </si>
  <si>
    <t>MAHB0001142</t>
  </si>
  <si>
    <t>MAHB0001143</t>
  </si>
  <si>
    <t>MAHB0001144</t>
  </si>
  <si>
    <t>MAHB0001146</t>
  </si>
  <si>
    <t>MAHB0001147</t>
  </si>
  <si>
    <t>MAHB0001148</t>
  </si>
  <si>
    <t>MAHB0001149</t>
  </si>
  <si>
    <t>MAHB0001150</t>
  </si>
  <si>
    <t>MAHB0001151</t>
  </si>
  <si>
    <t>MAHB0001152</t>
  </si>
  <si>
    <t>MAHB0001153</t>
  </si>
  <si>
    <t>MAHB0001154</t>
  </si>
  <si>
    <t>MAHB0001155</t>
  </si>
  <si>
    <t>MAHB0001156</t>
  </si>
  <si>
    <t>MAHB0001157</t>
  </si>
  <si>
    <t>MAHB0001158</t>
  </si>
  <si>
    <t>MAHB0001159</t>
  </si>
  <si>
    <t>MAHB0001160</t>
  </si>
  <si>
    <t>MAHB0001161</t>
  </si>
  <si>
    <t>MAHB0001162</t>
  </si>
  <si>
    <t>MAHB0001163</t>
  </si>
  <si>
    <t>MAHB0001164</t>
  </si>
  <si>
    <t>MAHB0001165</t>
  </si>
  <si>
    <t>MAHB0001166</t>
  </si>
  <si>
    <t>MAHB0001167</t>
  </si>
  <si>
    <t>MAHB0001168</t>
  </si>
  <si>
    <t>MAHB0001169</t>
  </si>
  <si>
    <t>MAHB0001170</t>
  </si>
  <si>
    <t>MAHB0001171</t>
  </si>
  <si>
    <t>MAHB0001172</t>
  </si>
  <si>
    <t>MAHB0001173</t>
  </si>
  <si>
    <t>MAHB0001174</t>
  </si>
  <si>
    <t>MAHB0001175</t>
  </si>
  <si>
    <t>MAHB0001176</t>
  </si>
  <si>
    <t>MAHB0001177</t>
  </si>
  <si>
    <t>MAHB0001178</t>
  </si>
  <si>
    <t>MAHB0001179</t>
  </si>
  <si>
    <t>MAHB0001180</t>
  </si>
  <si>
    <t>MAHB0001181</t>
  </si>
  <si>
    <t>MAHB0001182</t>
  </si>
  <si>
    <t>MAHB0001183</t>
  </si>
  <si>
    <t>MAHB0001184</t>
  </si>
  <si>
    <t>MAHB0001185</t>
  </si>
  <si>
    <t>MAHB0001186</t>
  </si>
  <si>
    <t>MAHB0001187</t>
  </si>
  <si>
    <t>MAHB0001188</t>
  </si>
  <si>
    <t>MAHB0001189</t>
  </si>
  <si>
    <t>MAHB0001190</t>
  </si>
  <si>
    <t>MAHB0001191</t>
  </si>
  <si>
    <t>MAHB0001192</t>
  </si>
  <si>
    <t>MAHB0001193</t>
  </si>
  <si>
    <t>MAHB0001194</t>
  </si>
  <si>
    <t>MAHB0001195</t>
  </si>
  <si>
    <t>MAHB0001196</t>
  </si>
  <si>
    <t>MAHB0001197</t>
  </si>
  <si>
    <t>MAHB0001198</t>
  </si>
  <si>
    <t>MAHB0001199</t>
  </si>
  <si>
    <t>MAHB0001200</t>
  </si>
  <si>
    <t>MAHB0001201</t>
  </si>
  <si>
    <t>MAHB0001202</t>
  </si>
  <si>
    <t>MAHB0001203</t>
  </si>
  <si>
    <t>MAHB0001204</t>
  </si>
  <si>
    <t>MAHB0001205</t>
  </si>
  <si>
    <t>MAHB0001206</t>
  </si>
  <si>
    <t>MAHB0001207</t>
  </si>
  <si>
    <t>MAHB0001208</t>
  </si>
  <si>
    <t>MAHB0001209</t>
  </si>
  <si>
    <t>MAHB0001210</t>
  </si>
  <si>
    <t>MAHB0001211</t>
  </si>
  <si>
    <t>MAHB0001212</t>
  </si>
  <si>
    <t>MAHB0001213</t>
  </si>
  <si>
    <t>MAHB0001214</t>
  </si>
  <si>
    <t>MAHB0001215</t>
  </si>
  <si>
    <t>MAHB0001216</t>
  </si>
  <si>
    <t>MAHB0001217</t>
  </si>
  <si>
    <t>MAHB0001218</t>
  </si>
  <si>
    <t>MAHB0001219</t>
  </si>
  <si>
    <t>MAHB0001220</t>
  </si>
  <si>
    <t>MAHB0001221</t>
  </si>
  <si>
    <t>MAHB0001222</t>
  </si>
  <si>
    <t>MAHB0001223</t>
  </si>
  <si>
    <t>MAHB0001224</t>
  </si>
  <si>
    <t>MAHB0001225</t>
  </si>
  <si>
    <t>MAHB0001226</t>
  </si>
  <si>
    <t>MAHB0001227</t>
  </si>
  <si>
    <t>MAHB0001228</t>
  </si>
  <si>
    <t>MAHB0001229</t>
  </si>
  <si>
    <t>MAHB0001230</t>
  </si>
  <si>
    <t>MAHB0001231</t>
  </si>
  <si>
    <t>MAHB0001232</t>
  </si>
  <si>
    <t>MAHB0001233</t>
  </si>
  <si>
    <t>MAHB0001234</t>
  </si>
  <si>
    <t>MAHB0001235</t>
  </si>
  <si>
    <t>MAHB0001236</t>
  </si>
  <si>
    <t>MAHB0001237</t>
  </si>
  <si>
    <t>MAHB0001238</t>
  </si>
  <si>
    <t>MAHB0001239</t>
  </si>
  <si>
    <t>MAHB0001240</t>
  </si>
  <si>
    <t>MAHB0001241</t>
  </si>
  <si>
    <t>MAHB0001242</t>
  </si>
  <si>
    <t>MAHB0001243</t>
  </si>
  <si>
    <t>MAHB0001244</t>
  </si>
  <si>
    <t>MAHB0001245</t>
  </si>
  <si>
    <t>MAHB0001246</t>
  </si>
  <si>
    <t>MAHB0001247</t>
  </si>
  <si>
    <t>MAHB0001248</t>
  </si>
  <si>
    <t>MAHB0001249</t>
  </si>
  <si>
    <t>MAHB0001250</t>
  </si>
  <si>
    <t>MAHB0001251</t>
  </si>
  <si>
    <t>MAHB0001252</t>
  </si>
  <si>
    <t>MAHB0001253</t>
  </si>
  <si>
    <t>MAHB0001254</t>
  </si>
  <si>
    <t>MAHB0001255</t>
  </si>
  <si>
    <t>MAHB0001256</t>
  </si>
  <si>
    <t>MAHB0001257</t>
  </si>
  <si>
    <t>MAHB0001258</t>
  </si>
  <si>
    <t>MAHB0001259</t>
  </si>
  <si>
    <t>MAHB0001260</t>
  </si>
  <si>
    <t>MAHB0001261</t>
  </si>
  <si>
    <t>MAHB0001262</t>
  </si>
  <si>
    <t>MAHB0001263</t>
  </si>
  <si>
    <t>MAHB0001264</t>
  </si>
  <si>
    <t>MAHB0001265</t>
  </si>
  <si>
    <t>MAHB0001266</t>
  </si>
  <si>
    <t>MAHB0001267</t>
  </si>
  <si>
    <t>MAHB0001268</t>
  </si>
  <si>
    <t>MAHB0001269</t>
  </si>
  <si>
    <t>MAHB0001270</t>
  </si>
  <si>
    <t>MAHB0001271</t>
  </si>
  <si>
    <t>MAHB0001272</t>
  </si>
  <si>
    <t>MAHB0001273</t>
  </si>
  <si>
    <t>MAHB0001274</t>
  </si>
  <si>
    <t>MAHB0001275</t>
  </si>
  <si>
    <t>MAHB0001276</t>
  </si>
  <si>
    <t>MAHB0001277</t>
  </si>
  <si>
    <t>MAHB0001278</t>
  </si>
  <si>
    <t>MAHB0001279</t>
  </si>
  <si>
    <t>MAHB0001280</t>
  </si>
  <si>
    <t>MAHB0001281</t>
  </si>
  <si>
    <t>MAHB0001282</t>
  </si>
  <si>
    <t>MAHB0001283</t>
  </si>
  <si>
    <t>MAHB0001284</t>
  </si>
  <si>
    <t>MAHB0001285</t>
  </si>
  <si>
    <t>MAHB0001286</t>
  </si>
  <si>
    <t>MAHB0001287</t>
  </si>
  <si>
    <t>MAHB0001288</t>
  </si>
  <si>
    <t>MAHB0001289</t>
  </si>
  <si>
    <t>MAHB0001290</t>
  </si>
  <si>
    <t>MAHB0001291</t>
  </si>
  <si>
    <t>MAHB0001292</t>
  </si>
  <si>
    <t>MAHB0001293</t>
  </si>
  <si>
    <t>MAHB0001294</t>
  </si>
  <si>
    <t>MAHB0001295</t>
  </si>
  <si>
    <t>MAHB0001296</t>
  </si>
  <si>
    <t>MAHB0001297</t>
  </si>
  <si>
    <t>MAHB0001298</t>
  </si>
  <si>
    <t>MAHB0001299</t>
  </si>
  <si>
    <t>MAHB0001300</t>
  </si>
  <si>
    <t>MAHB0001301</t>
  </si>
  <si>
    <t>MAHB0001302</t>
  </si>
  <si>
    <t>MAHB0001303</t>
  </si>
  <si>
    <t>MAHB0001304</t>
  </si>
  <si>
    <t>MAHB0001305</t>
  </si>
  <si>
    <t>MAHB0001306</t>
  </si>
  <si>
    <t>MAHB0001307</t>
  </si>
  <si>
    <t>MAHB0001308</t>
  </si>
  <si>
    <t>MAHB0001309</t>
  </si>
  <si>
    <t>MAHB0001310</t>
  </si>
  <si>
    <t>MAHB0001311</t>
  </si>
  <si>
    <t>MAHB0001312</t>
  </si>
  <si>
    <t>MAHB0001313</t>
  </si>
  <si>
    <t>MAHB0001314</t>
  </si>
  <si>
    <t>MAHB0001315</t>
  </si>
  <si>
    <t>MAHB0001316</t>
  </si>
  <si>
    <t>MAHB0001317</t>
  </si>
  <si>
    <t>MAHB0001318</t>
  </si>
  <si>
    <t>MAHB0001319</t>
  </si>
  <si>
    <t>MAHB0001320</t>
  </si>
  <si>
    <t>MAHB0001321</t>
  </si>
  <si>
    <t>MAHB0001322</t>
  </si>
  <si>
    <t>MAHB0001323</t>
  </si>
  <si>
    <t>MAHB0001324</t>
  </si>
  <si>
    <t>MAHB0001325</t>
  </si>
  <si>
    <t>MAHB0001326</t>
  </si>
  <si>
    <t>MAHB0001327</t>
  </si>
  <si>
    <t>MAHB0001328</t>
  </si>
  <si>
    <t>MAHB0001329</t>
  </si>
  <si>
    <t>MAHB0001330</t>
  </si>
  <si>
    <t>MAHB0001331</t>
  </si>
  <si>
    <t>MAHB0001332</t>
  </si>
  <si>
    <t>MAHB0001333</t>
  </si>
  <si>
    <t>MAHB0001334</t>
  </si>
  <si>
    <t>MAHB0001335</t>
  </si>
  <si>
    <t>MAHB0001336</t>
  </si>
  <si>
    <t>MAHB0001337</t>
  </si>
  <si>
    <t>MAHB0001338</t>
  </si>
  <si>
    <t>MAHB0001339</t>
  </si>
  <si>
    <t>MAHB0001340</t>
  </si>
  <si>
    <t>MAHB0001341</t>
  </si>
  <si>
    <t>MAHB0001342</t>
  </si>
  <si>
    <t>MAHB0001343</t>
  </si>
  <si>
    <t>MAHB0001344</t>
  </si>
  <si>
    <t>MAHB0001345</t>
  </si>
  <si>
    <t>MAHB0001346</t>
  </si>
  <si>
    <t>MAHB0001347</t>
  </si>
  <si>
    <t>MAHB0001349</t>
  </si>
  <si>
    <t>MAHB0001351</t>
  </si>
  <si>
    <t>MAHB0001352</t>
  </si>
  <si>
    <t>MAHB0001353</t>
  </si>
  <si>
    <t>MAHB0001354</t>
  </si>
  <si>
    <t>MAHB0001355</t>
  </si>
  <si>
    <t>MAHB0001356</t>
  </si>
  <si>
    <t>MAHB0001357</t>
  </si>
  <si>
    <t>MAHB0001358</t>
  </si>
  <si>
    <t>MAHB0001359</t>
  </si>
  <si>
    <t>MAHB0001360</t>
  </si>
  <si>
    <t>MAHB0001361</t>
  </si>
  <si>
    <t>MAHB0001362</t>
  </si>
  <si>
    <t>MAHB0001363</t>
  </si>
  <si>
    <t>MAHB0001364</t>
  </si>
  <si>
    <t>MAHB0001365</t>
  </si>
  <si>
    <t>MAHB0001366</t>
  </si>
  <si>
    <t>MAHB0001367</t>
  </si>
  <si>
    <t>MAHB0001368</t>
  </si>
  <si>
    <t>MAHB0001369</t>
  </si>
  <si>
    <t>MAHB0001370</t>
  </si>
  <si>
    <t>MAHB0001371</t>
  </si>
  <si>
    <t>MAHB0001372</t>
  </si>
  <si>
    <t>MAHB0001373</t>
  </si>
  <si>
    <t>MAHB0001374</t>
  </si>
  <si>
    <t>MAHB0001375</t>
  </si>
  <si>
    <t>MAHB0001376</t>
  </si>
  <si>
    <t>MAHB0001377</t>
  </si>
  <si>
    <t>MAHB0001378</t>
  </si>
  <si>
    <t>MAHB0001379</t>
  </si>
  <si>
    <t>MAHB0001380</t>
  </si>
  <si>
    <t>MAHB0001381</t>
  </si>
  <si>
    <t>MAHB0001382</t>
  </si>
  <si>
    <t>MAHB0001383</t>
  </si>
  <si>
    <t>MAHB0001384</t>
  </si>
  <si>
    <t>MAHB0001385</t>
  </si>
  <si>
    <t>MAHB0001386</t>
  </si>
  <si>
    <t>MAHB0001387</t>
  </si>
  <si>
    <t>MAHB0001388</t>
  </si>
  <si>
    <t>MAHB0001389</t>
  </si>
  <si>
    <t>MAHB0001390</t>
  </si>
  <si>
    <t>MAHB0001391</t>
  </si>
  <si>
    <t>MAHB0001392</t>
  </si>
  <si>
    <t>MAHB0001393</t>
  </si>
  <si>
    <t>MAHB0001394</t>
  </si>
  <si>
    <t>MAHB0001395</t>
  </si>
  <si>
    <t>MAHB0001396</t>
  </si>
  <si>
    <t>MAHB0001397</t>
  </si>
  <si>
    <t>MAHB0001398</t>
  </si>
  <si>
    <t>MAHB0001399</t>
  </si>
  <si>
    <t>MAHB0001400</t>
  </si>
  <si>
    <t>MAHB0001401</t>
  </si>
  <si>
    <t>MAHB0001402</t>
  </si>
  <si>
    <t>MAHB0001403</t>
  </si>
  <si>
    <t>MAHB0001404</t>
  </si>
  <si>
    <t>MAHB0001405</t>
  </si>
  <si>
    <t>MAHB0001406</t>
  </si>
  <si>
    <t>MAHB0001408</t>
  </si>
  <si>
    <t>MAHB0001409</t>
  </si>
  <si>
    <t>MAHB0001410</t>
  </si>
  <si>
    <t>MAHB0001411</t>
  </si>
  <si>
    <t>MAHB0001412</t>
  </si>
  <si>
    <t>MAHB0001413</t>
  </si>
  <si>
    <t>MAHB0001414</t>
  </si>
  <si>
    <t>MAHB0001415</t>
  </si>
  <si>
    <t>MAHB0001416</t>
  </si>
  <si>
    <t>MAHB0001417</t>
  </si>
  <si>
    <t>MAHB0001418</t>
  </si>
  <si>
    <t>MAHB0001419</t>
  </si>
  <si>
    <t>MAHB0001420</t>
  </si>
  <si>
    <t>MAHB0001421</t>
  </si>
  <si>
    <t>MAHB0001422</t>
  </si>
  <si>
    <t>MAHB0001423</t>
  </si>
  <si>
    <t>MAHB0001424</t>
  </si>
  <si>
    <t>MAHB0001425</t>
  </si>
  <si>
    <t>MAHB0001426</t>
  </si>
  <si>
    <t>MAHB0001427</t>
  </si>
  <si>
    <t>MAHB0001428</t>
  </si>
  <si>
    <t>MAHB0001429</t>
  </si>
  <si>
    <t>MAHB0001430</t>
  </si>
  <si>
    <t>MAHB0001431</t>
  </si>
  <si>
    <t>MAHB0001432</t>
  </si>
  <si>
    <t>MAHB0001433</t>
  </si>
  <si>
    <t>MAHB0001434</t>
  </si>
  <si>
    <t>MAHB0001435</t>
  </si>
  <si>
    <t>MAHB0001436</t>
  </si>
  <si>
    <t>MAHB0001437</t>
  </si>
  <si>
    <t>MAHB0001438</t>
  </si>
  <si>
    <t>MAHB0001439</t>
  </si>
  <si>
    <t>MAHB0001440</t>
  </si>
  <si>
    <t>MAHB0001441</t>
  </si>
  <si>
    <t>MAHB0001442</t>
  </si>
  <si>
    <t>MAHB0001443</t>
  </si>
  <si>
    <t>MAHB0001444</t>
  </si>
  <si>
    <t>MAHB0001445</t>
  </si>
  <si>
    <t>MAHB0001446</t>
  </si>
  <si>
    <t>MAHB0001447</t>
  </si>
  <si>
    <t>MAHB0001448</t>
  </si>
  <si>
    <t>MAHB0001449</t>
  </si>
  <si>
    <t>MAHB0001450</t>
  </si>
  <si>
    <t>MAHB0001451</t>
  </si>
  <si>
    <t>MAHB0001452</t>
  </si>
  <si>
    <t>MAHB0001453</t>
  </si>
  <si>
    <t>MAHB0001454</t>
  </si>
  <si>
    <t>MAHB0001455</t>
  </si>
  <si>
    <t>MAHB0001456</t>
  </si>
  <si>
    <t>MAHB0001457</t>
  </si>
  <si>
    <t>MAHB0001458</t>
  </si>
  <si>
    <t>MAHB0001459</t>
  </si>
  <si>
    <t>MAHB0001460</t>
  </si>
  <si>
    <t>MAHB0001461</t>
  </si>
  <si>
    <t>MAHB0001462</t>
  </si>
  <si>
    <t>MAHB0001463</t>
  </si>
  <si>
    <t>MAHB0001464</t>
  </si>
  <si>
    <t>MAHB0001465</t>
  </si>
  <si>
    <t>MAHB0001466</t>
  </si>
  <si>
    <t>MAHB0001467</t>
  </si>
  <si>
    <t>MAHB0001468</t>
  </si>
  <si>
    <t>MAHB0001469</t>
  </si>
  <si>
    <t>MAHB0001470</t>
  </si>
  <si>
    <t>MAHB0001471</t>
  </si>
  <si>
    <t>MAHB0001472</t>
  </si>
  <si>
    <t>MAHB0001473</t>
  </si>
  <si>
    <t>MAHB0001474</t>
  </si>
  <si>
    <t>MAHB0001475</t>
  </si>
  <si>
    <t>MAHB0001476</t>
  </si>
  <si>
    <t>MAHB0001477</t>
  </si>
  <si>
    <t>MAHB0001478</t>
  </si>
  <si>
    <t>MAHB0001479</t>
  </si>
  <si>
    <t>MAHB0001480</t>
  </si>
  <si>
    <t>MAHB0001481</t>
  </si>
  <si>
    <t>MAHB0001482</t>
  </si>
  <si>
    <t>MAHB0001483</t>
  </si>
  <si>
    <t>MAHB0001484</t>
  </si>
  <si>
    <t>MAHB0001485</t>
  </si>
  <si>
    <t>MAHB0001486</t>
  </si>
  <si>
    <t>MAHB0001487</t>
  </si>
  <si>
    <t>MAHB0001488</t>
  </si>
  <si>
    <t>MAHB0001489</t>
  </si>
  <si>
    <t>MAHB0001490</t>
  </si>
  <si>
    <t>MAHB0001491</t>
  </si>
  <si>
    <t>MAHB0001492</t>
  </si>
  <si>
    <t>MAHB0001493</t>
  </si>
  <si>
    <t>MAHB0001494</t>
  </si>
  <si>
    <t>MAHB0001499</t>
  </si>
  <si>
    <t>MAHB0001500</t>
  </si>
  <si>
    <t>MAHB0001501</t>
  </si>
  <si>
    <t>MAHB0001503</t>
  </si>
  <si>
    <t>MAHB0001504</t>
  </si>
  <si>
    <t>MAHB0001506</t>
  </si>
  <si>
    <t>MAHB0001509</t>
  </si>
  <si>
    <t>MAHB0001510</t>
  </si>
  <si>
    <t>MAHB0001512</t>
  </si>
  <si>
    <t>MAHB0001513</t>
  </si>
  <si>
    <t>MAHB0001514</t>
  </si>
  <si>
    <t>MAHB0001515</t>
  </si>
  <si>
    <t>MAHB0001516</t>
  </si>
  <si>
    <t>MAHB0001517</t>
  </si>
  <si>
    <t>MAHB0001518</t>
  </si>
  <si>
    <t>MAHB0001519</t>
  </si>
  <si>
    <t>MAHB0001520</t>
  </si>
  <si>
    <t>MAHB0001521</t>
  </si>
  <si>
    <t>MAHB0001523</t>
  </si>
  <si>
    <t>MAHB0001524</t>
  </si>
  <si>
    <t>MAHB0001525</t>
  </si>
  <si>
    <t>MAHB0001526</t>
  </si>
  <si>
    <t>MAHB0001527</t>
  </si>
  <si>
    <t>MAHB0001528</t>
  </si>
  <si>
    <t>MAHB0001530</t>
  </si>
  <si>
    <t>MAHB0001531</t>
  </si>
  <si>
    <t>MAHB0001532</t>
  </si>
  <si>
    <t>MAHB0001533</t>
  </si>
  <si>
    <t>MAHB0001534</t>
  </si>
  <si>
    <t>MAHB0001535</t>
  </si>
  <si>
    <t>MAHB0001536</t>
  </si>
  <si>
    <t>MAHB0001537</t>
  </si>
  <si>
    <t>MAHB0001538</t>
  </si>
  <si>
    <t>MAHB0001539</t>
  </si>
  <si>
    <t>MAHB0001540</t>
  </si>
  <si>
    <t>MAHB0001541</t>
  </si>
  <si>
    <t>MAHB0001542</t>
  </si>
  <si>
    <t>MAHB0001543</t>
  </si>
  <si>
    <t>MAHB0001544</t>
  </si>
  <si>
    <t>MAHB0001545</t>
  </si>
  <si>
    <t>MAHB0001546</t>
  </si>
  <si>
    <t>MAHB0001547</t>
  </si>
  <si>
    <t>MAHB0001548</t>
  </si>
  <si>
    <t>MAHB0001549</t>
  </si>
  <si>
    <t>MAHB0001550</t>
  </si>
  <si>
    <t>MAHB0001551</t>
  </si>
  <si>
    <t>MAHB0001552</t>
  </si>
  <si>
    <t>MAHB0001553</t>
  </si>
  <si>
    <t>MAHB0001554</t>
  </si>
  <si>
    <t>MAHB0001555</t>
  </si>
  <si>
    <t>MAHB0001556</t>
  </si>
  <si>
    <t>MAHB0001557</t>
  </si>
  <si>
    <t>MAHB0001558</t>
  </si>
  <si>
    <t>MAHB0001559</t>
  </si>
  <si>
    <t>MAHB0001560</t>
  </si>
  <si>
    <t>MAHB0001561</t>
  </si>
  <si>
    <t>MAHB0001562</t>
  </si>
  <si>
    <t>MAHB0001563</t>
  </si>
  <si>
    <t>MAHB0001564</t>
  </si>
  <si>
    <t>MAHB0001565</t>
  </si>
  <si>
    <t>MAHB0001566</t>
  </si>
  <si>
    <t>MAHB0001567</t>
  </si>
  <si>
    <t>MAHB0001568</t>
  </si>
  <si>
    <t>MAHB0001569</t>
  </si>
  <si>
    <t>MAHB0001570</t>
  </si>
  <si>
    <t>MAHB0001571</t>
  </si>
  <si>
    <t>MAHB0001572</t>
  </si>
  <si>
    <t>MAHB0001573</t>
  </si>
  <si>
    <t>MAHB0001574</t>
  </si>
  <si>
    <t>MAHB0001575</t>
  </si>
  <si>
    <t>MAHB0001576</t>
  </si>
  <si>
    <t>MAHB0001577</t>
  </si>
  <si>
    <t>MAHB0001578</t>
  </si>
  <si>
    <t>MAHB0001579</t>
  </si>
  <si>
    <t>MAHB0001580</t>
  </si>
  <si>
    <t>MAHB0001581</t>
  </si>
  <si>
    <t>MAHB0001582</t>
  </si>
  <si>
    <t>MAHB0001583</t>
  </si>
  <si>
    <t>MAHB0001584</t>
  </si>
  <si>
    <t>MAHB0001585</t>
  </si>
  <si>
    <t>MAHB0001586</t>
  </si>
  <si>
    <t>MAHB0001587</t>
  </si>
  <si>
    <t>MAHB0001588</t>
  </si>
  <si>
    <t>MAHB0001589</t>
  </si>
  <si>
    <t>MAHB0001590</t>
  </si>
  <si>
    <t>MAHB0001591</t>
  </si>
  <si>
    <t>MAHB0001592</t>
  </si>
  <si>
    <t>MAHB0001593</t>
  </si>
  <si>
    <t>MAHB0001594</t>
  </si>
  <si>
    <t>MAHB0001595</t>
  </si>
  <si>
    <t>MAHB0001596</t>
  </si>
  <si>
    <t>MAHB0001597</t>
  </si>
  <si>
    <t>MAHB0001598</t>
  </si>
  <si>
    <t>MAHB0001599</t>
  </si>
  <si>
    <t>MAHB0001600</t>
  </si>
  <si>
    <t>MAHB0001601</t>
  </si>
  <si>
    <t>MAHB0001602</t>
  </si>
  <si>
    <t>MAHB0001603</t>
  </si>
  <si>
    <t>MAHB0001604</t>
  </si>
  <si>
    <t>MAHB0001605</t>
  </si>
  <si>
    <t>MAHB0001606</t>
  </si>
  <si>
    <t>MAHB0001607</t>
  </si>
  <si>
    <t>MAHB0001608</t>
  </si>
  <si>
    <t>MAHB0001609</t>
  </si>
  <si>
    <t>MAHB0001610</t>
  </si>
  <si>
    <t>MAHB0001611</t>
  </si>
  <si>
    <t>MAHB0001612</t>
  </si>
  <si>
    <t>MAHB0001613</t>
  </si>
  <si>
    <t>MAHB0001614</t>
  </si>
  <si>
    <t>MAHB0001615</t>
  </si>
  <si>
    <t>MAHB0001616</t>
  </si>
  <si>
    <t>MAHB0001617</t>
  </si>
  <si>
    <t>MAHB0001618</t>
  </si>
  <si>
    <t>MAHB0001619</t>
  </si>
  <si>
    <t>MAHB0001620</t>
  </si>
  <si>
    <t>MAHB0001621</t>
  </si>
  <si>
    <t>MAHB0001622</t>
  </si>
  <si>
    <t>MAHB0001623</t>
  </si>
  <si>
    <t>MAHB0001624</t>
  </si>
  <si>
    <t>MAHB0001625</t>
  </si>
  <si>
    <t>MAHB0001626</t>
  </si>
  <si>
    <t>MAHB0001627</t>
  </si>
  <si>
    <t>MAHB0001628</t>
  </si>
  <si>
    <t>MAHB0001629</t>
  </si>
  <si>
    <t>MAHB0001630</t>
  </si>
  <si>
    <t>MAHB0001631</t>
  </si>
  <si>
    <t>MAHB0001632</t>
  </si>
  <si>
    <t>MAHB0001633</t>
  </si>
  <si>
    <t>MAHB0001634</t>
  </si>
  <si>
    <t>MAHB0001635</t>
  </si>
  <si>
    <t>MAHB0001636</t>
  </si>
  <si>
    <t>MAHB0001637</t>
  </si>
  <si>
    <t>MAHB0001638</t>
  </si>
  <si>
    <t>MAHB0001639</t>
  </si>
  <si>
    <t>MAHB0001640</t>
  </si>
  <si>
    <t>MAHB0001641</t>
  </si>
  <si>
    <t>MAHB0001642</t>
  </si>
  <si>
    <t>MAHB0001643</t>
  </si>
  <si>
    <t>MAHB0001644</t>
  </si>
  <si>
    <t>MAHB0001645</t>
  </si>
  <si>
    <t>MAHB0001646</t>
  </si>
  <si>
    <t>MAHB0001647</t>
  </si>
  <si>
    <t>MAHB0001648</t>
  </si>
  <si>
    <t>MAHB0001649</t>
  </si>
  <si>
    <t>MAHB0001650</t>
  </si>
  <si>
    <t>MAHB0001651</t>
  </si>
  <si>
    <t>MAHB0001652</t>
  </si>
  <si>
    <t>MAHB0001653</t>
  </si>
  <si>
    <t>MAHB0001654</t>
  </si>
  <si>
    <t>MAHB0001655</t>
  </si>
  <si>
    <t>MAHB0001656</t>
  </si>
  <si>
    <t>MAHB0001657</t>
  </si>
  <si>
    <t>MAHB0001658</t>
  </si>
  <si>
    <t>MAHB0001659</t>
  </si>
  <si>
    <t>MAHB0001660</t>
  </si>
  <si>
    <t>MAHB0001661</t>
  </si>
  <si>
    <t>MAHB0001662</t>
  </si>
  <si>
    <t>MAHB0001663</t>
  </si>
  <si>
    <t>MAHB0001664</t>
  </si>
  <si>
    <t>MAHB0001665</t>
  </si>
  <si>
    <t>MAHB0001666</t>
  </si>
  <si>
    <t>MAHB0001667</t>
  </si>
  <si>
    <t>MAHB0001668</t>
  </si>
  <si>
    <t>MAHB0001669</t>
  </si>
  <si>
    <t>MAHB0001670</t>
  </si>
  <si>
    <t>MAHB0001671</t>
  </si>
  <si>
    <t>MAHB0001672</t>
  </si>
  <si>
    <t>MAHB0001673</t>
  </si>
  <si>
    <t>MAHB0001674</t>
  </si>
  <si>
    <t>MAHB0001675</t>
  </si>
  <si>
    <t>MAHB0001676</t>
  </si>
  <si>
    <t>MAHB0001677</t>
  </si>
  <si>
    <t>MAHB0001678</t>
  </si>
  <si>
    <t>MAHB0001679</t>
  </si>
  <si>
    <t>MAHB0001680</t>
  </si>
  <si>
    <t>MAHB0001681</t>
  </si>
  <si>
    <t>MAHB0001682</t>
  </si>
  <si>
    <t>MAHB0001683</t>
  </si>
  <si>
    <t>MAHB0001684</t>
  </si>
  <si>
    <t>MAHB0001685</t>
  </si>
  <si>
    <t>MAHB0001686</t>
  </si>
  <si>
    <t>MAHB0001687</t>
  </si>
  <si>
    <t>MAHB0001688</t>
  </si>
  <si>
    <t>MAHB0001689</t>
  </si>
  <si>
    <t>MAHB0001690</t>
  </si>
  <si>
    <t>MAHB0001691</t>
  </si>
  <si>
    <t>MAHB0001692</t>
  </si>
  <si>
    <t>MAHB0001693</t>
  </si>
  <si>
    <t>MAHB0001694</t>
  </si>
  <si>
    <t>MAHB0001695</t>
  </si>
  <si>
    <t>MAHB0001696</t>
  </si>
  <si>
    <t>MAHB0001697</t>
  </si>
  <si>
    <t>MAHB0001698</t>
  </si>
  <si>
    <t>MAHB0001699</t>
  </si>
  <si>
    <t>MAHB0001700</t>
  </si>
  <si>
    <t>MAHB0001701</t>
  </si>
  <si>
    <t>MAHB0001702</t>
  </si>
  <si>
    <t>MAHB0001703</t>
  </si>
  <si>
    <t>MAHB0001704</t>
  </si>
  <si>
    <t>MAHB0001705</t>
  </si>
  <si>
    <t>MAHB0001706</t>
  </si>
  <si>
    <t>MAHB0001707</t>
  </si>
  <si>
    <t>MAHB0001708</t>
  </si>
  <si>
    <t>MAHB0001709</t>
  </si>
  <si>
    <t>MAHB0001710</t>
  </si>
  <si>
    <t>MAHB0001711</t>
  </si>
  <si>
    <t>MAHB0001712</t>
  </si>
  <si>
    <t>MAHB0001713</t>
  </si>
  <si>
    <t>MAHB0001714</t>
  </si>
  <si>
    <t>MAHB0001715</t>
  </si>
  <si>
    <t>MAHB0001716</t>
  </si>
  <si>
    <t>MAHB0001717</t>
  </si>
  <si>
    <t>MAHB0001718</t>
  </si>
  <si>
    <t>MAHB0001719</t>
  </si>
  <si>
    <t>MAHB0001720</t>
  </si>
  <si>
    <t>MAHB0001721</t>
  </si>
  <si>
    <t>MAHB0001722</t>
  </si>
  <si>
    <t>MAHB0001723</t>
  </si>
  <si>
    <t>MAHB0001724</t>
  </si>
  <si>
    <t>MAHB0001725</t>
  </si>
  <si>
    <t>MAHB0001726</t>
  </si>
  <si>
    <t>MAHB0001727</t>
  </si>
  <si>
    <t>MAHB0001728</t>
  </si>
  <si>
    <t>MAHB0001729</t>
  </si>
  <si>
    <t>MAHB0001730</t>
  </si>
  <si>
    <t>MAHB0001731</t>
  </si>
  <si>
    <t>MAHB0001732</t>
  </si>
  <si>
    <t>MAHB0001733</t>
  </si>
  <si>
    <t>MAHB0001734</t>
  </si>
  <si>
    <t>MAHB0001735</t>
  </si>
  <si>
    <t>MAHB0001736</t>
  </si>
  <si>
    <t>MAHB0001737</t>
  </si>
  <si>
    <t>MAHB0001738</t>
  </si>
  <si>
    <t>MAHB0001739</t>
  </si>
  <si>
    <t>MAHB0001740</t>
  </si>
  <si>
    <t>MAHB0001741</t>
  </si>
  <si>
    <t>MAHB0001742</t>
  </si>
  <si>
    <t>MAHB0001743</t>
  </si>
  <si>
    <t>MAHB0001744</t>
  </si>
  <si>
    <t>MAHB0001745</t>
  </si>
  <si>
    <t>MAHB0001747</t>
  </si>
  <si>
    <t>MAHB0001748</t>
  </si>
  <si>
    <t>MAHB0001749</t>
  </si>
  <si>
    <t>MAHB0001750</t>
  </si>
  <si>
    <t>MAHB0001751</t>
  </si>
  <si>
    <t>MAHB0001752</t>
  </si>
  <si>
    <t>MAHB0001753</t>
  </si>
  <si>
    <t>MAHB0001754</t>
  </si>
  <si>
    <t>MAHB0001755</t>
  </si>
  <si>
    <t>MAHB0001756</t>
  </si>
  <si>
    <t>MAHB0001757</t>
  </si>
  <si>
    <t>MAHB0001758</t>
  </si>
  <si>
    <t>MAHB0001759</t>
  </si>
  <si>
    <t>MAHB0001760</t>
  </si>
  <si>
    <t>MAHB0001761</t>
  </si>
  <si>
    <t>MAHB0001763</t>
  </si>
  <si>
    <t>MAHB0001764</t>
  </si>
  <si>
    <t>MAHB0001765</t>
  </si>
  <si>
    <t>MAHB0001766</t>
  </si>
  <si>
    <t>MAHB0001767</t>
  </si>
  <si>
    <t>MAHB0001768</t>
  </si>
  <si>
    <t>MAHB0001769</t>
  </si>
  <si>
    <t>MAHB0001770</t>
  </si>
  <si>
    <t>MAHB0001771</t>
  </si>
  <si>
    <t>MAHB0001772</t>
  </si>
  <si>
    <t>MAHB0001773</t>
  </si>
  <si>
    <t>MAHB0001774</t>
  </si>
  <si>
    <t>MAHB0001776</t>
  </si>
  <si>
    <t>MAHB0001777</t>
  </si>
  <si>
    <t>MAHB0001778</t>
  </si>
  <si>
    <t>MAHB0001779</t>
  </si>
  <si>
    <t>MAHB0001780</t>
  </si>
  <si>
    <t>MAHB0001781</t>
  </si>
  <si>
    <t>MAHB0001782</t>
  </si>
  <si>
    <t>MAHB0001783</t>
  </si>
  <si>
    <t>MAHB0001784</t>
  </si>
  <si>
    <t>MAHB0001785</t>
  </si>
  <si>
    <t>MAHB0001786</t>
  </si>
  <si>
    <t>MAHB0001787</t>
  </si>
  <si>
    <t>MAHB0001788</t>
  </si>
  <si>
    <t>MAHB0001789</t>
  </si>
  <si>
    <t>MAHB0001790</t>
  </si>
  <si>
    <t>MAHB0001791</t>
  </si>
  <si>
    <t>MAHB0001792</t>
  </si>
  <si>
    <t>MAHB0001793</t>
  </si>
  <si>
    <t>MAHB0001794</t>
  </si>
  <si>
    <t>MAHB0001795</t>
  </si>
  <si>
    <t>MAHB0001796</t>
  </si>
  <si>
    <t>MAHB0001797</t>
  </si>
  <si>
    <t>MAHB0001798</t>
  </si>
  <si>
    <t>MAHB0001799</t>
  </si>
  <si>
    <t>MAHB0001800</t>
  </si>
  <si>
    <t>MAHB0001801</t>
  </si>
  <si>
    <t>MAHB0001802</t>
  </si>
  <si>
    <t>MAHB0001803</t>
  </si>
  <si>
    <t>MAHB0001804</t>
  </si>
  <si>
    <t>MAHB0001805</t>
  </si>
  <si>
    <t>MAHB0001806</t>
  </si>
  <si>
    <t>MAHB0001807</t>
  </si>
  <si>
    <t>MAHB0001808</t>
  </si>
  <si>
    <t>MAHB0001809</t>
  </si>
  <si>
    <t>MAHB0001810</t>
  </si>
  <si>
    <t>MAHB0001811</t>
  </si>
  <si>
    <t>MAHB0001812</t>
  </si>
  <si>
    <t>MAHB0001813</t>
  </si>
  <si>
    <t>MAHB0001814</t>
  </si>
  <si>
    <t>MAHB0001815</t>
  </si>
  <si>
    <t>MAHB0001816</t>
  </si>
  <si>
    <t>MAHB0001817</t>
  </si>
  <si>
    <t>MAHB0001818</t>
  </si>
  <si>
    <t>MAHB0001819</t>
  </si>
  <si>
    <t>MAHB0001820</t>
  </si>
  <si>
    <t>MAHB0001821</t>
  </si>
  <si>
    <t>MAHB0001822</t>
  </si>
  <si>
    <t>MAHB0001823</t>
  </si>
  <si>
    <t>MAHB0001824</t>
  </si>
  <si>
    <t>MAHB0001825</t>
  </si>
  <si>
    <t>MAHB0001826</t>
  </si>
  <si>
    <t>MAHB0001827</t>
  </si>
  <si>
    <t>MAHB0001828</t>
  </si>
  <si>
    <t>MAHB0001829</t>
  </si>
  <si>
    <t>MAHB0001830</t>
  </si>
  <si>
    <t>MAHB0001831</t>
  </si>
  <si>
    <t>MAHB0001832</t>
  </si>
  <si>
    <t>MAHB0001833</t>
  </si>
  <si>
    <t>MAHB0001834</t>
  </si>
  <si>
    <t>MAHB0001835</t>
  </si>
  <si>
    <t>MAHB0001836</t>
  </si>
  <si>
    <t>MAHB0001837</t>
  </si>
  <si>
    <t>MAHB0001838</t>
  </si>
  <si>
    <t>MAHB0001839</t>
  </si>
  <si>
    <t>MAHB0001840</t>
  </si>
  <si>
    <t>MAHB0001841</t>
  </si>
  <si>
    <t>MAHB0001842</t>
  </si>
  <si>
    <t>MAHB0001843</t>
  </si>
  <si>
    <t>MAHB0001844</t>
  </si>
  <si>
    <t>MAHB0001845</t>
  </si>
  <si>
    <t>MAHB0001846</t>
  </si>
  <si>
    <t>MAHB0001847</t>
  </si>
  <si>
    <t>MAHB0001848</t>
  </si>
  <si>
    <t>MAHB0001849</t>
  </si>
  <si>
    <t>MAHB0001853</t>
  </si>
  <si>
    <t>MAHB0001854</t>
  </si>
  <si>
    <t>MAHB0001855</t>
  </si>
  <si>
    <t>MAHB0001856</t>
  </si>
  <si>
    <t>MAHB0001857</t>
  </si>
  <si>
    <t>MAHB0001858</t>
  </si>
  <si>
    <t>MAHB0001859</t>
  </si>
  <si>
    <t>MAHB0001860</t>
  </si>
  <si>
    <t>MAHB0001861</t>
  </si>
  <si>
    <t>MAHB0001862</t>
  </si>
  <si>
    <t>MAHB0001864</t>
  </si>
  <si>
    <t>MAHB0001865</t>
  </si>
  <si>
    <t>MAHB0001866</t>
  </si>
  <si>
    <t>MAHB0001867</t>
  </si>
  <si>
    <t>MAHB0001868</t>
  </si>
  <si>
    <t>MAHB0001869</t>
  </si>
  <si>
    <t>MAHB0001870</t>
  </si>
  <si>
    <t>MAHB0001871</t>
  </si>
  <si>
    <t>MAHB0001872</t>
  </si>
  <si>
    <t>MAHB0001873</t>
  </si>
  <si>
    <t>MAHB0001874</t>
  </si>
  <si>
    <t>MAHB0001875</t>
  </si>
  <si>
    <t>MAHB0001876</t>
  </si>
  <si>
    <t>MAHB0001877</t>
  </si>
  <si>
    <t>MAHB0001878</t>
  </si>
  <si>
    <t>MAHB0001879</t>
  </si>
  <si>
    <t>MAHB0001880</t>
  </si>
  <si>
    <t>MAHB0001881</t>
  </si>
  <si>
    <t>MAHB0001882</t>
  </si>
  <si>
    <t>MAHB0001883</t>
  </si>
  <si>
    <t>MAHB0001884</t>
  </si>
  <si>
    <t>MAHB0001885</t>
  </si>
  <si>
    <t>MAHB0001886</t>
  </si>
  <si>
    <t>MAHB0001887</t>
  </si>
  <si>
    <t>MAHB0001888</t>
  </si>
  <si>
    <t>MAHB0001889</t>
  </si>
  <si>
    <t>MAHB0001890</t>
  </si>
  <si>
    <t>MAHB0001891</t>
  </si>
  <si>
    <t>MAHB0001892</t>
  </si>
  <si>
    <t>MAHB0001893</t>
  </si>
  <si>
    <t>MAHB0001894</t>
  </si>
  <si>
    <t>MAHB0001896</t>
  </si>
  <si>
    <t>MAHB0001897</t>
  </si>
  <si>
    <t>MAHB0001898</t>
  </si>
  <si>
    <t>MAHB0001899</t>
  </si>
  <si>
    <t>MAHB0001901</t>
  </si>
  <si>
    <t>MAHB0001902</t>
  </si>
  <si>
    <t>MAHB0001903</t>
  </si>
  <si>
    <t>MAHB0001904</t>
  </si>
  <si>
    <t>MAHB0001905</t>
  </si>
  <si>
    <t>MAHB0001906</t>
  </si>
  <si>
    <t>MAHB0001907</t>
  </si>
  <si>
    <t>MAHB0001908</t>
  </si>
  <si>
    <t>MAHB0001909</t>
  </si>
  <si>
    <t>MAHB0001910</t>
  </si>
  <si>
    <t>MAHB0001911</t>
  </si>
  <si>
    <t>MAHB0001913</t>
  </si>
  <si>
    <t>MAHB0001914</t>
  </si>
  <si>
    <t>MAHB0001915</t>
  </si>
  <si>
    <t>MAHB0009999</t>
  </si>
  <si>
    <t>MAHB000CB01</t>
  </si>
  <si>
    <t>MAHB0RRBMGB</t>
  </si>
  <si>
    <t>NICB0000003</t>
  </si>
  <si>
    <t>NICB0000004</t>
  </si>
  <si>
    <t>NKGS0000002</t>
  </si>
  <si>
    <t>NKGS0000003</t>
  </si>
  <si>
    <t>NKGS0000004</t>
  </si>
  <si>
    <t>NKGS0000005</t>
  </si>
  <si>
    <t>NKGS0000006</t>
  </si>
  <si>
    <t>NKGS0000007</t>
  </si>
  <si>
    <t>NKGS0000008</t>
  </si>
  <si>
    <t>NKGS0000009</t>
  </si>
  <si>
    <t>NKGS0000010</t>
  </si>
  <si>
    <t>NKGS0000011</t>
  </si>
  <si>
    <t>NKGS0000012</t>
  </si>
  <si>
    <t>NKGS0000013</t>
  </si>
  <si>
    <t>NKGS0000014</t>
  </si>
  <si>
    <t>NKGS0000015</t>
  </si>
  <si>
    <t>NKGS0000016</t>
  </si>
  <si>
    <t>NKGS0000017</t>
  </si>
  <si>
    <t>NKGS0000018</t>
  </si>
  <si>
    <t>NKGS0000019</t>
  </si>
  <si>
    <t>NKGS0000020</t>
  </si>
  <si>
    <t>NKGS0000021</t>
  </si>
  <si>
    <t>NKGS0000022</t>
  </si>
  <si>
    <t>NKGS0000023</t>
  </si>
  <si>
    <t>NKGS0000024</t>
  </si>
  <si>
    <t>NKGS0000025</t>
  </si>
  <si>
    <t>NKGS0000026</t>
  </si>
  <si>
    <t>NKGS0000027</t>
  </si>
  <si>
    <t>NKGS0000028</t>
  </si>
  <si>
    <t>NKGS0000029</t>
  </si>
  <si>
    <t>NKGS0000030</t>
  </si>
  <si>
    <t>NKGS0000031</t>
  </si>
  <si>
    <t>NKGS0000032</t>
  </si>
  <si>
    <t>NKGS0000033</t>
  </si>
  <si>
    <t>NKGS0000034</t>
  </si>
  <si>
    <t>NKGS0000035</t>
  </si>
  <si>
    <t>NKGS0000036</t>
  </si>
  <si>
    <t>NKGS0000037</t>
  </si>
  <si>
    <t>NKGS0000038</t>
  </si>
  <si>
    <t>NKGS0000039</t>
  </si>
  <si>
    <t>NKGS0000040</t>
  </si>
  <si>
    <t>NKGS0000041</t>
  </si>
  <si>
    <t>NKGS0000042</t>
  </si>
  <si>
    <t>NKGS0000043</t>
  </si>
  <si>
    <t>NKGS0000044</t>
  </si>
  <si>
    <t>NKGS0000045</t>
  </si>
  <si>
    <t>NKGS0000046</t>
  </si>
  <si>
    <t>NKGS0000047</t>
  </si>
  <si>
    <t>NKGS0000048</t>
  </si>
  <si>
    <t>NKGS0000049</t>
  </si>
  <si>
    <t>NKGS0000050</t>
  </si>
  <si>
    <t>NKGS0000051</t>
  </si>
  <si>
    <t>NKGS0000052</t>
  </si>
  <si>
    <t>NKGS0000053</t>
  </si>
  <si>
    <t>NKGS0000054</t>
  </si>
  <si>
    <t>NKGS0000055</t>
  </si>
  <si>
    <t>NKGS0000056</t>
  </si>
  <si>
    <t>NKGS0000057</t>
  </si>
  <si>
    <t>NKGS0000058</t>
  </si>
  <si>
    <t>NKGS0000059</t>
  </si>
  <si>
    <t>NKGS0000060</t>
  </si>
  <si>
    <t>NKGS0000061</t>
  </si>
  <si>
    <t>NKGS0000062</t>
  </si>
  <si>
    <t>NKGS0000063</t>
  </si>
  <si>
    <t>NKGS0000064</t>
  </si>
  <si>
    <t>NKGS0000065</t>
  </si>
  <si>
    <t>NKGS0000066</t>
  </si>
  <si>
    <t>NKGS0000067</t>
  </si>
  <si>
    <t>NKGS0000068</t>
  </si>
  <si>
    <t>NKGS0000069</t>
  </si>
  <si>
    <t>NKGS0000070</t>
  </si>
  <si>
    <t>NKGS0000071</t>
  </si>
  <si>
    <t>NKGS0000072</t>
  </si>
  <si>
    <t>NKGS0000073</t>
  </si>
  <si>
    <t>NKGS0000074</t>
  </si>
  <si>
    <t>NKGS0000075</t>
  </si>
  <si>
    <t>NKGS0000076</t>
  </si>
  <si>
    <t>NKGS0000077</t>
  </si>
  <si>
    <t>NKGS0000078</t>
  </si>
  <si>
    <t>NKGS0000099</t>
  </si>
  <si>
    <t>NMGB0000002</t>
  </si>
  <si>
    <t>NMGB0000003</t>
  </si>
  <si>
    <t>NMGB0000004</t>
  </si>
  <si>
    <t>NMGB0000005</t>
  </si>
  <si>
    <t>NMGB0000006</t>
  </si>
  <si>
    <t>NMGB0000007</t>
  </si>
  <si>
    <t>NMGB0000008</t>
  </si>
  <si>
    <t>NMGB0000009</t>
  </si>
  <si>
    <t>NMGB0000010</t>
  </si>
  <si>
    <t>NMGB0000011</t>
  </si>
  <si>
    <t>NMGB0000012</t>
  </si>
  <si>
    <t>NMGB0000013</t>
  </si>
  <si>
    <t>NMGB0000014</t>
  </si>
  <si>
    <t>NMGB0000015</t>
  </si>
  <si>
    <t>NMGB0000016</t>
  </si>
  <si>
    <t>NMGB0000017</t>
  </si>
  <si>
    <t>NMGB0000018</t>
  </si>
  <si>
    <t>NMGB0000019</t>
  </si>
  <si>
    <t>NMGB0000020</t>
  </si>
  <si>
    <t>NMGB0000021</t>
  </si>
  <si>
    <t>NMGB0000022</t>
  </si>
  <si>
    <t>NMGB0000023</t>
  </si>
  <si>
    <t>NMGB0000024</t>
  </si>
  <si>
    <t>NMGB0000025</t>
  </si>
  <si>
    <t>NMGB0000026</t>
  </si>
  <si>
    <t>NMGB0000027</t>
  </si>
  <si>
    <t>NMGB0000028</t>
  </si>
  <si>
    <t>NMGB0000029</t>
  </si>
  <si>
    <t>NMGB0000030</t>
  </si>
  <si>
    <t>NMGB0000031</t>
  </si>
  <si>
    <t>NMGB0000032</t>
  </si>
  <si>
    <t>NMGB0000033</t>
  </si>
  <si>
    <t>NMGB0000034</t>
  </si>
  <si>
    <t>NMGB0000035</t>
  </si>
  <si>
    <t>NMGB0000036</t>
  </si>
  <si>
    <t>NMGB0000037</t>
  </si>
  <si>
    <t>NMGB0000038</t>
  </si>
  <si>
    <t>NMGB0000039</t>
  </si>
  <si>
    <t>NMGB0000040</t>
  </si>
  <si>
    <t>NMGB0000041</t>
  </si>
  <si>
    <t>NMGB0000042</t>
  </si>
  <si>
    <t>NMGB0000043</t>
  </si>
  <si>
    <t>NMGB0000044</t>
  </si>
  <si>
    <t>NMGB0000045</t>
  </si>
  <si>
    <t>NMGB0000046</t>
  </si>
  <si>
    <t>NMGB0000047</t>
  </si>
  <si>
    <t>NMGB0000048</t>
  </si>
  <si>
    <t>NMGB0000049</t>
  </si>
  <si>
    <t>NMGB0000050</t>
  </si>
  <si>
    <t>NMGB0000051</t>
  </si>
  <si>
    <t>NMGB0000052</t>
  </si>
  <si>
    <t>NMGB0000053</t>
  </si>
  <si>
    <t>NMGB0000054</t>
  </si>
  <si>
    <t>NMGB0000055</t>
  </si>
  <si>
    <t>NMGB0000056</t>
  </si>
  <si>
    <t>NMGB0000057</t>
  </si>
  <si>
    <t>NMGB0000058</t>
  </si>
  <si>
    <t>NMGB0000059</t>
  </si>
  <si>
    <t>NMGB0000060</t>
  </si>
  <si>
    <t>NMGB0000061</t>
  </si>
  <si>
    <t>NMGB0000062</t>
  </si>
  <si>
    <t>NMGB0000063</t>
  </si>
  <si>
    <t>NMGB0000064</t>
  </si>
  <si>
    <t>NMGB0000065</t>
  </si>
  <si>
    <t>NMGB0000066</t>
  </si>
  <si>
    <t>NMGB0000067</t>
  </si>
  <si>
    <t>NMGB0000068</t>
  </si>
  <si>
    <t>NMGB0000069</t>
  </si>
  <si>
    <t>NMGB0000070</t>
  </si>
  <si>
    <t>NMGB0000071</t>
  </si>
  <si>
    <t>NMGB0000072</t>
  </si>
  <si>
    <t>NMGB0000073</t>
  </si>
  <si>
    <t>NMGB0000074</t>
  </si>
  <si>
    <t>NMGB0000075</t>
  </si>
  <si>
    <t>NMGB0000076</t>
  </si>
  <si>
    <t>NMGB0000077</t>
  </si>
  <si>
    <t>NMGB0000078</t>
  </si>
  <si>
    <t>NMGB0000079</t>
  </si>
  <si>
    <t>NMGB0000080</t>
  </si>
  <si>
    <t>NMGB0000081</t>
  </si>
  <si>
    <t>NMGB0000082</t>
  </si>
  <si>
    <t>NMGB0000083</t>
  </si>
  <si>
    <t>NMGB0000084</t>
  </si>
  <si>
    <t>NMGB0000085</t>
  </si>
  <si>
    <t>NMGB0000086</t>
  </si>
  <si>
    <t>NMGB0000087</t>
  </si>
  <si>
    <t>NMGB0000088</t>
  </si>
  <si>
    <t>NMGB0000089</t>
  </si>
  <si>
    <t>NMGB0000090</t>
  </si>
  <si>
    <t>NMGB0000091</t>
  </si>
  <si>
    <t>NMGB0000092</t>
  </si>
  <si>
    <t>NMGB0000093</t>
  </si>
  <si>
    <t>NMGB0000094</t>
  </si>
  <si>
    <t>NMGB0000095</t>
  </si>
  <si>
    <t>NMGB0000096</t>
  </si>
  <si>
    <t>NMGB0000097</t>
  </si>
  <si>
    <t>NMGB0000098</t>
  </si>
  <si>
    <t>NMGB0000099</t>
  </si>
  <si>
    <t>NMGB0000100</t>
  </si>
  <si>
    <t>NMGB0000101</t>
  </si>
  <si>
    <t>NMGB0000102</t>
  </si>
  <si>
    <t>NMGB0000103</t>
  </si>
  <si>
    <t>NMGB0000104</t>
  </si>
  <si>
    <t>NMGB0000105</t>
  </si>
  <si>
    <t>NMGB0000106</t>
  </si>
  <si>
    <t>NMGB0000107</t>
  </si>
  <si>
    <t>NMGB0000108</t>
  </si>
  <si>
    <t>NMGB0000109</t>
  </si>
  <si>
    <t>NMGB0000110</t>
  </si>
  <si>
    <t>NMGB0000111</t>
  </si>
  <si>
    <t>NMGB0000112</t>
  </si>
  <si>
    <t>NMGB0000113</t>
  </si>
  <si>
    <t>NMGB0000114</t>
  </si>
  <si>
    <t>NMGB0000115</t>
  </si>
  <si>
    <t>NMGB0000116</t>
  </si>
  <si>
    <t>NMGB0000117</t>
  </si>
  <si>
    <t>NMGB0000118</t>
  </si>
  <si>
    <t>NMGB0000119</t>
  </si>
  <si>
    <t>NMGB0000120</t>
  </si>
  <si>
    <t>NMGB0000121</t>
  </si>
  <si>
    <t>NMGB0000122</t>
  </si>
  <si>
    <t>NMGB0000123</t>
  </si>
  <si>
    <t>NMGB0000124</t>
  </si>
  <si>
    <t>NMGB0000125</t>
  </si>
  <si>
    <t>NMGB0000126</t>
  </si>
  <si>
    <t>NMGB0000127</t>
  </si>
  <si>
    <t>NMGB0000128</t>
  </si>
  <si>
    <t>NMGB0000129</t>
  </si>
  <si>
    <t>NMGB0000130</t>
  </si>
  <si>
    <t>NMGB0000131</t>
  </si>
  <si>
    <t>NMGB0000132</t>
  </si>
  <si>
    <t>NMGB0000133</t>
  </si>
  <si>
    <t>NMGB0000134</t>
  </si>
  <si>
    <t>NMGB0000135</t>
  </si>
  <si>
    <t>NMGB0000136</t>
  </si>
  <si>
    <t>NMGB0000137</t>
  </si>
  <si>
    <t>NMGB0000138</t>
  </si>
  <si>
    <t>NMGB0000139</t>
  </si>
  <si>
    <t>NMGB0000140</t>
  </si>
  <si>
    <t>NMGB0000141</t>
  </si>
  <si>
    <t>NMGB0000142</t>
  </si>
  <si>
    <t>NMGB0000143</t>
  </si>
  <si>
    <t>NMGB0000144</t>
  </si>
  <si>
    <t>NMGB0000145</t>
  </si>
  <si>
    <t>NMGB0000146</t>
  </si>
  <si>
    <t>NMGB0000147</t>
  </si>
  <si>
    <t>NMGB0000148</t>
  </si>
  <si>
    <t>NMGB0000149</t>
  </si>
  <si>
    <t>NMGB0000150</t>
  </si>
  <si>
    <t>NMGB0000151</t>
  </si>
  <si>
    <t>NMGB0000153</t>
  </si>
  <si>
    <t>NMGB0000154</t>
  </si>
  <si>
    <t>NMGB0000156</t>
  </si>
  <si>
    <t>NMGB0000157</t>
  </si>
  <si>
    <t>NMGB0000158</t>
  </si>
  <si>
    <t>NMGB0000159</t>
  </si>
  <si>
    <t>NMGB0000160</t>
  </si>
  <si>
    <t>NMGB0000161</t>
  </si>
  <si>
    <t>NMGB0000162</t>
  </si>
  <si>
    <t>NMGB0000163</t>
  </si>
  <si>
    <t>NMGB0000164</t>
  </si>
  <si>
    <t>NMGB0000165</t>
  </si>
  <si>
    <t>NMGB0000166</t>
  </si>
  <si>
    <t>NMGB0000167</t>
  </si>
  <si>
    <t>NMGB0000168</t>
  </si>
  <si>
    <t>NMGB0000169</t>
  </si>
  <si>
    <t>NMGB0000170</t>
  </si>
  <si>
    <t>NMGB0000171</t>
  </si>
  <si>
    <t>NMGB0000172</t>
  </si>
  <si>
    <t>NMGB0000173</t>
  </si>
  <si>
    <t>NMGB0000174</t>
  </si>
  <si>
    <t>NMGB0000175</t>
  </si>
  <si>
    <t>NMGB0000176</t>
  </si>
  <si>
    <t>NMGB0000177</t>
  </si>
  <si>
    <t>NMGB0000178</t>
  </si>
  <si>
    <t>NMGB0000179</t>
  </si>
  <si>
    <t>NMGB0000180</t>
  </si>
  <si>
    <t>NMGB0000181</t>
  </si>
  <si>
    <t>NMGB0000182</t>
  </si>
  <si>
    <t>NMGB0000183</t>
  </si>
  <si>
    <t>NMGB0000184</t>
  </si>
  <si>
    <t>NMGB0000185</t>
  </si>
  <si>
    <t>NMGB0000187</t>
  </si>
  <si>
    <t>NMGB0000188</t>
  </si>
  <si>
    <t>NMGB0000189</t>
  </si>
  <si>
    <t>NMGB0000190</t>
  </si>
  <si>
    <t>NMGB0000191</t>
  </si>
  <si>
    <t>NMGB0000192</t>
  </si>
  <si>
    <t>NMGB0000193</t>
  </si>
  <si>
    <t>NMGB0000194</t>
  </si>
  <si>
    <t>NMGB0000195</t>
  </si>
  <si>
    <t>NMGB0000196</t>
  </si>
  <si>
    <t>NMGB0000197</t>
  </si>
  <si>
    <t>NMGB0000198</t>
  </si>
  <si>
    <t>NMGB0000199</t>
  </si>
  <si>
    <t>NMGB0000200</t>
  </si>
  <si>
    <t>NMGB0000201</t>
  </si>
  <si>
    <t>NMGB0000202</t>
  </si>
  <si>
    <t>NMGB0000203</t>
  </si>
  <si>
    <t>NMGB0000204</t>
  </si>
  <si>
    <t>NMGB0000205</t>
  </si>
  <si>
    <t>NMGB0000206</t>
  </si>
  <si>
    <t>NMGB0000207</t>
  </si>
  <si>
    <t>NMGB0000208</t>
  </si>
  <si>
    <t>NMGB0000209</t>
  </si>
  <si>
    <t>NMGB0000210</t>
  </si>
  <si>
    <t>NMGB0000211</t>
  </si>
  <si>
    <t>NMGB0000212</t>
  </si>
  <si>
    <t>NMGB0000213</t>
  </si>
  <si>
    <t>NMGB0000214</t>
  </si>
  <si>
    <t>NMGB0000215</t>
  </si>
  <si>
    <t>NMGB0000216</t>
  </si>
  <si>
    <t>NMGB0000217</t>
  </si>
  <si>
    <t>NMGB0000218</t>
  </si>
  <si>
    <t>NMGB0000219</t>
  </si>
  <si>
    <t>NMGB0000220</t>
  </si>
  <si>
    <t>NMGB0000221</t>
  </si>
  <si>
    <t>NMGB0000222</t>
  </si>
  <si>
    <t>NMGB0000501</t>
  </si>
  <si>
    <t>NMGB0000701</t>
  </si>
  <si>
    <t>NMGB0000704</t>
  </si>
  <si>
    <t>NNSB0128002</t>
  </si>
  <si>
    <t>NNSB0128003</t>
  </si>
  <si>
    <t>NNSB0128004</t>
  </si>
  <si>
    <t>NNSB0128005</t>
  </si>
  <si>
    <t>NNSB0128006</t>
  </si>
  <si>
    <t>NNSB0128007</t>
  </si>
  <si>
    <t>NNSB0128008</t>
  </si>
  <si>
    <t>NNSB0128009</t>
  </si>
  <si>
    <t>NNSB0128010</t>
  </si>
  <si>
    <t>NNSB0128011</t>
  </si>
  <si>
    <t>NNSB0128012</t>
  </si>
  <si>
    <t>NNSB0128013</t>
  </si>
  <si>
    <t>NNSB0128014</t>
  </si>
  <si>
    <t>NNSB0128015</t>
  </si>
  <si>
    <t>NNSB0128016</t>
  </si>
  <si>
    <t>NNSB0128017</t>
  </si>
  <si>
    <t>NNSB0128018</t>
  </si>
  <si>
    <t>NNSB0128019</t>
  </si>
  <si>
    <t>NNSB0128020</t>
  </si>
  <si>
    <t>NNSB0128051</t>
  </si>
  <si>
    <t>ORBC0101767</t>
  </si>
  <si>
    <t>ORBC0101768</t>
  </si>
  <si>
    <t>ORBC0101769</t>
  </si>
  <si>
    <t>ORBC0101770</t>
  </si>
  <si>
    <t>ORBC0101771</t>
  </si>
  <si>
    <t>ORBC0101772</t>
  </si>
  <si>
    <t>ORBC0101773</t>
  </si>
  <si>
    <t>ORBC0101774</t>
  </si>
  <si>
    <t>ORBC0101775</t>
  </si>
  <si>
    <t>ORBC0101776</t>
  </si>
  <si>
    <t>ORBC0101777</t>
  </si>
  <si>
    <t>ORBC0101778</t>
  </si>
  <si>
    <t>ORBC0101779</t>
  </si>
  <si>
    <t>ORBC0101780</t>
  </si>
  <si>
    <t>ORBC0101781</t>
  </si>
  <si>
    <t>ORBC0101782</t>
  </si>
  <si>
    <t>ORBC0101783</t>
  </si>
  <si>
    <t>ORBC0101784</t>
  </si>
  <si>
    <t>ORBC0101785</t>
  </si>
  <si>
    <t>ORBC0101786</t>
  </si>
  <si>
    <t>ORBC0101787</t>
  </si>
  <si>
    <t>ORBC0101788</t>
  </si>
  <si>
    <t>ORBC0101789</t>
  </si>
  <si>
    <t>ORBC0101790</t>
  </si>
  <si>
    <t>ORBC0101791</t>
  </si>
  <si>
    <t>ORBC0101792</t>
  </si>
  <si>
    <t>ORBC0101793</t>
  </si>
  <si>
    <t>ORBC0101794</t>
  </si>
  <si>
    <t>ORBC0101795</t>
  </si>
  <si>
    <t>ORBC0101796</t>
  </si>
  <si>
    <t>ORBC0101797</t>
  </si>
  <si>
    <t>ORBC0101798</t>
  </si>
  <si>
    <t>ORBC0101799</t>
  </si>
  <si>
    <t>ORBC0101800</t>
  </si>
  <si>
    <t>ORBC0101801</t>
  </si>
  <si>
    <t>ORBC0101802</t>
  </si>
  <si>
    <t>ORBC0101803</t>
  </si>
  <si>
    <t>ORBC0101804</t>
  </si>
  <si>
    <t>ORBC0101805</t>
  </si>
  <si>
    <t>ORBC0101806</t>
  </si>
  <si>
    <t>ORBC0101807</t>
  </si>
  <si>
    <t>ORBC0101808</t>
  </si>
  <si>
    <t>ORBC0101809</t>
  </si>
  <si>
    <t>ORBC0101810</t>
  </si>
  <si>
    <t>ORBC0101811</t>
  </si>
  <si>
    <t>ORBC0101812</t>
  </si>
  <si>
    <t>ORBC0101813</t>
  </si>
  <si>
    <t>ORBC0101814</t>
  </si>
  <si>
    <t>ORBC0101815</t>
  </si>
  <si>
    <t>ORBC0101816</t>
  </si>
  <si>
    <t>ORBC0101817</t>
  </si>
  <si>
    <t>ORBC0101818</t>
  </si>
  <si>
    <t>ORBC0101819</t>
  </si>
  <si>
    <t>ORBC0101820</t>
  </si>
  <si>
    <t>ORBC0101821</t>
  </si>
  <si>
    <t>ORBC0101822</t>
  </si>
  <si>
    <t>ORBC0101823</t>
  </si>
  <si>
    <t>ORBC0101824</t>
  </si>
  <si>
    <t>ORBC0101825</t>
  </si>
  <si>
    <t>ORBC0101826</t>
  </si>
  <si>
    <t>ORBC0101827</t>
  </si>
  <si>
    <t>ORBC0101828</t>
  </si>
  <si>
    <t>ORBC0101829</t>
  </si>
  <si>
    <t>ORBC0101830</t>
  </si>
  <si>
    <t>ORBC0101831</t>
  </si>
  <si>
    <t>ORBC0101832</t>
  </si>
  <si>
    <t>ORBC0101833</t>
  </si>
  <si>
    <t>ORBC0101834</t>
  </si>
  <si>
    <t>ORBC0101835</t>
  </si>
  <si>
    <t>ORBC0101836</t>
  </si>
  <si>
    <t>ORBC0101837</t>
  </si>
  <si>
    <t>ORBC0101838</t>
  </si>
  <si>
    <t>ORBC0101839</t>
  </si>
  <si>
    <t>ORBC0101840</t>
  </si>
  <si>
    <t>ORBC0101841</t>
  </si>
  <si>
    <t>ORBC0101842</t>
  </si>
  <si>
    <t>ORBC0101843</t>
  </si>
  <si>
    <t>ORBC0101844</t>
  </si>
  <si>
    <t>ORBC0101845</t>
  </si>
  <si>
    <t>ORBC0101846</t>
  </si>
  <si>
    <t>ORBC0101847</t>
  </si>
  <si>
    <t>ORBC0101848</t>
  </si>
  <si>
    <t>ORBC0101849</t>
  </si>
  <si>
    <t>ORBC0101850</t>
  </si>
  <si>
    <t>ORBC0101851</t>
  </si>
  <si>
    <t>ORBC0101852</t>
  </si>
  <si>
    <t>ORBC0101853</t>
  </si>
  <si>
    <t>ORBC0101854</t>
  </si>
  <si>
    <t>ORBC0101855</t>
  </si>
  <si>
    <t>ORBC0101856</t>
  </si>
  <si>
    <t>ORBC0101857</t>
  </si>
  <si>
    <t>ORBC0101858</t>
  </si>
  <si>
    <t>ORBC0101859</t>
  </si>
  <si>
    <t>ORBC0101860</t>
  </si>
  <si>
    <t>ORBC0101861</t>
  </si>
  <si>
    <t>ORBC0101862</t>
  </si>
  <si>
    <t>ORBC0101863</t>
  </si>
  <si>
    <t>ORBC0101864</t>
  </si>
  <si>
    <t>ORBC0101865</t>
  </si>
  <si>
    <t>ORBC0101866</t>
  </si>
  <si>
    <t>ORBC0101867</t>
  </si>
  <si>
    <t>ORBC0101868</t>
  </si>
  <si>
    <t>ORBC0101869</t>
  </si>
  <si>
    <t>ORBC0101870</t>
  </si>
  <si>
    <t>ORBC0101871</t>
  </si>
  <si>
    <t>ORBC0101872</t>
  </si>
  <si>
    <t>ORBC0101873</t>
  </si>
  <si>
    <t>ORBC0101874</t>
  </si>
  <si>
    <t>ORBC0101875</t>
  </si>
  <si>
    <t>ORBC0101876</t>
  </si>
  <si>
    <t>ORBC0101877</t>
  </si>
  <si>
    <t>ORBC0101878</t>
  </si>
  <si>
    <t>ORBC0101879</t>
  </si>
  <si>
    <t>ORBC0101880</t>
  </si>
  <si>
    <t>ORBC0101881</t>
  </si>
  <si>
    <t>ORBC0101882</t>
  </si>
  <si>
    <t>ORBC0101883</t>
  </si>
  <si>
    <t>ORBC0101884</t>
  </si>
  <si>
    <t>ORBC0101885</t>
  </si>
  <si>
    <t>ORBC0101886</t>
  </si>
  <si>
    <t>ORBC0101887</t>
  </si>
  <si>
    <t>ORBC0101888</t>
  </si>
  <si>
    <t>ORBC0101889</t>
  </si>
  <si>
    <t>ORBC0101890</t>
  </si>
  <si>
    <t>ORBC0101891</t>
  </si>
  <si>
    <t>ORBC0101892</t>
  </si>
  <si>
    <t>ORBC0101893</t>
  </si>
  <si>
    <t>ORBC0101894</t>
  </si>
  <si>
    <t>ORBC0101895</t>
  </si>
  <si>
    <t>ORBC0101896</t>
  </si>
  <si>
    <t>ORBC0101897</t>
  </si>
  <si>
    <t>ORBC0101898</t>
  </si>
  <si>
    <t>ORBC0101899</t>
  </si>
  <si>
    <t>ORBC0101900</t>
  </si>
  <si>
    <t>ORBC0101901</t>
  </si>
  <si>
    <t>ORBC0101902</t>
  </si>
  <si>
    <t>ORBC0101903</t>
  </si>
  <si>
    <t>ORBC0101904</t>
  </si>
  <si>
    <t>ORBC0101905</t>
  </si>
  <si>
    <t>ORBC0101906</t>
  </si>
  <si>
    <t>ORBC0101907</t>
  </si>
  <si>
    <t>ORBC0101908</t>
  </si>
  <si>
    <t>ORBC0101909</t>
  </si>
  <si>
    <t>ORBC0101910</t>
  </si>
  <si>
    <t>ORBC0101911</t>
  </si>
  <si>
    <t>ORBC0101912</t>
  </si>
  <si>
    <t>ORBC0101913</t>
  </si>
  <si>
    <t>ORBC0101914</t>
  </si>
  <si>
    <t>ORBC0101915</t>
  </si>
  <si>
    <t>ORBC0101916</t>
  </si>
  <si>
    <t>ORBC0101917</t>
  </si>
  <si>
    <t>ORBC0101918</t>
  </si>
  <si>
    <t>ORBC0101919</t>
  </si>
  <si>
    <t>ORBC0101920</t>
  </si>
  <si>
    <t>ORBC0101921</t>
  </si>
  <si>
    <t>ORBC0101922</t>
  </si>
  <si>
    <t>ORBC0101923</t>
  </si>
  <si>
    <t>ORBC0101924</t>
  </si>
  <si>
    <t>ORBC0101925</t>
  </si>
  <si>
    <t>ORBC0101926</t>
  </si>
  <si>
    <t>ORBC0101927</t>
  </si>
  <si>
    <t>ORBC0101928</t>
  </si>
  <si>
    <t>ORBC0101929</t>
  </si>
  <si>
    <t>ORBC0101930</t>
  </si>
  <si>
    <t>ORBC0101931</t>
  </si>
  <si>
    <t>ORBC0101932</t>
  </si>
  <si>
    <t>ORBC0101933</t>
  </si>
  <si>
    <t>ORBC0101934</t>
  </si>
  <si>
    <t>ORBC0101935</t>
  </si>
  <si>
    <t>ORBC0101936</t>
  </si>
  <si>
    <t>ORBC0101937</t>
  </si>
  <si>
    <t>ORBC0101938</t>
  </si>
  <si>
    <t>ORBC0101939</t>
  </si>
  <si>
    <t>ORBC0101940</t>
  </si>
  <si>
    <t>ORBC0101941</t>
  </si>
  <si>
    <t>ORBC0101942</t>
  </si>
  <si>
    <t>ORBC0101943</t>
  </si>
  <si>
    <t>ORBC0101944</t>
  </si>
  <si>
    <t>ORBC0101945</t>
  </si>
  <si>
    <t>ORBC0101946</t>
  </si>
  <si>
    <t>ORBC0101947</t>
  </si>
  <si>
    <t>ORBC0101948</t>
  </si>
  <si>
    <t>ORBC0101949</t>
  </si>
  <si>
    <t>ORBC0101950</t>
  </si>
  <si>
    <t>ORBC0101951</t>
  </si>
  <si>
    <t>ORBC0101952</t>
  </si>
  <si>
    <t>ORBC0101953</t>
  </si>
  <si>
    <t>ORBC0101954</t>
  </si>
  <si>
    <t>ORBC0101955</t>
  </si>
  <si>
    <t>ORBC0101956</t>
  </si>
  <si>
    <t>ORBC0101957</t>
  </si>
  <si>
    <t>ORBC0101958</t>
  </si>
  <si>
    <t>ORBC0101959</t>
  </si>
  <si>
    <t>ORBC0101960</t>
  </si>
  <si>
    <t>ORBC0101961</t>
  </si>
  <si>
    <t>ORBC0101962</t>
  </si>
  <si>
    <t>ORBC0101963</t>
  </si>
  <si>
    <t>ORBC0101964</t>
  </si>
  <si>
    <t>ORBC0101965</t>
  </si>
  <si>
    <t>ORBC0101966</t>
  </si>
  <si>
    <t>ORBC0101967</t>
  </si>
  <si>
    <t>ORBC0101968</t>
  </si>
  <si>
    <t>ORBC0101969</t>
  </si>
  <si>
    <t>ORBC0101970</t>
  </si>
  <si>
    <t>ORBC0101971</t>
  </si>
  <si>
    <t>ORBC0101972</t>
  </si>
  <si>
    <t>ORBC0101973</t>
  </si>
  <si>
    <t>ORBC0101974</t>
  </si>
  <si>
    <t>ORBC0101975</t>
  </si>
  <si>
    <t>ORBC0101976</t>
  </si>
  <si>
    <t>ORBC0101977</t>
  </si>
  <si>
    <t>ORBC0101978</t>
  </si>
  <si>
    <t>ORBC0101979</t>
  </si>
  <si>
    <t>ORBC0101980</t>
  </si>
  <si>
    <t>ORBC0101981</t>
  </si>
  <si>
    <t>ORBC0101982</t>
  </si>
  <si>
    <t>ORBC0101983</t>
  </si>
  <si>
    <t>ORBC0101984</t>
  </si>
  <si>
    <t>ORBC0101985</t>
  </si>
  <si>
    <t>ORBC0101986</t>
  </si>
  <si>
    <t>ORBC0101987</t>
  </si>
  <si>
    <t>ORBC0101988</t>
  </si>
  <si>
    <t>ORBC0101989</t>
  </si>
  <si>
    <t>ORBC0101990</t>
  </si>
  <si>
    <t>ORBC0101991</t>
  </si>
  <si>
    <t>ORBC0101992</t>
  </si>
  <si>
    <t>ORBC0101993</t>
  </si>
  <si>
    <t>ORBC0101994</t>
  </si>
  <si>
    <t>ORBC0101995</t>
  </si>
  <si>
    <t>ORBC0101996</t>
  </si>
  <si>
    <t>ORBC0101997</t>
  </si>
  <si>
    <t>ORBC0101998</t>
  </si>
  <si>
    <t>ORBC0101999</t>
  </si>
  <si>
    <t>ORBC0102000</t>
  </si>
  <si>
    <t>ORBC0102001</t>
  </si>
  <si>
    <t>ORBC0105008</t>
  </si>
  <si>
    <t>ORBC0105014</t>
  </si>
  <si>
    <t>ORBC0105023</t>
  </si>
  <si>
    <t>ORBC0105043</t>
  </si>
  <si>
    <t>ORBC0105056</t>
  </si>
  <si>
    <t>ORBC0105059</t>
  </si>
  <si>
    <t>ORBC0105064</t>
  </si>
  <si>
    <t>ORBC0105076</t>
  </si>
  <si>
    <t>ORBC0105089</t>
  </si>
  <si>
    <t>ORBC0105093</t>
  </si>
  <si>
    <t>ORBC0105096</t>
  </si>
  <si>
    <t>ORBC0105099</t>
  </si>
  <si>
    <t>ORBC0105110</t>
  </si>
  <si>
    <t>ORBC0105111</t>
  </si>
  <si>
    <t>ORBC0105112</t>
  </si>
  <si>
    <t>ORBC0105113</t>
  </si>
  <si>
    <t>ORBC0105116</t>
  </si>
  <si>
    <t>ORBC0105117</t>
  </si>
  <si>
    <t>ORBC0105120</t>
  </si>
  <si>
    <t>ORBC0105124</t>
  </si>
  <si>
    <t>ORBC0105126</t>
  </si>
  <si>
    <t>ORBC0105127</t>
  </si>
  <si>
    <t>ORBC0105128</t>
  </si>
  <si>
    <t>ORBC0105132</t>
  </si>
  <si>
    <t>ORBC0105134</t>
  </si>
  <si>
    <t>ORBC0105135</t>
  </si>
  <si>
    <t>ORBC0105136</t>
  </si>
  <si>
    <t>ORBC0105139</t>
  </si>
  <si>
    <t>ORBC0105141</t>
  </si>
  <si>
    <t>ORBC0105142</t>
  </si>
  <si>
    <t>ORBC0105143</t>
  </si>
  <si>
    <t>ORBC0105144</t>
  </si>
  <si>
    <t>ORBC0105145</t>
  </si>
  <si>
    <t>ORBC0105146</t>
  </si>
  <si>
    <t>ORBC0105147</t>
  </si>
  <si>
    <t>ORBC0105148</t>
  </si>
  <si>
    <t>ORBC0105151</t>
  </si>
  <si>
    <t>ORBC0105152</t>
  </si>
  <si>
    <t>ORBC0105153</t>
  </si>
  <si>
    <t>ORBC0105154</t>
  </si>
  <si>
    <t>ORBC0105155</t>
  </si>
  <si>
    <t>ORBC0105156</t>
  </si>
  <si>
    <t>ORBC0105157</t>
  </si>
  <si>
    <t>ORBC0105159</t>
  </si>
  <si>
    <t>ORBC0105161</t>
  </si>
  <si>
    <t>ORBC0105162</t>
  </si>
  <si>
    <t>ORBC0105163</t>
  </si>
  <si>
    <t>ORBC0105165</t>
  </si>
  <si>
    <t>ORBC0105166</t>
  </si>
  <si>
    <t>ORBC0105167</t>
  </si>
  <si>
    <t>ORBC0105168</t>
  </si>
  <si>
    <t>ORBC0105170</t>
  </si>
  <si>
    <t>ORBC0105172</t>
  </si>
  <si>
    <t>ORBC0105173</t>
  </si>
  <si>
    <t>ORBC0105174</t>
  </si>
  <si>
    <t>ORBC0105176</t>
  </si>
  <si>
    <t>ORBC0105177</t>
  </si>
  <si>
    <t>ORBC0105178</t>
  </si>
  <si>
    <t>ORBC0105179</t>
  </si>
  <si>
    <t>ORBC0105180</t>
  </si>
  <si>
    <t>ORBC0105181</t>
  </si>
  <si>
    <t>ORBC0105182</t>
  </si>
  <si>
    <t>ORBC0105183</t>
  </si>
  <si>
    <t>ORBC0105184</t>
  </si>
  <si>
    <t>ORBC0105185</t>
  </si>
  <si>
    <t>ORBC0105186</t>
  </si>
  <si>
    <t>ORBC0105187</t>
  </si>
  <si>
    <t>ORBC0105188</t>
  </si>
  <si>
    <t>ORBC0105189</t>
  </si>
  <si>
    <t>ORBC0105190</t>
  </si>
  <si>
    <t>ORBC0105191</t>
  </si>
  <si>
    <t>ORBC0105192</t>
  </si>
  <si>
    <t>ORBC0105193</t>
  </si>
  <si>
    <t>ORBC0105195</t>
  </si>
  <si>
    <t>ORBC0105196</t>
  </si>
  <si>
    <t>ORBC0105198</t>
  </si>
  <si>
    <t>ORBC0105199</t>
  </si>
  <si>
    <t>ORBC0105200</t>
  </si>
  <si>
    <t>ORBC0105201</t>
  </si>
  <si>
    <t>ORBC0105202</t>
  </si>
  <si>
    <t>ORBC0105203</t>
  </si>
  <si>
    <t>ORBC0105204</t>
  </si>
  <si>
    <t>ORBC0105205</t>
  </si>
  <si>
    <t>ORBC0105206</t>
  </si>
  <si>
    <t>ORBC0105207</t>
  </si>
  <si>
    <t>ORBC0105208</t>
  </si>
  <si>
    <t>ORBC0105209</t>
  </si>
  <si>
    <t>ORBC0105210</t>
  </si>
  <si>
    <t>ORBC0105211</t>
  </si>
  <si>
    <t>ORBC0105214</t>
  </si>
  <si>
    <t>ORBC0105215</t>
  </si>
  <si>
    <t>ORBC0105216</t>
  </si>
  <si>
    <t>ORBC0105217</t>
  </si>
  <si>
    <t>ORBC0105218</t>
  </si>
  <si>
    <t>ORBC0105219</t>
  </si>
  <si>
    <t>ORBC0105220</t>
  </si>
  <si>
    <t>ORBC0105221</t>
  </si>
  <si>
    <t>ORBC0105222</t>
  </si>
  <si>
    <t>ORBC0105223</t>
  </si>
  <si>
    <t>ORBC0105224</t>
  </si>
  <si>
    <t>ORBC0105225</t>
  </si>
  <si>
    <t>ORBC0105226</t>
  </si>
  <si>
    <t>ORBC0105227</t>
  </si>
  <si>
    <t>ORBC0105228</t>
  </si>
  <si>
    <t>ORBC0105229</t>
  </si>
  <si>
    <t>ORBC0105231</t>
  </si>
  <si>
    <t>ORBC0105232</t>
  </si>
  <si>
    <t>ORBC0105233</t>
  </si>
  <si>
    <t>ORBC0105234</t>
  </si>
  <si>
    <t>ORBC0105237</t>
  </si>
  <si>
    <t>ORBC0105239</t>
  </si>
  <si>
    <t>ORBC0105240</t>
  </si>
  <si>
    <t>ORBC0105242</t>
  </si>
  <si>
    <t>ORBC0105243</t>
  </si>
  <si>
    <t>ORBC0105244</t>
  </si>
  <si>
    <t>ORBC0105245</t>
  </si>
  <si>
    <t>ORBC0105246</t>
  </si>
  <si>
    <t>ORBC0105247</t>
  </si>
  <si>
    <t>ORBC0105248</t>
  </si>
  <si>
    <t>ORBC0105249</t>
  </si>
  <si>
    <t>ORBC0105250</t>
  </si>
  <si>
    <t>ORBC0105251</t>
  </si>
  <si>
    <t>ORBC0105252</t>
  </si>
  <si>
    <t>ORBC0105256</t>
  </si>
  <si>
    <t>ORBC0105257</t>
  </si>
  <si>
    <t>ORBC0105258</t>
  </si>
  <si>
    <t>ORBC0105259</t>
  </si>
  <si>
    <t>ORBC0105260</t>
  </si>
  <si>
    <t>ORBC0105261</t>
  </si>
  <si>
    <t>ORBC0105262</t>
  </si>
  <si>
    <t>ORBC0105263</t>
  </si>
  <si>
    <t>ORBC0105264</t>
  </si>
  <si>
    <t>ORBC0105265</t>
  </si>
  <si>
    <t>ORBC0105266</t>
  </si>
  <si>
    <t>ORBC0105267</t>
  </si>
  <si>
    <t>ORBC0105268</t>
  </si>
  <si>
    <t>ORBC0105269</t>
  </si>
  <si>
    <t>ORBC0105270</t>
  </si>
  <si>
    <t>ORBC0105271</t>
  </si>
  <si>
    <t>ORBC0105272</t>
  </si>
  <si>
    <t>ORBC0105274</t>
  </si>
  <si>
    <t>ORBC0105275</t>
  </si>
  <si>
    <t>ORBC0105276</t>
  </si>
  <si>
    <t>ORBC0105277</t>
  </si>
  <si>
    <t>ORBC0105278</t>
  </si>
  <si>
    <t>ORBC0108001</t>
  </si>
  <si>
    <t>ORBC0109984</t>
  </si>
  <si>
    <t>ORBC0109998</t>
  </si>
  <si>
    <t>SBIN0015895</t>
  </si>
  <si>
    <t>SBIN0015896</t>
  </si>
  <si>
    <t>SBIN0015897</t>
  </si>
  <si>
    <t>SBIN0015898</t>
  </si>
  <si>
    <t>SBIN0015899</t>
  </si>
  <si>
    <t>SBIN0015900</t>
  </si>
  <si>
    <t>SBIN0015901</t>
  </si>
  <si>
    <t>SBIN0015902</t>
  </si>
  <si>
    <t>SBIN0015903</t>
  </si>
  <si>
    <t>SBIN0015905</t>
  </si>
  <si>
    <t>SBIN0015906</t>
  </si>
  <si>
    <t>SBIN0015907</t>
  </si>
  <si>
    <t>SBIN0015908</t>
  </si>
  <si>
    <t>SBIN0015909</t>
  </si>
  <si>
    <t>SBIN0015910</t>
  </si>
  <si>
    <t>SBIN0015911</t>
  </si>
  <si>
    <t>SBIN0015912</t>
  </si>
  <si>
    <t>SBIN0015913</t>
  </si>
  <si>
    <t>SBIN0015914</t>
  </si>
  <si>
    <t>SBIN0015915</t>
  </si>
  <si>
    <t>SBIN0015916</t>
  </si>
  <si>
    <t>SBIN0015917</t>
  </si>
  <si>
    <t>SBIN0015918</t>
  </si>
  <si>
    <t>SBIN0015919</t>
  </si>
  <si>
    <t>SBIN0015920</t>
  </si>
  <si>
    <t>SBIN0015921</t>
  </si>
  <si>
    <t>SBIN0015924</t>
  </si>
  <si>
    <t>SBIN0015925</t>
  </si>
  <si>
    <t>SBIN0015926</t>
  </si>
  <si>
    <t>SBIN0015927</t>
  </si>
  <si>
    <t>SBIN0015928</t>
  </si>
  <si>
    <t>SBIN0015929</t>
  </si>
  <si>
    <t>SBIN0015930</t>
  </si>
  <si>
    <t>SBIN0015931</t>
  </si>
  <si>
    <t>SBIN0015932</t>
  </si>
  <si>
    <t>SBIN0015933</t>
  </si>
  <si>
    <t>SBIN0015934</t>
  </si>
  <si>
    <t>SBIN0015935</t>
  </si>
  <si>
    <t>SBIN0015936</t>
  </si>
  <si>
    <t>SBIN0015937</t>
  </si>
  <si>
    <t>SBIN0015938</t>
  </si>
  <si>
    <t>SBIN0015939</t>
  </si>
  <si>
    <t>SBIN0015940</t>
  </si>
  <si>
    <t>SBIN0015942</t>
  </si>
  <si>
    <t>SBIN0015943</t>
  </si>
  <si>
    <t>SBIN0015945</t>
  </si>
  <si>
    <t>SBIN0015946</t>
  </si>
  <si>
    <t>SBIN0015947</t>
  </si>
  <si>
    <t>SBIN0015948</t>
  </si>
  <si>
    <t>SBIN0015949</t>
  </si>
  <si>
    <t>SBIN0015950</t>
  </si>
  <si>
    <t>SBIN0015951</t>
  </si>
  <si>
    <t>SBIN0015952</t>
  </si>
  <si>
    <t>SBIN0015955</t>
  </si>
  <si>
    <t>SBIN0015956</t>
  </si>
  <si>
    <t>SBIN0015957</t>
  </si>
  <si>
    <t>SBIN0015958</t>
  </si>
  <si>
    <t>SBIN0015959</t>
  </si>
  <si>
    <t>SBIN0015960</t>
  </si>
  <si>
    <t>SBIN0015962</t>
  </si>
  <si>
    <t>SBIN0015967</t>
  </si>
  <si>
    <t>SBIN0015968</t>
  </si>
  <si>
    <t>SBIN0015969</t>
  </si>
  <si>
    <t>SBIN0015970</t>
  </si>
  <si>
    <t>SBIN0015971</t>
  </si>
  <si>
    <t>SBIN0015972</t>
  </si>
  <si>
    <t>SBIN0015973</t>
  </si>
  <si>
    <t>SBIN0015974</t>
  </si>
  <si>
    <t>SBIN0015975</t>
  </si>
  <si>
    <t>SBIN0015976</t>
  </si>
  <si>
    <t>SBIN0015977</t>
  </si>
  <si>
    <t>SBIN0015978</t>
  </si>
  <si>
    <t>SBIN0015979</t>
  </si>
  <si>
    <t>SBIN0015981</t>
  </si>
  <si>
    <t>SBIN0015982</t>
  </si>
  <si>
    <t>SBIN0015983</t>
  </si>
  <si>
    <t>SBIN0015984</t>
  </si>
  <si>
    <t>SBIN0015985</t>
  </si>
  <si>
    <t>SBIN0015986</t>
  </si>
  <si>
    <t>SBIN0015987</t>
  </si>
  <si>
    <t>SBIN0015988</t>
  </si>
  <si>
    <t>SBIN0015989</t>
  </si>
  <si>
    <t>SBIN0015990</t>
  </si>
  <si>
    <t>SBIN0015991</t>
  </si>
  <si>
    <t>SBIN0015992</t>
  </si>
  <si>
    <t>SBIN0015993</t>
  </si>
  <si>
    <t>SBIN0015994</t>
  </si>
  <si>
    <t>SBIN0015995</t>
  </si>
  <si>
    <t>SBIN0015996</t>
  </si>
  <si>
    <t>SBIN0015997</t>
  </si>
  <si>
    <t>SBIN0015998</t>
  </si>
  <si>
    <t>SBIN0015999</t>
  </si>
  <si>
    <t>SBIN0016000</t>
  </si>
  <si>
    <t>SBIN0016001</t>
  </si>
  <si>
    <t>SBIN0016002</t>
  </si>
  <si>
    <t>SBIN0016003</t>
  </si>
  <si>
    <t>SBIN0016004</t>
  </si>
  <si>
    <t>SBIN0016005</t>
  </si>
  <si>
    <t>SBIN0016006</t>
  </si>
  <si>
    <t>SBIN0016007</t>
  </si>
  <si>
    <t>SBIN0016008</t>
  </si>
  <si>
    <t>SBIN0016009</t>
  </si>
  <si>
    <t>SBIN0016010</t>
  </si>
  <si>
    <t>SBIN0016011</t>
  </si>
  <si>
    <t>SBIN0016013</t>
  </si>
  <si>
    <t>SBIN0016014</t>
  </si>
  <si>
    <t>SBIN0016015</t>
  </si>
  <si>
    <t>SBIN0016016</t>
  </si>
  <si>
    <t>SBIN0016017</t>
  </si>
  <si>
    <t>SBIN0016018</t>
  </si>
  <si>
    <t>SBIN0016019</t>
  </si>
  <si>
    <t>SBIN0016020</t>
  </si>
  <si>
    <t>SBIN0016021</t>
  </si>
  <si>
    <t>SBIN0016022</t>
  </si>
  <si>
    <t>SBIN0016023</t>
  </si>
  <si>
    <t>SBIN0016024</t>
  </si>
  <si>
    <t>SBIN0016025</t>
  </si>
  <si>
    <t>SBIN0016026</t>
  </si>
  <si>
    <t>SBIN0016027</t>
  </si>
  <si>
    <t>SBIN0016028</t>
  </si>
  <si>
    <t>SBIN0016029</t>
  </si>
  <si>
    <t>SBIN0016030</t>
  </si>
  <si>
    <t>SBIN0016031</t>
  </si>
  <si>
    <t>SBIN0016032</t>
  </si>
  <si>
    <t>SBIN0016033</t>
  </si>
  <si>
    <t>SBIN0016034</t>
  </si>
  <si>
    <t>SBIN0016035</t>
  </si>
  <si>
    <t>SBIN0016036</t>
  </si>
  <si>
    <t>SBIN0016037</t>
  </si>
  <si>
    <t>SBIN0016038</t>
  </si>
  <si>
    <t>SBIN0016040</t>
  </si>
  <si>
    <t>SBIN0016041</t>
  </si>
  <si>
    <t>SBIN0016042</t>
  </si>
  <si>
    <t>SBIN0016043</t>
  </si>
  <si>
    <t>SBIN0016044</t>
  </si>
  <si>
    <t>SBIN0016045</t>
  </si>
  <si>
    <t>SBIN0016046</t>
  </si>
  <si>
    <t>SBIN0016048</t>
  </si>
  <si>
    <t>SBIN0016049</t>
  </si>
  <si>
    <t>SBIN0016050</t>
  </si>
  <si>
    <t>SBIN0016051</t>
  </si>
  <si>
    <t>SBIN0016052</t>
  </si>
  <si>
    <t>SBIN0016053</t>
  </si>
  <si>
    <t>SBIN0016057</t>
  </si>
  <si>
    <t>SBIN0016060</t>
  </si>
  <si>
    <t>SBIN0016063</t>
  </si>
  <si>
    <t>SBIN0016064</t>
  </si>
  <si>
    <t>SBIN0016065</t>
  </si>
  <si>
    <t>SBIN0016066</t>
  </si>
  <si>
    <t>SBIN0016067</t>
  </si>
  <si>
    <t>SBIN0016068</t>
  </si>
  <si>
    <t>SBIN0016069</t>
  </si>
  <si>
    <t>SBIN0016070</t>
  </si>
  <si>
    <t>SBIN0016071</t>
  </si>
  <si>
    <t>SBIN0016072</t>
  </si>
  <si>
    <t>SBIN0016073</t>
  </si>
  <si>
    <t>SBIN0016074</t>
  </si>
  <si>
    <t>SBIN0016075</t>
  </si>
  <si>
    <t>SBIN0016076</t>
  </si>
  <si>
    <t>SBIN0016077</t>
  </si>
  <si>
    <t>SBIN0016078</t>
  </si>
  <si>
    <t>SBIN0016079</t>
  </si>
  <si>
    <t>SBIN0016080</t>
  </si>
  <si>
    <t>SBIN0016081</t>
  </si>
  <si>
    <t>SBIN0016082</t>
  </si>
  <si>
    <t>SBIN0016083</t>
  </si>
  <si>
    <t>SBIN0016084</t>
  </si>
  <si>
    <t>SBIN0016085</t>
  </si>
  <si>
    <t>SBIN0016087</t>
  </si>
  <si>
    <t>SBIN0016088</t>
  </si>
  <si>
    <t>SBIN0016089</t>
  </si>
  <si>
    <t>SBIN0016090</t>
  </si>
  <si>
    <t>SBIN0016091</t>
  </si>
  <si>
    <t>SBIN0016092</t>
  </si>
  <si>
    <t>SBIN0016093</t>
  </si>
  <si>
    <t>SBIN0016094</t>
  </si>
  <si>
    <t>SBIN0016095</t>
  </si>
  <si>
    <t>SBIN0016096</t>
  </si>
  <si>
    <t>SBIN0016097</t>
  </si>
  <si>
    <t>SBIN0016098</t>
  </si>
  <si>
    <t>SBIN0016099</t>
  </si>
  <si>
    <t>SBIN0016100</t>
  </si>
  <si>
    <t>SBIN0016101</t>
  </si>
  <si>
    <t>SBIN0016102</t>
  </si>
  <si>
    <t>SBIN0016103</t>
  </si>
  <si>
    <t>SBIN0016104</t>
  </si>
  <si>
    <t>SBIN0016105</t>
  </si>
  <si>
    <t>SBIN0016106</t>
  </si>
  <si>
    <t>SBIN0016107</t>
  </si>
  <si>
    <t>SBIN0016108</t>
  </si>
  <si>
    <t>SBIN0016109</t>
  </si>
  <si>
    <t>SBIN0016110</t>
  </si>
  <si>
    <t>SBIN0016112</t>
  </si>
  <si>
    <t>SBIN0016113</t>
  </si>
  <si>
    <t>SBIN0016114</t>
  </si>
  <si>
    <t>SBIN0016116</t>
  </si>
  <si>
    <t>SBIN0016117</t>
  </si>
  <si>
    <t>SBIN0016118</t>
  </si>
  <si>
    <t>SBIN0016119</t>
  </si>
  <si>
    <t>SBIN0016120</t>
  </si>
  <si>
    <t>SBIN0016121</t>
  </si>
  <si>
    <t>SBIN0016122</t>
  </si>
  <si>
    <t>SBIN0016123</t>
  </si>
  <si>
    <t>SBIN0016124</t>
  </si>
  <si>
    <t>SBIN0016125</t>
  </si>
  <si>
    <t>SBIN0016126</t>
  </si>
  <si>
    <t>SBIN0016127</t>
  </si>
  <si>
    <t>SBIN0016128</t>
  </si>
  <si>
    <t>SBIN0016129</t>
  </si>
  <si>
    <t>SBIN0016130</t>
  </si>
  <si>
    <t>SBIN0016131</t>
  </si>
  <si>
    <t>SBIN0016132</t>
  </si>
  <si>
    <t>SBIN0016133</t>
  </si>
  <si>
    <t>SBIN0016134</t>
  </si>
  <si>
    <t>SBIN0016135</t>
  </si>
  <si>
    <t>SBIN0016136</t>
  </si>
  <si>
    <t>SBIN0016137</t>
  </si>
  <si>
    <t>SBIN0016138</t>
  </si>
  <si>
    <t>SBIN0016139</t>
  </si>
  <si>
    <t>SBIN0016140</t>
  </si>
  <si>
    <t>SBIN0016141</t>
  </si>
  <si>
    <t>SBIN0016142</t>
  </si>
  <si>
    <t>SBIN0016144</t>
  </si>
  <si>
    <t>SBIN0016145</t>
  </si>
  <si>
    <t>SBIN0016146</t>
  </si>
  <si>
    <t>SBIN0016147</t>
  </si>
  <si>
    <t>SBIN0016148</t>
  </si>
  <si>
    <t>SBIN0016149</t>
  </si>
  <si>
    <t>SBIN0016151</t>
  </si>
  <si>
    <t>SBIN0016152</t>
  </si>
  <si>
    <t>SBIN0016153</t>
  </si>
  <si>
    <t>SBIN0016154</t>
  </si>
  <si>
    <t>SBIN0016155</t>
  </si>
  <si>
    <t>SBIN0016156</t>
  </si>
  <si>
    <t>SBIN0016158</t>
  </si>
  <si>
    <t>SBIN0016159</t>
  </si>
  <si>
    <t>SBIN0016160</t>
  </si>
  <si>
    <t>SBIN0016161</t>
  </si>
  <si>
    <t>SBIN0016163</t>
  </si>
  <si>
    <t>SBIN0016164</t>
  </si>
  <si>
    <t>SBIN0016165</t>
  </si>
  <si>
    <t>SBIN0016167</t>
  </si>
  <si>
    <t>SBIN0016168</t>
  </si>
  <si>
    <t>SBIN0016169</t>
  </si>
  <si>
    <t>SBIN0016170</t>
  </si>
  <si>
    <t>SBIN0016171</t>
  </si>
  <si>
    <t>SBIN0016172</t>
  </si>
  <si>
    <t>SBIN0016173</t>
  </si>
  <si>
    <t>SBIN0016174</t>
  </si>
  <si>
    <t>SBIN0016175</t>
  </si>
  <si>
    <t>SBIN0016176</t>
  </si>
  <si>
    <t>SBIN0016178</t>
  </si>
  <si>
    <t>SBIN0016182</t>
  </si>
  <si>
    <t>SBIN0016184</t>
  </si>
  <si>
    <t>SBIN0016185</t>
  </si>
  <si>
    <t>SBIN0016186</t>
  </si>
  <si>
    <t>SBIN0016187</t>
  </si>
  <si>
    <t>SBIN0016188</t>
  </si>
  <si>
    <t>SBIN0016189</t>
  </si>
  <si>
    <t>SBIN0016190</t>
  </si>
  <si>
    <t>SBIN0016191</t>
  </si>
  <si>
    <t>SBIN0016192</t>
  </si>
  <si>
    <t>SBIN0016194</t>
  </si>
  <si>
    <t>SBIN0016195</t>
  </si>
  <si>
    <t>SBIN0016196</t>
  </si>
  <si>
    <t>SBIN0016197</t>
  </si>
  <si>
    <t>SBIN0016198</t>
  </si>
  <si>
    <t>SBIN0016200</t>
  </si>
  <si>
    <t>SBIN0016201</t>
  </si>
  <si>
    <t>SBIN0016202</t>
  </si>
  <si>
    <t>SBIN0016203</t>
  </si>
  <si>
    <t>SBIN0016204</t>
  </si>
  <si>
    <t>SBIN0016205</t>
  </si>
  <si>
    <t>SBIN0016206</t>
  </si>
  <si>
    <t>SBIN0016207</t>
  </si>
  <si>
    <t>SBIN0016209</t>
  </si>
  <si>
    <t>SBIN0016210</t>
  </si>
  <si>
    <t>SBIN0016211</t>
  </si>
  <si>
    <t>SBIN0016212</t>
  </si>
  <si>
    <t>SBIN0016213</t>
  </si>
  <si>
    <t>SBIN0016214</t>
  </si>
  <si>
    <t>SBIN0016215</t>
  </si>
  <si>
    <t>SBIN0016216</t>
  </si>
  <si>
    <t>SBIN0016217</t>
  </si>
  <si>
    <t>SBIN0016218</t>
  </si>
  <si>
    <t>SBIN0016219</t>
  </si>
  <si>
    <t>SBIN0016220</t>
  </si>
  <si>
    <t>SBIN0016221</t>
  </si>
  <si>
    <t>SBIN0016222</t>
  </si>
  <si>
    <t>SBIN0016223</t>
  </si>
  <si>
    <t>SBIN0016224</t>
  </si>
  <si>
    <t>SBIN0016225</t>
  </si>
  <si>
    <t>SBIN0016227</t>
  </si>
  <si>
    <t>SBIN0016229</t>
  </si>
  <si>
    <t>SBIN0016230</t>
  </si>
  <si>
    <t>SBIN0016231</t>
  </si>
  <si>
    <t>SBIN0016232</t>
  </si>
  <si>
    <t>SBIN0016234</t>
  </si>
  <si>
    <t>SBIN0016235</t>
  </si>
  <si>
    <t>SBIN0016236</t>
  </si>
  <si>
    <t>SBIN0016237</t>
  </si>
  <si>
    <t>SBIN0016238</t>
  </si>
  <si>
    <t>SBIN0016239</t>
  </si>
  <si>
    <t>SBIN0016240</t>
  </si>
  <si>
    <t>SBIN0016243</t>
  </si>
  <si>
    <t>SBIN0016244</t>
  </si>
  <si>
    <t>SBIN0016245</t>
  </si>
  <si>
    <t>SBIN0016246</t>
  </si>
  <si>
    <t>SBIN0016247</t>
  </si>
  <si>
    <t>SBIN0016248</t>
  </si>
  <si>
    <t>SBIN0016249</t>
  </si>
  <si>
    <t>SBIN0016250</t>
  </si>
  <si>
    <t>SBIN0016251</t>
  </si>
  <si>
    <t>SBIN0016252</t>
  </si>
  <si>
    <t>SBIN0016253</t>
  </si>
  <si>
    <t>SBIN0016254</t>
  </si>
  <si>
    <t>SBIN0016255</t>
  </si>
  <si>
    <t>SBIN0016256</t>
  </si>
  <si>
    <t>SBIN0016257</t>
  </si>
  <si>
    <t>SBIN0016258</t>
  </si>
  <si>
    <t>SBIN0016259</t>
  </si>
  <si>
    <t>SBIN0016260</t>
  </si>
  <si>
    <t>SBIN0016261</t>
  </si>
  <si>
    <t>SBIN0016262</t>
  </si>
  <si>
    <t>SBIN0016263</t>
  </si>
  <si>
    <t>SBIN0016264</t>
  </si>
  <si>
    <t>SBIN0016265</t>
  </si>
  <si>
    <t>SBIN0016266</t>
  </si>
  <si>
    <t>SBIN0016267</t>
  </si>
  <si>
    <t>SBIN0016268</t>
  </si>
  <si>
    <t>SBIN0016269</t>
  </si>
  <si>
    <t>SBIN0016270</t>
  </si>
  <si>
    <t>SBIN0016271</t>
  </si>
  <si>
    <t>SBIN0016272</t>
  </si>
  <si>
    <t>SBIN0016273</t>
  </si>
  <si>
    <t>SBIN0016274</t>
  </si>
  <si>
    <t>SBIN0016275</t>
  </si>
  <si>
    <t>SBIN0016276</t>
  </si>
  <si>
    <t>SBIN0016277</t>
  </si>
  <si>
    <t>SBIN0016279</t>
  </si>
  <si>
    <t>SBIN0016280</t>
  </si>
  <si>
    <t>SBIN0016281</t>
  </si>
  <si>
    <t>SBIN0016282</t>
  </si>
  <si>
    <t>SBIN0016283</t>
  </si>
  <si>
    <t>SBIN0016284</t>
  </si>
  <si>
    <t>SBIN0016285</t>
  </si>
  <si>
    <t>SBIN0016286</t>
  </si>
  <si>
    <t>SBIN0016287</t>
  </si>
  <si>
    <t>SBIN0016288</t>
  </si>
  <si>
    <t>SBIN0016289</t>
  </si>
  <si>
    <t>SBIN0016290</t>
  </si>
  <si>
    <t>SBIN0016291</t>
  </si>
  <si>
    <t>SBIN0016292</t>
  </si>
  <si>
    <t>SBIN0016293</t>
  </si>
  <si>
    <t>SBIN0016294</t>
  </si>
  <si>
    <t>SBIN0016295</t>
  </si>
  <si>
    <t>SBIN0016296</t>
  </si>
  <si>
    <t>SBIN0016297</t>
  </si>
  <si>
    <t>SBIN0016298</t>
  </si>
  <si>
    <t>SBIN0016299</t>
  </si>
  <si>
    <t>SBIN0016300</t>
  </si>
  <si>
    <t>SBIN0016301</t>
  </si>
  <si>
    <t>SBIN0016302</t>
  </si>
  <si>
    <t>SBIN0016303</t>
  </si>
  <si>
    <t>SBIN0016304</t>
  </si>
  <si>
    <t>SBIN0016305</t>
  </si>
  <si>
    <t>SBIN0016306</t>
  </si>
  <si>
    <t>SBIN0016307</t>
  </si>
  <si>
    <t>SBIN0016308</t>
  </si>
  <si>
    <t>SBIN0016309</t>
  </si>
  <si>
    <t>SBIN0016310</t>
  </si>
  <si>
    <t>SBIN0016311</t>
  </si>
  <si>
    <t>SBIN0016312</t>
  </si>
  <si>
    <t>SBIN0016313</t>
  </si>
  <si>
    <t>SBIN0016314</t>
  </si>
  <si>
    <t>SBIN0016315</t>
  </si>
  <si>
    <t>SBIN0016316</t>
  </si>
  <si>
    <t>SBIN0016317</t>
  </si>
  <si>
    <t>SBIN0016318</t>
  </si>
  <si>
    <t>SBIN0016319</t>
  </si>
  <si>
    <t>SBIN0016320</t>
  </si>
  <si>
    <t>SBIN0016321</t>
  </si>
  <si>
    <t>SBIN0016322</t>
  </si>
  <si>
    <t>SBIN0016324</t>
  </si>
  <si>
    <t>SBIN0016325</t>
  </si>
  <si>
    <t>SBIN0016326</t>
  </si>
  <si>
    <t>SBIN0016327</t>
  </si>
  <si>
    <t>SBIN0016328</t>
  </si>
  <si>
    <t>SBIN0016329</t>
  </si>
  <si>
    <t>SBIN0016330</t>
  </si>
  <si>
    <t>SBIN0016331</t>
  </si>
  <si>
    <t>SBIN0016332</t>
  </si>
  <si>
    <t>SBIN0016335</t>
  </si>
  <si>
    <t>SBIN0016336</t>
  </si>
  <si>
    <t>SBIN0016337</t>
  </si>
  <si>
    <t>SBIN0016338</t>
  </si>
  <si>
    <t>SBIN0016339</t>
  </si>
  <si>
    <t>SBIN0016340</t>
  </si>
  <si>
    <t>SBIN0016341</t>
  </si>
  <si>
    <t>SBIN0016342</t>
  </si>
  <si>
    <t>SBIN0016343</t>
  </si>
  <si>
    <t>SBIN0016344</t>
  </si>
  <si>
    <t>SBIN0016345</t>
  </si>
  <si>
    <t>SBIN0016346</t>
  </si>
  <si>
    <t>SBIN0016347</t>
  </si>
  <si>
    <t>SBIN0016348</t>
  </si>
  <si>
    <t>SBIN0016349</t>
  </si>
  <si>
    <t>SBIN0016350</t>
  </si>
  <si>
    <t>SBIN0016351</t>
  </si>
  <si>
    <t>SBIN0016353</t>
  </si>
  <si>
    <t>SBIN0016354</t>
  </si>
  <si>
    <t>SBIN0016355</t>
  </si>
  <si>
    <t>SBIN0016356</t>
  </si>
  <si>
    <t>SBIN0016358</t>
  </si>
  <si>
    <t>SBIN0016359</t>
  </si>
  <si>
    <t>SBIN0016360</t>
  </si>
  <si>
    <t>SBIN0016361</t>
  </si>
  <si>
    <t>SBIN0016362</t>
  </si>
  <si>
    <t>SBIN0016363</t>
  </si>
  <si>
    <t>SBIN0016364</t>
  </si>
  <si>
    <t>SBIN0016365</t>
  </si>
  <si>
    <t>SBIN0016366</t>
  </si>
  <si>
    <t>SBIN0016367</t>
  </si>
  <si>
    <t>SBIN0016368</t>
  </si>
  <si>
    <t>SBIN0016369</t>
  </si>
  <si>
    <t>SBIN0016370</t>
  </si>
  <si>
    <t>SBIN0016371</t>
  </si>
  <si>
    <t>SBIN0016372</t>
  </si>
  <si>
    <t>SBIN0016373</t>
  </si>
  <si>
    <t>SBIN0016374</t>
  </si>
  <si>
    <t>SBIN0016375</t>
  </si>
  <si>
    <t>SBIN0016376</t>
  </si>
  <si>
    <t>SBIN0016377</t>
  </si>
  <si>
    <t>SBIN0016378</t>
  </si>
  <si>
    <t>SBIN0016380</t>
  </si>
  <si>
    <t>SBIN0016381</t>
  </si>
  <si>
    <t>SBIN0016382</t>
  </si>
  <si>
    <t>SBIN0016383</t>
  </si>
  <si>
    <t>SBIN0016384</t>
  </si>
  <si>
    <t>SBIN0016385</t>
  </si>
  <si>
    <t>SBIN0016386</t>
  </si>
  <si>
    <t>SBIN0016387</t>
  </si>
  <si>
    <t>SBIN0016388</t>
  </si>
  <si>
    <t>SBIN0016389</t>
  </si>
  <si>
    <t>SBIN0016390</t>
  </si>
  <si>
    <t>SBIN0016391</t>
  </si>
  <si>
    <t>SBIN0016392</t>
  </si>
  <si>
    <t>SBIN0016393</t>
  </si>
  <si>
    <t>SBIN0016394</t>
  </si>
  <si>
    <t>SBIN0016395</t>
  </si>
  <si>
    <t>SBIN0016396</t>
  </si>
  <si>
    <t>SBIN0016397</t>
  </si>
  <si>
    <t>SBIN0016398</t>
  </si>
  <si>
    <t>SBIN0016399</t>
  </si>
  <si>
    <t>SBIN0016400</t>
  </si>
  <si>
    <t>SBIN0016401</t>
  </si>
  <si>
    <t>SBIN0016402</t>
  </si>
  <si>
    <t>SBIN0016403</t>
  </si>
  <si>
    <t>SBIN0016404</t>
  </si>
  <si>
    <t>SBIN0016405</t>
  </si>
  <si>
    <t>SBIN0016409</t>
  </si>
  <si>
    <t>SBIN0016410</t>
  </si>
  <si>
    <t>SBIN0016411</t>
  </si>
  <si>
    <t>SBIN0016412</t>
  </si>
  <si>
    <t>SBIN0016413</t>
  </si>
  <si>
    <t>SBIN0016414</t>
  </si>
  <si>
    <t>SBIN0016415</t>
  </si>
  <si>
    <t>SBIN0016417</t>
  </si>
  <si>
    <t>SBIN0016418</t>
  </si>
  <si>
    <t>SBIN0016419</t>
  </si>
  <si>
    <t>SBIN0016420</t>
  </si>
  <si>
    <t>SBIN0016421</t>
  </si>
  <si>
    <t>SBIN0016422</t>
  </si>
  <si>
    <t>SBIN0016423</t>
  </si>
  <si>
    <t>SBIN0016424</t>
  </si>
  <si>
    <t>SBIN0016425</t>
  </si>
  <si>
    <t>SBIN0016426</t>
  </si>
  <si>
    <t>SBIN0016427</t>
  </si>
  <si>
    <t>SBIN0016428</t>
  </si>
  <si>
    <t>SBIN0016429</t>
  </si>
  <si>
    <t>SBIN0016430</t>
  </si>
  <si>
    <t>SBIN0016431</t>
  </si>
  <si>
    <t>SBIN0016432</t>
  </si>
  <si>
    <t>SBIN0016433</t>
  </si>
  <si>
    <t>SBIN0016434</t>
  </si>
  <si>
    <t>SBIN0016435</t>
  </si>
  <si>
    <t>SBIN0016436</t>
  </si>
  <si>
    <t>SBIN0016437</t>
  </si>
  <si>
    <t>SBIN0016438</t>
  </si>
  <si>
    <t>SBIN0016439</t>
  </si>
  <si>
    <t>SBIN0016440</t>
  </si>
  <si>
    <t>SBIN0016441</t>
  </si>
  <si>
    <t>SBIN0016442</t>
  </si>
  <si>
    <t>SBIN0016443</t>
  </si>
  <si>
    <t>SBIN0016444</t>
  </si>
  <si>
    <t>SBIN0016445</t>
  </si>
  <si>
    <t>SBIN0016447</t>
  </si>
  <si>
    <t>SBIN0016448</t>
  </si>
  <si>
    <t>SBIN0016449</t>
  </si>
  <si>
    <t>SBIN0016450</t>
  </si>
  <si>
    <t>SBIN0016451</t>
  </si>
  <si>
    <t>SBIN0016454</t>
  </si>
  <si>
    <t>SBIN0016455</t>
  </si>
  <si>
    <t>SBIN0016456</t>
  </si>
  <si>
    <t>SBIN0016457</t>
  </si>
  <si>
    <t>SBIN0016458</t>
  </si>
  <si>
    <t>SBIN0016459</t>
  </si>
  <si>
    <t>SBIN0016460</t>
  </si>
  <si>
    <t>SBIN0016461</t>
  </si>
  <si>
    <t>SBIN0016462</t>
  </si>
  <si>
    <t>SBIN0016463</t>
  </si>
  <si>
    <t>SBIN0016464</t>
  </si>
  <si>
    <t>SBIN0016465</t>
  </si>
  <si>
    <t>SBIN0016466</t>
  </si>
  <si>
    <t>SBIN0016467</t>
  </si>
  <si>
    <t>SBIN0016468</t>
  </si>
  <si>
    <t>SBIN0016469</t>
  </si>
  <si>
    <t>SBIN0016470</t>
  </si>
  <si>
    <t>SBIN0016471</t>
  </si>
  <si>
    <t>SBIN0016472</t>
  </si>
  <si>
    <t>SBIN0016473</t>
  </si>
  <si>
    <t>SBIN0016474</t>
  </si>
  <si>
    <t>SBIN0016476</t>
  </si>
  <si>
    <t>SBIN0016477</t>
  </si>
  <si>
    <t>SBIN0016478</t>
  </si>
  <si>
    <t>SBIN0016479</t>
  </si>
  <si>
    <t>SBIN0016480</t>
  </si>
  <si>
    <t>SBIN0016481</t>
  </si>
  <si>
    <t>SBIN0016483</t>
  </si>
  <si>
    <t>SBIN0016484</t>
  </si>
  <si>
    <t>SBIN0016485</t>
  </si>
  <si>
    <t>SBIN0016486</t>
  </si>
  <si>
    <t>SBIN0016487</t>
  </si>
  <si>
    <t>SBIN0016488</t>
  </si>
  <si>
    <t>SBIN0016489</t>
  </si>
  <si>
    <t>SBIN0016490</t>
  </si>
  <si>
    <t>SBIN0016491</t>
  </si>
  <si>
    <t>SBIN0016492</t>
  </si>
  <si>
    <t>SBIN0016493</t>
  </si>
  <si>
    <t>SBIN0016494</t>
  </si>
  <si>
    <t>SBIN0016495</t>
  </si>
  <si>
    <t>SBIN0016496</t>
  </si>
  <si>
    <t>SBIN0016497</t>
  </si>
  <si>
    <t>SBIN0016498</t>
  </si>
  <si>
    <t>SBIN0016499</t>
  </si>
  <si>
    <t>SBIN0016500</t>
  </si>
  <si>
    <t>SBIN0016501</t>
  </si>
  <si>
    <t>SBIN0016502</t>
  </si>
  <si>
    <t>SBIN0016503</t>
  </si>
  <si>
    <t>SBIN0016504</t>
  </si>
  <si>
    <t>SBIN0016505</t>
  </si>
  <si>
    <t>SBIN0016506</t>
  </si>
  <si>
    <t>SBIN0016507</t>
  </si>
  <si>
    <t>SBIN0016508</t>
  </si>
  <si>
    <t>SBIN0016509</t>
  </si>
  <si>
    <t>SBIN0016510</t>
  </si>
  <si>
    <t>SBIN0016511</t>
  </si>
  <si>
    <t>SBIN0016512</t>
  </si>
  <si>
    <t>SBIN0016513</t>
  </si>
  <si>
    <t>SBIN0016514</t>
  </si>
  <si>
    <t>SBIN0016515</t>
  </si>
  <si>
    <t>SBIN0016516</t>
  </si>
  <si>
    <t>SBIN0016517</t>
  </si>
  <si>
    <t>SBIN0016518</t>
  </si>
  <si>
    <t>SBIN0016519</t>
  </si>
  <si>
    <t>SBIN0016520</t>
  </si>
  <si>
    <t>SBIN0016522</t>
  </si>
  <si>
    <t>SBIN0016523</t>
  </si>
  <si>
    <t>SBIN0016524</t>
  </si>
  <si>
    <t>SBIN0016525</t>
  </si>
  <si>
    <t>SBIN0016526</t>
  </si>
  <si>
    <t>SBIN0016527</t>
  </si>
  <si>
    <t>SBIN0016528</t>
  </si>
  <si>
    <t>SBIN0016529</t>
  </si>
  <si>
    <t>SBIN0016530</t>
  </si>
  <si>
    <t>SBIN0016531</t>
  </si>
  <si>
    <t>SBIN0016532</t>
  </si>
  <si>
    <t>SBIN0016533</t>
  </si>
  <si>
    <t>SBIN0016535</t>
  </si>
  <si>
    <t>SBIN0016536</t>
  </si>
  <si>
    <t>SBIN0016537</t>
  </si>
  <si>
    <t>SBIN0016538</t>
  </si>
  <si>
    <t>SBIN0016539</t>
  </si>
  <si>
    <t>SBIN0016540</t>
  </si>
  <si>
    <t>SBIN0016542</t>
  </si>
  <si>
    <t>SBIN0016543</t>
  </si>
  <si>
    <t>SBIN0016544</t>
  </si>
  <si>
    <t>SBIN0016545</t>
  </si>
  <si>
    <t>SBIN0016546</t>
  </si>
  <si>
    <t>SBIN0016547</t>
  </si>
  <si>
    <t>SBIN0016548</t>
  </si>
  <si>
    <t>SBIN0016549</t>
  </si>
  <si>
    <t>SBIN0016550</t>
  </si>
  <si>
    <t>SBIN0016551</t>
  </si>
  <si>
    <t>SBIN0016552</t>
  </si>
  <si>
    <t>SBIN0016553</t>
  </si>
  <si>
    <t>SBIN0016554</t>
  </si>
  <si>
    <t>SBIN0016555</t>
  </si>
  <si>
    <t>SBIN0016556</t>
  </si>
  <si>
    <t>SBIN0016558</t>
  </si>
  <si>
    <t>SBIN0016559</t>
  </si>
  <si>
    <t>SBIN0016560</t>
  </si>
  <si>
    <t>SBIN0016561</t>
  </si>
  <si>
    <t>SBIN0016562</t>
  </si>
  <si>
    <t>SBIN0016563</t>
  </si>
  <si>
    <t>SBIN0016566</t>
  </si>
  <si>
    <t>SBIN0016567</t>
  </si>
  <si>
    <t>SBIN0016568</t>
  </si>
  <si>
    <t>SBIN0016569</t>
  </si>
  <si>
    <t>SBIN0016570</t>
  </si>
  <si>
    <t>SBIN0016571</t>
  </si>
  <si>
    <t>SBIN0016572</t>
  </si>
  <si>
    <t>SBIN0016573</t>
  </si>
  <si>
    <t>SBIN0016574</t>
  </si>
  <si>
    <t>SBIN0016575</t>
  </si>
  <si>
    <t>SBIN0016576</t>
  </si>
  <si>
    <t>SBIN0016577</t>
  </si>
  <si>
    <t>SBIN0016578</t>
  </si>
  <si>
    <t>SBIN0016579</t>
  </si>
  <si>
    <t>SBIN0016580</t>
  </si>
  <si>
    <t>SBIN0016581</t>
  </si>
  <si>
    <t>SBIN0016582</t>
  </si>
  <si>
    <t>SBIN0016583</t>
  </si>
  <si>
    <t>SBIN0016584</t>
  </si>
  <si>
    <t>SBIN0016585</t>
  </si>
  <si>
    <t>SBIN0016586</t>
  </si>
  <si>
    <t>SBIN0016587</t>
  </si>
  <si>
    <t>SBIN0016588</t>
  </si>
  <si>
    <t>SBIN0016589</t>
  </si>
  <si>
    <t>SBIN0016590</t>
  </si>
  <si>
    <t>SBIN0016591</t>
  </si>
  <si>
    <t>SBIN0016592</t>
  </si>
  <si>
    <t>SBIN0016593</t>
  </si>
  <si>
    <t>SBIN0016595</t>
  </si>
  <si>
    <t>SBIN0016596</t>
  </si>
  <si>
    <t>SBIN0016597</t>
  </si>
  <si>
    <t>SBIN0016600</t>
  </si>
  <si>
    <t>SBIN0016601</t>
  </si>
  <si>
    <t>SBIN0016602</t>
  </si>
  <si>
    <t>SBIN0016603</t>
  </si>
  <si>
    <t>SBIN0016604</t>
  </si>
  <si>
    <t>SBIN0016605</t>
  </si>
  <si>
    <t>SBIN0016606</t>
  </si>
  <si>
    <t>SBIN0016607</t>
  </si>
  <si>
    <t>SBIN0016608</t>
  </si>
  <si>
    <t>SBIN0016609</t>
  </si>
  <si>
    <t>SBIN0016610</t>
  </si>
  <si>
    <t>SBIN0016611</t>
  </si>
  <si>
    <t>SBIN0016612</t>
  </si>
  <si>
    <t>SBIN0016613</t>
  </si>
  <si>
    <t>SBIN0016614</t>
  </si>
  <si>
    <t>SBIN0016615</t>
  </si>
  <si>
    <t>SBIN0016616</t>
  </si>
  <si>
    <t>SBIN0016617</t>
  </si>
  <si>
    <t>SBIN0016618</t>
  </si>
  <si>
    <t>SBIN0016621</t>
  </si>
  <si>
    <t>SBIN0016622</t>
  </si>
  <si>
    <t>SBIN0016623</t>
  </si>
  <si>
    <t>SBIN0016624</t>
  </si>
  <si>
    <t>SBIN0016625</t>
  </si>
  <si>
    <t>SBIN0016626</t>
  </si>
  <si>
    <t>SBIN0016629</t>
  </si>
  <si>
    <t>SBIN0016630</t>
  </si>
  <si>
    <t>SBIN0016631</t>
  </si>
  <si>
    <t>SBIN0016632</t>
  </si>
  <si>
    <t>SBIN0016633</t>
  </si>
  <si>
    <t>SBIN0016634</t>
  </si>
  <si>
    <t>SBIN0016635</t>
  </si>
  <si>
    <t>SBIN0016636</t>
  </si>
  <si>
    <t>SBIN0016637</t>
  </si>
  <si>
    <t>SBIN0016638</t>
  </si>
  <si>
    <t>SBIN0016639</t>
  </si>
  <si>
    <t>SBIN0016640</t>
  </si>
  <si>
    <t>SBIN0016641</t>
  </si>
  <si>
    <t>SBIN0016642</t>
  </si>
  <si>
    <t>SBIN0016643</t>
  </si>
  <si>
    <t>SBIN0016644</t>
  </si>
  <si>
    <t>SBIN0016645</t>
  </si>
  <si>
    <t>SBIN0016646</t>
  </si>
  <si>
    <t>SBIN0016647</t>
  </si>
  <si>
    <t>SBIN0016648</t>
  </si>
  <si>
    <t>SBIN0016649</t>
  </si>
  <si>
    <t>SBIN0016650</t>
  </si>
  <si>
    <t>SBIN0016651</t>
  </si>
  <si>
    <t>SBIN0016652</t>
  </si>
  <si>
    <t>SBIN0016653</t>
  </si>
  <si>
    <t>SBIN0016654</t>
  </si>
  <si>
    <t>SBIN0016657</t>
  </si>
  <si>
    <t>SBIN0016658</t>
  </si>
  <si>
    <t>SBIN0016659</t>
  </si>
  <si>
    <t>SBIN0016660</t>
  </si>
  <si>
    <t>SBIN0016661</t>
  </si>
  <si>
    <t>SBIN0016662</t>
  </si>
  <si>
    <t>SBIN0016663</t>
  </si>
  <si>
    <t>SBIN0016664</t>
  </si>
  <si>
    <t>SBIN0016665</t>
  </si>
  <si>
    <t>SBIN0016666</t>
  </si>
  <si>
    <t>SBIN0016667</t>
  </si>
  <si>
    <t>SBIN0016668</t>
  </si>
  <si>
    <t>SBIN0016669</t>
  </si>
  <si>
    <t>SBIN0016670</t>
  </si>
  <si>
    <t>SBIN0016671</t>
  </si>
  <si>
    <t>SBIN0016672</t>
  </si>
  <si>
    <t>SBIN0016673</t>
  </si>
  <si>
    <t>SBIN0016677</t>
  </si>
  <si>
    <t>SBIN0016678</t>
  </si>
  <si>
    <t>SBIN0016679</t>
  </si>
  <si>
    <t>SBIN0016680</t>
  </si>
  <si>
    <t>SBIN0016681</t>
  </si>
  <si>
    <t>SBIN0016682</t>
  </si>
  <si>
    <t>SBIN0016683</t>
  </si>
  <si>
    <t>SBIN0016684</t>
  </si>
  <si>
    <t>SBIN0016685</t>
  </si>
  <si>
    <t>SBIN0016686</t>
  </si>
  <si>
    <t>SBIN0016687</t>
  </si>
  <si>
    <t>SBIN0016688</t>
  </si>
  <si>
    <t>SBIN0016689</t>
  </si>
  <si>
    <t>SBIN0016691</t>
  </si>
  <si>
    <t>SBIN0016692</t>
  </si>
  <si>
    <t>SBIN0016693</t>
  </si>
  <si>
    <t>SBIN0016694</t>
  </si>
  <si>
    <t>SBIN0016698</t>
  </si>
  <si>
    <t>SBIN0016699</t>
  </si>
  <si>
    <t>SBIN0016700</t>
  </si>
  <si>
    <t>SBIN0016701</t>
  </si>
  <si>
    <t>SBIN0016702</t>
  </si>
  <si>
    <t>SBIN0016703</t>
  </si>
  <si>
    <t>SBIN0016704</t>
  </si>
  <si>
    <t>SBIN0016705</t>
  </si>
  <si>
    <t>SBIN0016706</t>
  </si>
  <si>
    <t>SBIN0016707</t>
  </si>
  <si>
    <t>SBIN0016708</t>
  </si>
  <si>
    <t>SBIN0016709</t>
  </si>
  <si>
    <t>SBIN0016710</t>
  </si>
  <si>
    <t>SBIN0016711</t>
  </si>
  <si>
    <t>SBIN0016712</t>
  </si>
  <si>
    <t>SBIN0016713</t>
  </si>
  <si>
    <t>SBIN0016714</t>
  </si>
  <si>
    <t>SBIN0016715</t>
  </si>
  <si>
    <t>SBIN0016716</t>
  </si>
  <si>
    <t>SBIN0016717</t>
  </si>
  <si>
    <t>SBIN0016718</t>
  </si>
  <si>
    <t>SBIN0016719</t>
  </si>
  <si>
    <t>SBIN0016720</t>
  </si>
  <si>
    <t>SBIN0016721</t>
  </si>
  <si>
    <t>SBIN0016722</t>
  </si>
  <si>
    <t>SBIN0016723</t>
  </si>
  <si>
    <t>SBIN0016724</t>
  </si>
  <si>
    <t>SBIN0016725</t>
  </si>
  <si>
    <t>SBIN0016726</t>
  </si>
  <si>
    <t>SBIN0016727</t>
  </si>
  <si>
    <t>SBIN0016728</t>
  </si>
  <si>
    <t>SBIN0016729</t>
  </si>
  <si>
    <t>SBIN0016730</t>
  </si>
  <si>
    <t>SBIN0016731</t>
  </si>
  <si>
    <t>SBIN0016732</t>
  </si>
  <si>
    <t>SBIN0016733</t>
  </si>
  <si>
    <t>SBIN0016734</t>
  </si>
  <si>
    <t>SBIN0016735</t>
  </si>
  <si>
    <t>SBIN0016736</t>
  </si>
  <si>
    <t>SBIN0016737</t>
  </si>
  <si>
    <t>SBIN0016738</t>
  </si>
  <si>
    <t>SBIN0016739</t>
  </si>
  <si>
    <t>SBIN0016740</t>
  </si>
  <si>
    <t>SBIN0016741</t>
  </si>
  <si>
    <t>SBIN0016742</t>
  </si>
  <si>
    <t>SBIN0016743</t>
  </si>
  <si>
    <t>SBIN0016744</t>
  </si>
  <si>
    <t>SBIN0016745</t>
  </si>
  <si>
    <t>SBIN0016746</t>
  </si>
  <si>
    <t>SBIN0016748</t>
  </si>
  <si>
    <t>SBIN0016750</t>
  </si>
  <si>
    <t>SBIN0016751</t>
  </si>
  <si>
    <t>SBIN0016752</t>
  </si>
  <si>
    <t>SBIN0016753</t>
  </si>
  <si>
    <t>SBIN0016754</t>
  </si>
  <si>
    <t>SBIN0016755</t>
  </si>
  <si>
    <t>SBIN0016756</t>
  </si>
  <si>
    <t>SBIN0016757</t>
  </si>
  <si>
    <t>SBIN0016758</t>
  </si>
  <si>
    <t>SBIN0016759</t>
  </si>
  <si>
    <t>SBIN0016760</t>
  </si>
  <si>
    <t>SBIN0016761</t>
  </si>
  <si>
    <t>SBIN0016762</t>
  </si>
  <si>
    <t>SBIN0016764</t>
  </si>
  <si>
    <t>SBIN0016765</t>
  </si>
  <si>
    <t>SBIN0016766</t>
  </si>
  <si>
    <t>SBIN0016767</t>
  </si>
  <si>
    <t>SBIN0016768</t>
  </si>
  <si>
    <t>SBIN0016769</t>
  </si>
  <si>
    <t>SBIN0016770</t>
  </si>
  <si>
    <t>SBIN0016771</t>
  </si>
  <si>
    <t>SBIN0016772</t>
  </si>
  <si>
    <t>SBIN0016773</t>
  </si>
  <si>
    <t>SBIN0016774</t>
  </si>
  <si>
    <t>SBIN0016775</t>
  </si>
  <si>
    <t>SBIN0016776</t>
  </si>
  <si>
    <t>SBIN0016777</t>
  </si>
  <si>
    <t>SBIN0016778</t>
  </si>
  <si>
    <t>SBIN0016782</t>
  </si>
  <si>
    <t>SBIN0016783</t>
  </si>
  <si>
    <t>SBIN0016784</t>
  </si>
  <si>
    <t>SBIN0016785</t>
  </si>
  <si>
    <t>SBIN0016786</t>
  </si>
  <si>
    <t>SBIN0016787</t>
  </si>
  <si>
    <t>SBIN0016788</t>
  </si>
  <si>
    <t>SBIN0016789</t>
  </si>
  <si>
    <t>SBIN0016790</t>
  </si>
  <si>
    <t>SBIN0016791</t>
  </si>
  <si>
    <t>SBIN0016792</t>
  </si>
  <si>
    <t>SBIN0016793</t>
  </si>
  <si>
    <t>SBIN0016797</t>
  </si>
  <si>
    <t>SBIN0016798</t>
  </si>
  <si>
    <t>SBIN0016799</t>
  </si>
  <si>
    <t>SBIN0016800</t>
  </si>
  <si>
    <t>SBIN0016801</t>
  </si>
  <si>
    <t>SBIN0016804</t>
  </si>
  <si>
    <t>SBIN0016805</t>
  </si>
  <si>
    <t>SBIN0016806</t>
  </si>
  <si>
    <t>SBIN0016807</t>
  </si>
  <si>
    <t>SBIN0016808</t>
  </si>
  <si>
    <t>SBIN0016809</t>
  </si>
  <si>
    <t>SBIN0016810</t>
  </si>
  <si>
    <t>SBIN0016811</t>
  </si>
  <si>
    <t>SBIN0016812</t>
  </si>
  <si>
    <t>SBIN0016813</t>
  </si>
  <si>
    <t>SBIN0016814</t>
  </si>
  <si>
    <t>SBIN0016815</t>
  </si>
  <si>
    <t>SBIN0016816</t>
  </si>
  <si>
    <t>SBIN0016817</t>
  </si>
  <si>
    <t>SBIN0016818</t>
  </si>
  <si>
    <t>SBIN0016819</t>
  </si>
  <si>
    <t>SBIN0016820</t>
  </si>
  <si>
    <t>SBIN0016821</t>
  </si>
  <si>
    <t>SBIN0016822</t>
  </si>
  <si>
    <t>SBIN0016823</t>
  </si>
  <si>
    <t>SBIN0016824</t>
  </si>
  <si>
    <t>SBIN0016825</t>
  </si>
  <si>
    <t>SBIN0016826</t>
  </si>
  <si>
    <t>SBIN0016827</t>
  </si>
  <si>
    <t>SBIN0016828</t>
  </si>
  <si>
    <t>SBIN0016829</t>
  </si>
  <si>
    <t>SBIN0016830</t>
  </si>
  <si>
    <t>SBIN0016831</t>
  </si>
  <si>
    <t>SBIN0016832</t>
  </si>
  <si>
    <t>SBIN0016833</t>
  </si>
  <si>
    <t>SBIN0016834</t>
  </si>
  <si>
    <t>SBIN0016835</t>
  </si>
  <si>
    <t>SBIN0016836</t>
  </si>
  <si>
    <t>SBIN0016837</t>
  </si>
  <si>
    <t>SBIN0016839</t>
  </si>
  <si>
    <t>SBIN0016840</t>
  </si>
  <si>
    <t>SBIN0016841</t>
  </si>
  <si>
    <t>SBIN0016842</t>
  </si>
  <si>
    <t>SBIN0016843</t>
  </si>
  <si>
    <t>SBIN0016844</t>
  </si>
  <si>
    <t>SBIN0016845</t>
  </si>
  <si>
    <t>SBIN0016846</t>
  </si>
  <si>
    <t>SBIN0016847</t>
  </si>
  <si>
    <t>SBIN0016848</t>
  </si>
  <si>
    <t>SBIN0016849</t>
  </si>
  <si>
    <t>SBIN0016850</t>
  </si>
  <si>
    <t>SBIN0016853</t>
  </si>
  <si>
    <t>SBIN0016854</t>
  </si>
  <si>
    <t>SBIN0016855</t>
  </si>
  <si>
    <t>SBIN0016856</t>
  </si>
  <si>
    <t>SBIN0016857</t>
  </si>
  <si>
    <t>SBIN0016858</t>
  </si>
  <si>
    <t>SBIN0016859</t>
  </si>
  <si>
    <t>SBIN0016860</t>
  </si>
  <si>
    <t>SBIN0016861</t>
  </si>
  <si>
    <t>SBIN0016862</t>
  </si>
  <si>
    <t>SBIN0016863</t>
  </si>
  <si>
    <t>SBIN0016864</t>
  </si>
  <si>
    <t>SBIN0016865</t>
  </si>
  <si>
    <t>SBIN0016866</t>
  </si>
  <si>
    <t>SBIN0016867</t>
  </si>
  <si>
    <t>SBIN0016868</t>
  </si>
  <si>
    <t>SBIN0016869</t>
  </si>
  <si>
    <t>SBIN0016870</t>
  </si>
  <si>
    <t>SBIN0016871</t>
  </si>
  <si>
    <t>SBIN0016872</t>
  </si>
  <si>
    <t>SBIN0016873</t>
  </si>
  <si>
    <t>SBIN0016874</t>
  </si>
  <si>
    <t>SBIN0016875</t>
  </si>
  <si>
    <t>SBIN0016876</t>
  </si>
  <si>
    <t>SBIN0016877</t>
  </si>
  <si>
    <t>SBIN0016878</t>
  </si>
  <si>
    <t>SBIN0016879</t>
  </si>
  <si>
    <t>SBIN0016880</t>
  </si>
  <si>
    <t>SBIN0016881</t>
  </si>
  <si>
    <t>SBIN0016882</t>
  </si>
  <si>
    <t>SBIN0016883</t>
  </si>
  <si>
    <t>SBIN0016884</t>
  </si>
  <si>
    <t>SBIN0016886</t>
  </si>
  <si>
    <t>SBIN0016887</t>
  </si>
  <si>
    <t>SBIN0016888</t>
  </si>
  <si>
    <t>SBIN0016889</t>
  </si>
  <si>
    <t>SBIN0016890</t>
  </si>
  <si>
    <t>SBIN0016891</t>
  </si>
  <si>
    <t>SBIN0016892</t>
  </si>
  <si>
    <t>SBIN0016893</t>
  </si>
  <si>
    <t>SBIN0016894</t>
  </si>
  <si>
    <t>SBIN0016895</t>
  </si>
  <si>
    <t>SBIN0016896</t>
  </si>
  <si>
    <t>SBIN0016898</t>
  </si>
  <si>
    <t>SBIN0016899</t>
  </si>
  <si>
    <t>SBIN0016900</t>
  </si>
  <si>
    <t>SBIN0016901</t>
  </si>
  <si>
    <t>SBIN0016902</t>
  </si>
  <si>
    <t>SBIN0016903</t>
  </si>
  <si>
    <t>SBIN0016904</t>
  </si>
  <si>
    <t>SBIN0016905</t>
  </si>
  <si>
    <t>SBIN0016906</t>
  </si>
  <si>
    <t>SBIN0016907</t>
  </si>
  <si>
    <t>SBIN0016917</t>
  </si>
  <si>
    <t>SBIN0016920</t>
  </si>
  <si>
    <t>SBIN0016921</t>
  </si>
  <si>
    <t>SBIN0016922</t>
  </si>
  <si>
    <t>SBIN0016923</t>
  </si>
  <si>
    <t>SBIN0016926</t>
  </si>
  <si>
    <t>SBIN0016927</t>
  </si>
  <si>
    <t>SBIN0016928</t>
  </si>
  <si>
    <t>SBIN0016930</t>
  </si>
  <si>
    <t>SBIN0016932</t>
  </si>
  <si>
    <t>SBIN0016933</t>
  </si>
  <si>
    <t>SBIN0016934</t>
  </si>
  <si>
    <t>SBIN0016935</t>
  </si>
  <si>
    <t>SBIN0016937</t>
  </si>
  <si>
    <t>SBIN0016939</t>
  </si>
  <si>
    <t>SBIN0016942</t>
  </si>
  <si>
    <t>SBIN0016944</t>
  </si>
  <si>
    <t>SBIN0016948</t>
  </si>
  <si>
    <t>SBIN0016950</t>
  </si>
  <si>
    <t>SBIN0016951</t>
  </si>
  <si>
    <t>SBIN0016952</t>
  </si>
  <si>
    <t>SBIN0016954</t>
  </si>
  <si>
    <t>SBIN0016955</t>
  </si>
  <si>
    <t>Creation Date</t>
  </si>
  <si>
    <t xml:space="preserve">scvia_TotPartCchapterVIA_Calc </t>
  </si>
  <si>
    <t>SEZA10_TotalDedUs10Sub</t>
  </si>
  <si>
    <t>AA10_TotalDedUs10Sub</t>
  </si>
  <si>
    <t>44AD income</t>
  </si>
  <si>
    <t>is 44AD applicable</t>
  </si>
  <si>
    <t>taxAggrIncm after 44AD</t>
  </si>
  <si>
    <t>44AD calc</t>
  </si>
  <si>
    <t xml:space="preserve">NET TAX LIABILITY FOR 44AD </t>
  </si>
  <si>
    <t>is 44AD applic</t>
  </si>
  <si>
    <t>44AD Calculation</t>
  </si>
  <si>
    <t>Surcharge Calculation For AMT</t>
  </si>
  <si>
    <t>Sheet9.SurchargeOnTaxPayable</t>
  </si>
  <si>
    <t>Sheet9.BalTaxPayable</t>
  </si>
  <si>
    <t>44AD surchage and bal taxpayble considerations</t>
  </si>
  <si>
    <t>Any sum received from employees as contribution to any provident fund or superannuation fund or any fund set up under ESI Act or any other fund for the welfare of employees to the extent not credited to the employees account on or before the due date [36(1)(va)]</t>
  </si>
  <si>
    <t>any sum paid by the assessee as an employer for setting up or as contribution to any fund, trust, company, AOP, or BOI or society or any other institution;[40A(9)]</t>
  </si>
  <si>
    <t>GTI_Limit</t>
  </si>
  <si>
    <t>VI-A</t>
  </si>
  <si>
    <t>Schedule VIA</t>
  </si>
  <si>
    <t>normal citizen</t>
  </si>
  <si>
    <t>Super senior citizen</t>
  </si>
  <si>
    <t>Senior Citizen</t>
  </si>
  <si>
    <t>matchedSAT</t>
  </si>
  <si>
    <t>ALLA0AU1610</t>
  </si>
  <si>
    <t>ALLA0AU1611</t>
  </si>
  <si>
    <t>ALLA0AU1612</t>
  </si>
  <si>
    <t>ALLA0AU1613</t>
  </si>
  <si>
    <t>ALLA0AU1614</t>
  </si>
  <si>
    <t>ALLA0AU1615</t>
  </si>
  <si>
    <t>ALLA0AU1616</t>
  </si>
  <si>
    <t>ALLA0AU1617</t>
  </si>
  <si>
    <t>ALLA0AU1618</t>
  </si>
  <si>
    <t>ALLA0AU1619</t>
  </si>
  <si>
    <t>ALLA0AU1620</t>
  </si>
  <si>
    <t>ALLA0AU1621</t>
  </si>
  <si>
    <t>ALLA0AU1622</t>
  </si>
  <si>
    <t>ALLA0AU1623</t>
  </si>
  <si>
    <t>ALLA0AU1624</t>
  </si>
  <si>
    <t>ALLA0AU1625</t>
  </si>
  <si>
    <t>ALLA0AU1626</t>
  </si>
  <si>
    <t>ALLA0AU1627</t>
  </si>
  <si>
    <t>ALLA0AU1628</t>
  </si>
  <si>
    <t>ALLA0AU1629</t>
  </si>
  <si>
    <t>ALLA0AU1630</t>
  </si>
  <si>
    <t>ALLA0AU1631</t>
  </si>
  <si>
    <t>ALLA0AU1632</t>
  </si>
  <si>
    <t>ALLA0AU1633</t>
  </si>
  <si>
    <t>ALLA0AU1634</t>
  </si>
  <si>
    <t>ALLA0AU1635</t>
  </si>
  <si>
    <t>ALLA0AU1636</t>
  </si>
  <si>
    <t>ALLA0AU1637</t>
  </si>
  <si>
    <t>ALLA0AU1638</t>
  </si>
  <si>
    <t>ALLA0AU1639</t>
  </si>
  <si>
    <t>ALLA0AU1640</t>
  </si>
  <si>
    <t>ALLA0AU1641</t>
  </si>
  <si>
    <t>ALLA0AU1642</t>
  </si>
  <si>
    <t>ALLA0AU1643</t>
  </si>
  <si>
    <t>ALLA0AU1644</t>
  </si>
  <si>
    <t>ALLA0AU1645</t>
  </si>
  <si>
    <t>ALLA0AU1646</t>
  </si>
  <si>
    <t>ALLA0AU1647</t>
  </si>
  <si>
    <t>ALLA0AU1648</t>
  </si>
  <si>
    <t>ALLA0AU1649</t>
  </si>
  <si>
    <t>ALLA0AU1650</t>
  </si>
  <si>
    <t>ALLA0AU1651</t>
  </si>
  <si>
    <t>ALLA0AU1652</t>
  </si>
  <si>
    <t>ALLA0AU1653</t>
  </si>
  <si>
    <t>ALLA0AU1654</t>
  </si>
  <si>
    <t>ALLA0AU1655</t>
  </si>
  <si>
    <t>ALLA0AU1656</t>
  </si>
  <si>
    <t>ALLA0AU1657</t>
  </si>
  <si>
    <t>ALLA0AU1658</t>
  </si>
  <si>
    <t>ALLA0AU1659</t>
  </si>
  <si>
    <t>ALLA0AU1660</t>
  </si>
  <si>
    <t>ALLA0AU1661</t>
  </si>
  <si>
    <t>ALLA0AU1662</t>
  </si>
  <si>
    <t>ALLA0AU1663</t>
  </si>
  <si>
    <t>MAHB0001746</t>
  </si>
  <si>
    <t>MAHB0001762</t>
  </si>
  <si>
    <t>MAHB0001851</t>
  </si>
  <si>
    <t>MAHB0001852</t>
  </si>
  <si>
    <t>MAHB0001895</t>
  </si>
  <si>
    <t>MAHB0001912</t>
  </si>
  <si>
    <t>MAHB0001916</t>
  </si>
  <si>
    <t>MAHB0001917</t>
  </si>
  <si>
    <t>BARC0INBB01</t>
  </si>
  <si>
    <t>BACB0000037</t>
  </si>
  <si>
    <t>BACB0000038</t>
  </si>
  <si>
    <t>BACB0000039</t>
  </si>
  <si>
    <t>BACB0000040</t>
  </si>
  <si>
    <t>SBIN0015923</t>
  </si>
  <si>
    <t>SBIN0016056</t>
  </si>
  <si>
    <t>SBIN0016059</t>
  </si>
  <si>
    <t>SBIN0016446</t>
  </si>
  <si>
    <t>SBIN0016695</t>
  </si>
  <si>
    <t>SBIN0016747</t>
  </si>
  <si>
    <t>SBIN0016763</t>
  </si>
  <si>
    <t>SBIN0016908</t>
  </si>
  <si>
    <t>SBIN0016909</t>
  </si>
  <si>
    <t>SBIN0016912</t>
  </si>
  <si>
    <t>SBIN0016913</t>
  </si>
  <si>
    <t>SBIN0016919</t>
  </si>
  <si>
    <t>SBIN0016925</t>
  </si>
  <si>
    <t>SBIN0016940</t>
  </si>
  <si>
    <t>SBIN0016943</t>
  </si>
  <si>
    <t>AMCB0660031</t>
  </si>
  <si>
    <t>AMCB0660032</t>
  </si>
  <si>
    <t>AMCB0660033</t>
  </si>
  <si>
    <t>AMCB0RTGS4S</t>
  </si>
  <si>
    <t>BCBM0000057</t>
  </si>
  <si>
    <t>BCBM0000058</t>
  </si>
  <si>
    <t>BCBM0000059</t>
  </si>
  <si>
    <t>BCBM0000060</t>
  </si>
  <si>
    <t>NKGS0000081</t>
  </si>
  <si>
    <t>NKGS0000082</t>
  </si>
  <si>
    <t>NKGS0000083</t>
  </si>
  <si>
    <t>NKGS0000084</t>
  </si>
  <si>
    <t>NKGS0000085</t>
  </si>
  <si>
    <t>NKGS0000086</t>
  </si>
  <si>
    <t>NKGS0000087</t>
  </si>
  <si>
    <t>NKGS0000088</t>
  </si>
  <si>
    <t>ORBC0102003</t>
  </si>
  <si>
    <t>ORBC0102004</t>
  </si>
  <si>
    <t>ORBC0102005</t>
  </si>
  <si>
    <t>ORBC0102006</t>
  </si>
  <si>
    <t>ORBC0102007</t>
  </si>
  <si>
    <t>ORBC0102008</t>
  </si>
  <si>
    <t>ORBC0102009</t>
  </si>
  <si>
    <t>ORBC0102010</t>
  </si>
  <si>
    <t>ORBC0102011</t>
  </si>
  <si>
    <t>ORBC0102012</t>
  </si>
  <si>
    <t>ORBC0102013</t>
  </si>
  <si>
    <t>ORBC0102014</t>
  </si>
  <si>
    <t>ORBC0102015</t>
  </si>
  <si>
    <t>ORBC0102016</t>
  </si>
  <si>
    <t>ORBC0102017</t>
  </si>
  <si>
    <t>ORBC0102018</t>
  </si>
  <si>
    <t>ORBC0102019</t>
  </si>
  <si>
    <t>ORBC0102020</t>
  </si>
  <si>
    <t>ORBC0102021</t>
  </si>
  <si>
    <t>ORBC0102022</t>
  </si>
  <si>
    <t>ORBC0102023</t>
  </si>
  <si>
    <t>ORBC0102024</t>
  </si>
  <si>
    <t>ORBC0102025</t>
  </si>
  <si>
    <t>ORBC0102026</t>
  </si>
  <si>
    <t>ORBC0102027</t>
  </si>
  <si>
    <t>ORBC0102028</t>
  </si>
  <si>
    <t>ORBC0102029</t>
  </si>
  <si>
    <t>ORBC0102030</t>
  </si>
  <si>
    <t>ORBC0102031</t>
  </si>
  <si>
    <t>ORBC0102032</t>
  </si>
  <si>
    <t>ORBC0102033</t>
  </si>
  <si>
    <t>ORBC0102034</t>
  </si>
  <si>
    <t>ORBC0102035</t>
  </si>
  <si>
    <t>ORBC0102036</t>
  </si>
  <si>
    <t>ORBC0102037</t>
  </si>
  <si>
    <t>ORBC0102038</t>
  </si>
  <si>
    <t>ORBC0102039</t>
  </si>
  <si>
    <t>AKJB0000002</t>
  </si>
  <si>
    <t>AKJB0000003</t>
  </si>
  <si>
    <t>AKJB0000004</t>
  </si>
  <si>
    <t>AKJB0000005</t>
  </si>
  <si>
    <t>AKJB0000006</t>
  </si>
  <si>
    <t>AKJB0000007</t>
  </si>
  <si>
    <t>AKJB0000008</t>
  </si>
  <si>
    <t>AKJB0000009</t>
  </si>
  <si>
    <t>AKJB0000010</t>
  </si>
  <si>
    <t>AKJB0000011</t>
  </si>
  <si>
    <t>AKJB0000012</t>
  </si>
  <si>
    <t>AKJB0000013</t>
  </si>
  <si>
    <t>AKJB0000014</t>
  </si>
  <si>
    <t>AKJB0000015</t>
  </si>
  <si>
    <t>AKJB0000016</t>
  </si>
  <si>
    <t>AKJB0000017</t>
  </si>
  <si>
    <t>AKJB0000018</t>
  </si>
  <si>
    <t>AKJB0000019</t>
  </si>
  <si>
    <t>AKJB0000020</t>
  </si>
  <si>
    <t>AKJB0000021</t>
  </si>
  <si>
    <t>AKJB0000022</t>
  </si>
  <si>
    <t>AKJB0000023</t>
  </si>
  <si>
    <t>AKJB0000024</t>
  </si>
  <si>
    <t>AKJB0000025</t>
  </si>
  <si>
    <t>AKJB0000026</t>
  </si>
  <si>
    <t>AKJB0000027</t>
  </si>
  <si>
    <t>AKJB0000028</t>
  </si>
  <si>
    <t>AKJB0000029</t>
  </si>
  <si>
    <t>AKJB0000030</t>
  </si>
  <si>
    <t>AKJB0000031</t>
  </si>
  <si>
    <t>AKJB0000032</t>
  </si>
  <si>
    <t>AKJB0000033</t>
  </si>
  <si>
    <t>AKJB0000035</t>
  </si>
  <si>
    <t>AKJB0000036</t>
  </si>
  <si>
    <t>AKJB0000037</t>
  </si>
  <si>
    <t>MAHB0001850</t>
  </si>
  <si>
    <t>MAHB0001918</t>
  </si>
  <si>
    <t>MAHB0001919</t>
  </si>
  <si>
    <t>MAHB0001921</t>
  </si>
  <si>
    <t>MAHB0001924</t>
  </si>
  <si>
    <t>MAHB0001925</t>
  </si>
  <si>
    <t>MAHB0001926</t>
  </si>
  <si>
    <t>MAHB0001927</t>
  </si>
  <si>
    <t>NKGS0000089</t>
  </si>
  <si>
    <t>NKGS0000090</t>
  </si>
  <si>
    <t>NKGS0000091</t>
  </si>
  <si>
    <t>NKGS0000092</t>
  </si>
  <si>
    <t>NKGS0000093</t>
  </si>
  <si>
    <t>ORBC0102040</t>
  </si>
  <si>
    <t>ORBC0102041</t>
  </si>
  <si>
    <t>ORBC0102042</t>
  </si>
  <si>
    <t>ORBC0102043</t>
  </si>
  <si>
    <t>ORBC0102044</t>
  </si>
  <si>
    <t>ORBC0102045</t>
  </si>
  <si>
    <t>ORBC0102046</t>
  </si>
  <si>
    <t>ORBC0102047</t>
  </si>
  <si>
    <t>ORBC0102048</t>
  </si>
  <si>
    <t>ORBC0102049</t>
  </si>
  <si>
    <t>ORBC0102050</t>
  </si>
  <si>
    <t>ORBC0102051</t>
  </si>
  <si>
    <t>ORBC0102052</t>
  </si>
  <si>
    <t>ORBC0102053</t>
  </si>
  <si>
    <t>ORBC0102054</t>
  </si>
  <si>
    <t>ORBC0102055</t>
  </si>
  <si>
    <t>ORBC0102056</t>
  </si>
  <si>
    <t>ORBC0102057</t>
  </si>
  <si>
    <t>ORBC0102058</t>
  </si>
  <si>
    <t>ORBC0102059</t>
  </si>
  <si>
    <t>ORBC0102060</t>
  </si>
  <si>
    <t>ORBC0102061</t>
  </si>
  <si>
    <t>ORBC0102062</t>
  </si>
  <si>
    <t>ORBC0102063</t>
  </si>
  <si>
    <t>ORBC0102064</t>
  </si>
  <si>
    <t>ORBC0102065</t>
  </si>
  <si>
    <t>ORBC0102066</t>
  </si>
  <si>
    <t>ORBC0102067</t>
  </si>
  <si>
    <t>ORBC0102068</t>
  </si>
  <si>
    <t>ORBC0102069</t>
  </si>
  <si>
    <t>ORBC0102070</t>
  </si>
  <si>
    <t>ORBC0102071</t>
  </si>
  <si>
    <t>ORBC0102072</t>
  </si>
  <si>
    <t>ORBC0102073</t>
  </si>
  <si>
    <t>ORBC0102074</t>
  </si>
  <si>
    <t>ORBC0102075</t>
  </si>
  <si>
    <t>ORBC0102076</t>
  </si>
  <si>
    <t>ORBC0102077</t>
  </si>
  <si>
    <t>ORBC0102078</t>
  </si>
  <si>
    <t>ORBC0102079</t>
  </si>
  <si>
    <t>ORBC0102080</t>
  </si>
  <si>
    <t>ORBC0102081</t>
  </si>
  <si>
    <t>ORBC0102082</t>
  </si>
  <si>
    <t>ORBC0102083</t>
  </si>
  <si>
    <t>ORBC0102084</t>
  </si>
  <si>
    <t>ORBC0102085</t>
  </si>
  <si>
    <t>ORBC0102086</t>
  </si>
  <si>
    <t>ORBC0102087</t>
  </si>
  <si>
    <t>ORBC0102088</t>
  </si>
  <si>
    <t>ORBC0102089</t>
  </si>
  <si>
    <t>ORBC0102090</t>
  </si>
  <si>
    <t>ORBC0102091</t>
  </si>
  <si>
    <t>ORBC0102092</t>
  </si>
  <si>
    <t>ORBC0102093</t>
  </si>
  <si>
    <t>ORBC0102094</t>
  </si>
  <si>
    <t>ORBC0102095</t>
  </si>
  <si>
    <t>ORBC0102096</t>
  </si>
  <si>
    <t>ORBC0102097</t>
  </si>
  <si>
    <t>ORBC0102098</t>
  </si>
  <si>
    <t>ORBC0102099</t>
  </si>
  <si>
    <t>ORBC0102100</t>
  </si>
  <si>
    <t>ORBC0102101</t>
  </si>
  <si>
    <t>ORBC0102102</t>
  </si>
  <si>
    <t>ORBC0102103</t>
  </si>
  <si>
    <t>SBIN0015944</t>
  </si>
  <si>
    <t>SBIN0016534</t>
  </si>
  <si>
    <t>SBIN0016656</t>
  </si>
  <si>
    <t>SBIN0016838</t>
  </si>
  <si>
    <t>SBIN0016915</t>
  </si>
  <si>
    <t>SBIN0016916</t>
  </si>
  <si>
    <t>SBIN0016938</t>
  </si>
  <si>
    <t>BCBM0000061</t>
  </si>
  <si>
    <t>BCBM0000062</t>
  </si>
  <si>
    <t>BCBM0000063</t>
  </si>
  <si>
    <t>BCBM0000064</t>
  </si>
  <si>
    <t>BCBM0000065</t>
  </si>
  <si>
    <t>BCBM0000066</t>
  </si>
  <si>
    <t>Sl.</t>
  </si>
  <si>
    <t>Country name, code</t>
  </si>
  <si>
    <t>Article of DTAA</t>
  </si>
  <si>
    <t>Amount of income</t>
  </si>
  <si>
    <t>Expenditure incurred on agriculture</t>
  </si>
  <si>
    <t>Unabsorbed agricultural loss of previous eight assessment years</t>
  </si>
  <si>
    <t>Schedule BA</t>
  </si>
  <si>
    <t>Details of Bank Accounts held in India at any time during the previous year</t>
  </si>
  <si>
    <t>Number of bank accounts held by you at any time (including opened/closed) during the previous year</t>
  </si>
  <si>
    <t>Name of Joint holder(s), if any</t>
  </si>
  <si>
    <t>NOTE ►</t>
  </si>
  <si>
    <t>Please refer to instructions for filling out this schedule</t>
  </si>
  <si>
    <t>Ah</t>
  </si>
  <si>
    <t>Sch OS</t>
  </si>
  <si>
    <t>2015-16</t>
  </si>
  <si>
    <t xml:space="preserve">Schedule80-IA,IB,IC </t>
  </si>
  <si>
    <t>Abu Dhabi Commercial Bank</t>
  </si>
  <si>
    <t>Abhyudaya Cooperative Bank</t>
  </si>
  <si>
    <t>Akola District Central Co-Operative Bank</t>
  </si>
  <si>
    <t>Allahabad Bank</t>
  </si>
  <si>
    <t>Almora Urban Co-Operative Bank ltd</t>
  </si>
  <si>
    <t>Andhra Bank</t>
  </si>
  <si>
    <t>Andhra Pragathi Grameena Bank</t>
  </si>
  <si>
    <t>Apna Sahakari Bank Ltd</t>
  </si>
  <si>
    <t>Australia and New Zealand Banking Group Ltd</t>
  </si>
  <si>
    <t>Axis Bank</t>
  </si>
  <si>
    <t>Bank of America</t>
  </si>
  <si>
    <t>Bank of Bahrein and Kuwait</t>
  </si>
  <si>
    <t>Bank of Baroda</t>
  </si>
  <si>
    <t>Bank of Ceylon</t>
  </si>
  <si>
    <t>Bank of India</t>
  </si>
  <si>
    <t>Bank Internasional Indonesia</t>
  </si>
  <si>
    <t>Bank of Maharashtra</t>
  </si>
  <si>
    <t>Bank of Tokyo Mitsubishi UFJ Ltd</t>
  </si>
  <si>
    <t>Barclays Bank</t>
  </si>
  <si>
    <t>Bassein Catholic Co-Op Bank Ltd</t>
  </si>
  <si>
    <t>Bharatiya Mahila Bank Ltd</t>
  </si>
  <si>
    <t>BNP Paribas Bank</t>
  </si>
  <si>
    <t>Commonwealth Bank of Australia</t>
  </si>
  <si>
    <t>Canara Bank</t>
  </si>
  <si>
    <t>Capital Local Area Bank Ltd</t>
  </si>
  <si>
    <t>Catholic Syrian Bank</t>
  </si>
  <si>
    <t>Central Bank of India</t>
  </si>
  <si>
    <t>Chinatrust Commercial Bank</t>
  </si>
  <si>
    <t>CITI Bank</t>
  </si>
  <si>
    <t>Citizen Credit Cooperative Bank</t>
  </si>
  <si>
    <t>City Union Bank Ltd</t>
  </si>
  <si>
    <t>Corporation Bank</t>
  </si>
  <si>
    <t>Credit Agricole Corporate and Investment Bank</t>
  </si>
  <si>
    <t>Credit Suisse AG</t>
  </si>
  <si>
    <t>DBS Bank Ltd</t>
  </si>
  <si>
    <t>Dena Bank</t>
  </si>
  <si>
    <t>Deutsche Bank</t>
  </si>
  <si>
    <t>Development Credit Bank Ltd</t>
  </si>
  <si>
    <t>Dhanlaxmi Bank Ltd</t>
  </si>
  <si>
    <t>DICGC</t>
  </si>
  <si>
    <t>Dombivli Nagari Sahakari Bank Ltd</t>
  </si>
  <si>
    <t>Firstrand Bank Ltd</t>
  </si>
  <si>
    <t>Gopinath Patil Parsik Janata Sahakari Bank</t>
  </si>
  <si>
    <t>Gurgaon Gramin Bank Ltd</t>
  </si>
  <si>
    <t>HDFC Bank Ltd</t>
  </si>
  <si>
    <t>HSBC</t>
  </si>
  <si>
    <t>HSBC Bank Oman Saog</t>
  </si>
  <si>
    <t>ICICI Bank Ltd</t>
  </si>
  <si>
    <t>IDBI Ltd</t>
  </si>
  <si>
    <t>Indian Bank</t>
  </si>
  <si>
    <t>Indian Overseas Bank</t>
  </si>
  <si>
    <t>Indusind Bank Ltd</t>
  </si>
  <si>
    <t>Industrial and Commercial Bank of China Ltd</t>
  </si>
  <si>
    <t>ING Vysya Bank Ltd</t>
  </si>
  <si>
    <t>Jalgaon Janata Sahkari Bank Ltd</t>
  </si>
  <si>
    <t>Jankalyan Sahakari Bank Ltd</t>
  </si>
  <si>
    <t>Janata Sahakari Bank Ltd (Pune)</t>
  </si>
  <si>
    <t>Janaseva Sahakari Bank Ltd (Pune)</t>
  </si>
  <si>
    <t>Janaseva Sahakari Bank (Borivli) Ltd</t>
  </si>
  <si>
    <t>JP Morgan Chase Bank NA</t>
  </si>
  <si>
    <t>Kallappanna Awade Ich Janata S Bank</t>
  </si>
  <si>
    <t>Kapole Cooperative Bank</t>
  </si>
  <si>
    <t>Karnataka Bank Ltd</t>
  </si>
  <si>
    <t>Karnataka Vikas Grameena Bank</t>
  </si>
  <si>
    <t>Karur Vysya Bank</t>
  </si>
  <si>
    <t>Kotak Mahindra Bank</t>
  </si>
  <si>
    <t>Kurmanchal Nagar Sahkari Bank Ltd</t>
  </si>
  <si>
    <t>Mahanagar Cooperative Bank Ltd</t>
  </si>
  <si>
    <t>Maharastra State Cooperative Bank</t>
  </si>
  <si>
    <t>Mashreq Bank</t>
  </si>
  <si>
    <t>Mizuho Corporate Bank Ltd</t>
  </si>
  <si>
    <t>Mumbai District Central Co-Op Bank Ltd</t>
  </si>
  <si>
    <t>Nagar Urban Co-Operative Bank</t>
  </si>
  <si>
    <t>Nagpur Nagrik Sahakari Bank Ltd</t>
  </si>
  <si>
    <t>National Australia Bank</t>
  </si>
  <si>
    <t>New India Cooperative Ban Ltd</t>
  </si>
  <si>
    <t>NKGSB Cooperative Bank Ltd</t>
  </si>
  <si>
    <t>North Malabar Gramin Bank</t>
  </si>
  <si>
    <t>Nutan Nagarik Sahakari Bank Ltd</t>
  </si>
  <si>
    <t>Oman International Bank</t>
  </si>
  <si>
    <t>Oriental Bank of Commerce</t>
  </si>
  <si>
    <t>Prathama Bank</t>
  </si>
  <si>
    <t>Prime Co-Operative Bank Ltd</t>
  </si>
  <si>
    <t>Punjab and Maharashtra Cooperative Bank Ltd</t>
  </si>
  <si>
    <t>Punjab and Sind Bank</t>
  </si>
  <si>
    <t>Punjab National Bank</t>
  </si>
  <si>
    <t>Rabobank International (CCRB)</t>
  </si>
  <si>
    <t>Rajkot Nagarik Sahakari Bank Ltd</t>
  </si>
  <si>
    <t>Rajgurunagar Sahakari Bank Ltd</t>
  </si>
  <si>
    <t>Reserve Bank of India</t>
  </si>
  <si>
    <t>SBER Bank</t>
  </si>
  <si>
    <t>Shinhan Bank</t>
  </si>
  <si>
    <t>Shri Chhatrapati Rajarshi Shahu Urban Co-Op Bank Ltd</t>
  </si>
  <si>
    <t>Societe Generale</t>
  </si>
  <si>
    <t>Solapur Janata Sahkari Bank Ltd, Solapur</t>
  </si>
  <si>
    <t>South Indian Bank</t>
  </si>
  <si>
    <t>Standard Chartered Bank</t>
  </si>
  <si>
    <t>State Bank of Bikaner and Jaipur</t>
  </si>
  <si>
    <t>State Bank of Hyderabad</t>
  </si>
  <si>
    <t>State Bank of India</t>
  </si>
  <si>
    <t>State Bank of Mauritius Ltd</t>
  </si>
  <si>
    <t>State Bank of Mysore</t>
  </si>
  <si>
    <t>State Bank of Patiala</t>
  </si>
  <si>
    <t>State Bank of Travancore</t>
  </si>
  <si>
    <t>Sumitomo Mitsui Banking Corporation</t>
  </si>
  <si>
    <t>Syndicate Bank</t>
  </si>
  <si>
    <t>Thane Bharat Sahakari Bank Ltd</t>
  </si>
  <si>
    <t>The A.P. Mahesh Co-Op Urban Bank Ltd</t>
  </si>
  <si>
    <t>The Akola Janata Commercial Cooperative Bank</t>
  </si>
  <si>
    <t>The Andhra Pradesh State Coop Bank Ltd</t>
  </si>
  <si>
    <t>The Ahmedabad Merc. Cooperative Bank</t>
  </si>
  <si>
    <t>The Bank of Nova Scotia</t>
  </si>
  <si>
    <t>The Bharat Cooperative Bank Ltd</t>
  </si>
  <si>
    <t>The Cosmos Cooperative Bank Ltd</t>
  </si>
  <si>
    <t>The Delhi State Cooperative Bank Ltd</t>
  </si>
  <si>
    <t>The Federal Bank Ltd</t>
  </si>
  <si>
    <t>The Gadchiroli District Central Cooperative Bank Ltd</t>
  </si>
  <si>
    <t>The Greater Bombay Co-operative Bank Ltd</t>
  </si>
  <si>
    <t>The Gujarat State Co-Operative Bank Ltd</t>
  </si>
  <si>
    <t>The Jalgaon Peoples Co-Op Bank</t>
  </si>
  <si>
    <t>The Jammu and Kashmir Bank</t>
  </si>
  <si>
    <t>The Karad Urban Co-op Bank Ltd</t>
  </si>
  <si>
    <t>The Kalupur Commercial Cooperative Bank</t>
  </si>
  <si>
    <t>The Karnataka State Apex Cooperative Bank Ltd</t>
  </si>
  <si>
    <t>The Kalyan Janata Sahakari Bank Ltd</t>
  </si>
  <si>
    <t>The Kangra Central Cooperative Bank Ltd</t>
  </si>
  <si>
    <t>The Kangra Cooperative Bank Ltd</t>
  </si>
  <si>
    <t>The Lakshmi Vilas Bank</t>
  </si>
  <si>
    <t>The Mehsana Urban Cooperative Bank Ltd</t>
  </si>
  <si>
    <t>The Municipal Co Operative Bank Ltd, Mumbai</t>
  </si>
  <si>
    <t>The Nasik Merchants Co-Op Bank Ltd</t>
  </si>
  <si>
    <t>The Nainital Bank Ltd</t>
  </si>
  <si>
    <t>The Rajasthan State Cooperative Bank Ltd</t>
  </si>
  <si>
    <t>The Ratnakar Bank Ltd</t>
  </si>
  <si>
    <t>The Royal Bank of Scotland N.V.</t>
  </si>
  <si>
    <t>The Saraswat Cooperative Bank Ltd</t>
  </si>
  <si>
    <t>The Sahebrao Deshmukh Co-Op. Bank Ltd</t>
  </si>
  <si>
    <t>The Seva Vikas Co-Operative Bank Ltd (SVB)</t>
  </si>
  <si>
    <t>The Shamrao Vithal Cooperative Bank Ltd</t>
  </si>
  <si>
    <t>The Surat District Co Operative Bank Ltd</t>
  </si>
  <si>
    <t>The Surat Peoples Co-Op Bank Ltd</t>
  </si>
  <si>
    <t>The Sutex Cooperative Bank</t>
  </si>
  <si>
    <t>The Tamilnadu State Apex Cooperative Bank</t>
  </si>
  <si>
    <t>The Thane Janata Sahakari Bank Ltd</t>
  </si>
  <si>
    <t>The Thane District Central Co-Op Bank Ltd</t>
  </si>
  <si>
    <t>The Varachha Co-Op. Bank Ltd</t>
  </si>
  <si>
    <t>The Vishweshwar Sahakari Bank Ltd., Pune</t>
  </si>
  <si>
    <t>The West Bengal State Cooperative Bank Ltd</t>
  </si>
  <si>
    <t>Tumkur Grain Merchants Cooperative Bank Ltd</t>
  </si>
  <si>
    <t>UCO Bank</t>
  </si>
  <si>
    <t>Union Bank of India</t>
  </si>
  <si>
    <t>United Bank of India</t>
  </si>
  <si>
    <t>United Overseas Bank</t>
  </si>
  <si>
    <t>Vasai Vikas Sahakari Bank Ltd</t>
  </si>
  <si>
    <t>Vijaya Bank</t>
  </si>
  <si>
    <t>Westpac Banking Corporation</t>
  </si>
  <si>
    <t>Woori Bank</t>
  </si>
  <si>
    <t>Yes Bank Ltd</t>
  </si>
  <si>
    <t>Zila Sahkari Bank Ltd Ghaziabad</t>
  </si>
  <si>
    <t>Kerala Gramin Bank</t>
  </si>
  <si>
    <t>Pragathi Krishna Gramin Bank</t>
  </si>
  <si>
    <t>The Zoroastrian Cooperative Bank Limited</t>
  </si>
  <si>
    <t>Others</t>
  </si>
  <si>
    <t>Account Status</t>
  </si>
  <si>
    <t>If no entry is made in this column, then columns (2) to (6) will not be considered for that row
(1)</t>
  </si>
  <si>
    <t>(2)</t>
  </si>
  <si>
    <t>(4)</t>
  </si>
  <si>
    <t>(5)</t>
  </si>
  <si>
    <t>(6)</t>
  </si>
  <si>
    <t>Amount of tax against which credit is available [enter (2 – 1) if 2 is greater than 1, otherwise enter 0]</t>
  </si>
  <si>
    <t>ADCB</t>
  </si>
  <si>
    <t>ABHY</t>
  </si>
  <si>
    <t>ADCC</t>
  </si>
  <si>
    <t>ALLA</t>
  </si>
  <si>
    <t>AUCB</t>
  </si>
  <si>
    <t>ANDB</t>
  </si>
  <si>
    <t>APGB</t>
  </si>
  <si>
    <t>ASBL</t>
  </si>
  <si>
    <t>ANZB</t>
  </si>
  <si>
    <t>UTIB</t>
  </si>
  <si>
    <t>BOFA</t>
  </si>
  <si>
    <t>BBKM</t>
  </si>
  <si>
    <t>BARB</t>
  </si>
  <si>
    <t>BCEY</t>
  </si>
  <si>
    <t>BKID</t>
  </si>
  <si>
    <t>IBBK</t>
  </si>
  <si>
    <t>MAHB</t>
  </si>
  <si>
    <t>BOTM</t>
  </si>
  <si>
    <t>BARC</t>
  </si>
  <si>
    <t>BACB</t>
  </si>
  <si>
    <t>BNPA</t>
  </si>
  <si>
    <t>CNRB</t>
  </si>
  <si>
    <t>CLBL</t>
  </si>
  <si>
    <t>CSBK</t>
  </si>
  <si>
    <t>CBIN</t>
  </si>
  <si>
    <t>CTCB</t>
  </si>
  <si>
    <t>CITI</t>
  </si>
  <si>
    <t>CCBL</t>
  </si>
  <si>
    <t>CIUB</t>
  </si>
  <si>
    <t>CORP</t>
  </si>
  <si>
    <t>CRLY</t>
  </si>
  <si>
    <t>CRES</t>
  </si>
  <si>
    <t>DBSS</t>
  </si>
  <si>
    <t>BKDN</t>
  </si>
  <si>
    <t>DEUT</t>
  </si>
  <si>
    <t>DCBL</t>
  </si>
  <si>
    <t>DLXB</t>
  </si>
  <si>
    <t>DICG</t>
  </si>
  <si>
    <t>DNSB</t>
  </si>
  <si>
    <t>FIRN</t>
  </si>
  <si>
    <t>PJSB</t>
  </si>
  <si>
    <t>HDFC</t>
  </si>
  <si>
    <t>ICIC</t>
  </si>
  <si>
    <t>IBKL</t>
  </si>
  <si>
    <t>IDIB</t>
  </si>
  <si>
    <t>IOBA</t>
  </si>
  <si>
    <t>INDB</t>
  </si>
  <si>
    <t>ICBK</t>
  </si>
  <si>
    <t>JJSB</t>
  </si>
  <si>
    <t>JSBL</t>
  </si>
  <si>
    <t>JSBP</t>
  </si>
  <si>
    <t>JANA</t>
  </si>
  <si>
    <t>JASB</t>
  </si>
  <si>
    <t>CHAS</t>
  </si>
  <si>
    <t>KAIJ</t>
  </si>
  <si>
    <t>KARB</t>
  </si>
  <si>
    <t>KVGB</t>
  </si>
  <si>
    <t>KVBL</t>
  </si>
  <si>
    <t>KLGB</t>
  </si>
  <si>
    <t>KKBK</t>
  </si>
  <si>
    <t>KNSB</t>
  </si>
  <si>
    <t>MCBL</t>
  </si>
  <si>
    <t>MSCI</t>
  </si>
  <si>
    <t>MSHQ</t>
  </si>
  <si>
    <t>MHCB</t>
  </si>
  <si>
    <t>MDCB</t>
  </si>
  <si>
    <t>NUCB</t>
  </si>
  <si>
    <t>NGSB</t>
  </si>
  <si>
    <t>NATA</t>
  </si>
  <si>
    <t>NICB</t>
  </si>
  <si>
    <t>NKGS</t>
  </si>
  <si>
    <t>NNSB</t>
  </si>
  <si>
    <t>ORBC</t>
  </si>
  <si>
    <t>PRTH</t>
  </si>
  <si>
    <t>PKGB</t>
  </si>
  <si>
    <t>PMEC</t>
  </si>
  <si>
    <t>PMCB</t>
  </si>
  <si>
    <t>PSIB</t>
  </si>
  <si>
    <t>PUNB</t>
  </si>
  <si>
    <t>RABO</t>
  </si>
  <si>
    <t>RNSB</t>
  </si>
  <si>
    <t>RSBL</t>
  </si>
  <si>
    <t>RBIS</t>
  </si>
  <si>
    <t>SABR</t>
  </si>
  <si>
    <t>SHBK</t>
  </si>
  <si>
    <t>SKSB</t>
  </si>
  <si>
    <t>CRUB</t>
  </si>
  <si>
    <t>SOGE</t>
  </si>
  <si>
    <t>SJSB</t>
  </si>
  <si>
    <t>SIBL</t>
  </si>
  <si>
    <t>SCBL</t>
  </si>
  <si>
    <t>SBIN</t>
  </si>
  <si>
    <t>STCB</t>
  </si>
  <si>
    <t>SMBC</t>
  </si>
  <si>
    <t>SYNB</t>
  </si>
  <si>
    <t>TMBL</t>
  </si>
  <si>
    <t>TBSB</t>
  </si>
  <si>
    <t>APMC</t>
  </si>
  <si>
    <t>AKJB</t>
  </si>
  <si>
    <t>APBL</t>
  </si>
  <si>
    <t>AMCB</t>
  </si>
  <si>
    <t>NOSC</t>
  </si>
  <si>
    <t>BCBM</t>
  </si>
  <si>
    <t>COSB</t>
  </si>
  <si>
    <t>DLSC</t>
  </si>
  <si>
    <t>FDRL</t>
  </si>
  <si>
    <t>GDCB</t>
  </si>
  <si>
    <t>GBCB</t>
  </si>
  <si>
    <t>GSCB</t>
  </si>
  <si>
    <t>JPCB</t>
  </si>
  <si>
    <t>JAKA</t>
  </si>
  <si>
    <t>KUCB</t>
  </si>
  <si>
    <t>KCCB</t>
  </si>
  <si>
    <t>KSCB</t>
  </si>
  <si>
    <t>KJSB</t>
  </si>
  <si>
    <t>KACE</t>
  </si>
  <si>
    <t>KANG</t>
  </si>
  <si>
    <t>LAVB</t>
  </si>
  <si>
    <t>MSNU</t>
  </si>
  <si>
    <t>MUBL</t>
  </si>
  <si>
    <t>NMCB</t>
  </si>
  <si>
    <t>NTBL</t>
  </si>
  <si>
    <t>RSCB</t>
  </si>
  <si>
    <t>RATN</t>
  </si>
  <si>
    <t>SRCB</t>
  </si>
  <si>
    <t>SAHE</t>
  </si>
  <si>
    <t>SVBL</t>
  </si>
  <si>
    <t>SVCB</t>
  </si>
  <si>
    <t>SDCB</t>
  </si>
  <si>
    <t>SPCB</t>
  </si>
  <si>
    <t>SUTB</t>
  </si>
  <si>
    <t>TNSC</t>
  </si>
  <si>
    <t>TJSB</t>
  </si>
  <si>
    <t>TDCB</t>
  </si>
  <si>
    <t>VARA</t>
  </si>
  <si>
    <t>VSBL</t>
  </si>
  <si>
    <t>WBSC</t>
  </si>
  <si>
    <t>ZCBL</t>
  </si>
  <si>
    <t>TGMB</t>
  </si>
  <si>
    <t>UCBA</t>
  </si>
  <si>
    <t>UBIN</t>
  </si>
  <si>
    <t>UTBI</t>
  </si>
  <si>
    <t>UOVB</t>
  </si>
  <si>
    <t>VVSB</t>
  </si>
  <si>
    <t>VIJB</t>
  </si>
  <si>
    <t>WPAC</t>
  </si>
  <si>
    <t>HVBK</t>
  </si>
  <si>
    <t>YESB</t>
  </si>
  <si>
    <t>ZSBL</t>
  </si>
  <si>
    <t>Income taxable and offered in this return</t>
  </si>
  <si>
    <t>G</t>
  </si>
  <si>
    <t>Deduction in the case of an undertaking engaged in operating and maintaining a hospital in any area, other than excluded area [Section 80-IB(11C)</t>
  </si>
  <si>
    <t>Deduction in respect of industrial undertaking located in 
Himachal Pradesh</t>
  </si>
  <si>
    <t xml:space="preserve">Deduction in the case of an undertaking developing and building housing projects
[Section 80-IB(10)]  </t>
  </si>
  <si>
    <t>Previous year in which asset transferred</t>
  </si>
  <si>
    <t xml:space="preserve">Section under which deduction claimed in that year
</t>
  </si>
  <si>
    <t>New asset acquired/constructed</t>
  </si>
  <si>
    <t>Amount not used for new asset or remained unutilized in Capital gains account (X)</t>
  </si>
  <si>
    <t>Year in which asset acquired/constructed</t>
  </si>
  <si>
    <t xml:space="preserve">Amount utilised out of Capital Gains account </t>
  </si>
  <si>
    <t>Whether Tax Residency Certificate obtained?</t>
  </si>
  <si>
    <t>Amount of STCG</t>
  </si>
  <si>
    <t>III</t>
  </si>
  <si>
    <t>Section Amount</t>
  </si>
  <si>
    <t>Total Amount of each section</t>
  </si>
  <si>
    <t>A4e</t>
  </si>
  <si>
    <t>Amount of LTCG</t>
  </si>
  <si>
    <t>B4ie</t>
  </si>
  <si>
    <t>B6ie</t>
  </si>
  <si>
    <t>B6iie</t>
  </si>
  <si>
    <t>B11</t>
  </si>
  <si>
    <t>B6iiie</t>
  </si>
  <si>
    <t>Type Of House Property?</t>
  </si>
  <si>
    <t>Schedules for filing Income Tax Return</t>
  </si>
  <si>
    <t>Details of Personal Information and filing status</t>
  </si>
  <si>
    <t xml:space="preserve">Nature of business or profession, if more than one tradenames please specify upto 3 tradenames </t>
  </si>
  <si>
    <t>Other Information (optional in a case not liable for audit under section 44AB)</t>
  </si>
  <si>
    <t>Quantitative details (optional in a case not liable for audit under section 44AB)</t>
  </si>
  <si>
    <t>Computation of total income</t>
  </si>
  <si>
    <t>Details of Income from House Property</t>
  </si>
  <si>
    <t xml:space="preserve">Depreciation on Plant and Machinery , Depreciation on other assets </t>
  </si>
  <si>
    <t>Summary of depreciation on assets, Deemed Capital Gains on sale of depreciable assets</t>
  </si>
  <si>
    <t>Deduction under section 35</t>
  </si>
  <si>
    <t>Details of Income after set-off of current years losses, Details of Income after Set off of Brought Forward Losses of earlier years</t>
  </si>
  <si>
    <t>Deduction under section 10A, Deduction under section 10AA</t>
  </si>
  <si>
    <t>Deductions under section 80-IA, Deductions under section 80-IB, Deductions under section 80-IC</t>
  </si>
  <si>
    <t>Details of donations entitled for deduction under section 80G</t>
  </si>
  <si>
    <t xml:space="preserve">Details of Tax Deducted at Source from SALARY, Details of Tax Collected at Source </t>
  </si>
  <si>
    <t>Summary of tax relief claimed for taxes paid outside India, Schedule FA Details of foreign assets</t>
  </si>
  <si>
    <t>Asset and Liability at the end of the year (other than those included in Part A – BS)</t>
  </si>
  <si>
    <t>115A(1) (a)(iiac) -Interest as per Sec. 194LBA</t>
  </si>
  <si>
    <t>5A1aiiac - 115A(1) (a)(iiac) -Interest as per Sec. 194LBA</t>
  </si>
  <si>
    <t>5A1aiiac</t>
  </si>
  <si>
    <t>Cannot exceed 2 lacs if not let out</t>
  </si>
  <si>
    <t>Profit and Loss</t>
  </si>
  <si>
    <t>5A1ai - 115A(1)(a)(i) - Dividends in the case of non-residents</t>
  </si>
  <si>
    <t>5A1aii - 115A(1)(a)(ii) - Interest received in the case of non-residents</t>
  </si>
  <si>
    <t>5A1aiia - 115A(1) (a)(iia) - Interest received by non-resident from infrastructure debt fund</t>
  </si>
  <si>
    <t>Check Sheet Filled</t>
  </si>
  <si>
    <t>Sheet count</t>
  </si>
  <si>
    <t>STCG Breakup</t>
  </si>
  <si>
    <t>STCG section Amt</t>
  </si>
  <si>
    <t>LTCG Break Up</t>
  </si>
  <si>
    <t>Bi4e</t>
  </si>
  <si>
    <t>LTCG Section Amount</t>
  </si>
  <si>
    <t>5A1ai-115A(1)(a)(i)-Dividends in the case of non-residents</t>
  </si>
  <si>
    <t>5A1aii-115A(1)(a)(ii)-Interest received in the case of non-residents</t>
  </si>
  <si>
    <t>5A1aiia-115A(1)(a)(iia)-Interest received by non-resident from infrastructure debt fund</t>
  </si>
  <si>
    <t>5A1aiiab-115A(1)(a)(iiab)-Income received by non-resident as referred in section 194LD</t>
  </si>
  <si>
    <t>5A1aiiac-115A(1)(a)(iiac)-Income received by non-resident as referred in section 194LBA</t>
  </si>
  <si>
    <t>5A1aiii-115A(1)(a)(iii)-Income from units purchased in foreign currency in the case of non-residents</t>
  </si>
  <si>
    <t>5A1bA-115A(1)(b)(A)-Income from royalty in case of non-resident in pursuance of an agreement made after 31-03-1976</t>
  </si>
  <si>
    <t>5A1bB-115A(1)(b)(B)-Income from fees for technical services in case of non-resident in pursuance of an agreement made after 31-03-1976</t>
  </si>
  <si>
    <t>5BBA-115BBA-Tax on non-resident sportsmen or sports associations or entertainer</t>
  </si>
  <si>
    <t>5Ea-115E(a)-Investment income of a non-resident Indian</t>
  </si>
  <si>
    <t>OS_Section Breakup</t>
  </si>
  <si>
    <t>OS_DTAA BREAKUP</t>
  </si>
  <si>
    <t>Src Amt</t>
  </si>
  <si>
    <t>Section amt</t>
  </si>
  <si>
    <t>Appropriate Section</t>
  </si>
  <si>
    <t>Block Count</t>
  </si>
  <si>
    <t>Passport No. (Individual) (If available)</t>
  </si>
  <si>
    <t>IFS Code of the Bank</t>
  </si>
  <si>
    <t>Amount deemed to be long-term capital gains</t>
  </si>
  <si>
    <t>Amount deemed to be long-term capital gains, other than at ‘a’</t>
  </si>
  <si>
    <t>Gross Agricultural receipts (other than income to be excluded under rule 7A, 7B or 8 of I.T. Rules)</t>
  </si>
  <si>
    <t>Business loss set off       (2)</t>
  </si>
  <si>
    <t>Income of current year (Fill this column only if figure is zero or positive)                                             (1)</t>
  </si>
  <si>
    <t>PAN of person                      (optional)</t>
  </si>
  <si>
    <t>MAHB0001775</t>
  </si>
  <si>
    <t>MAHB0001863</t>
  </si>
  <si>
    <t>MAHB0001900</t>
  </si>
  <si>
    <t>MAHB0001920</t>
  </si>
  <si>
    <t>MAHB0001922</t>
  </si>
  <si>
    <t>MAHB0001928</t>
  </si>
  <si>
    <t>MAHB0001929</t>
  </si>
  <si>
    <t>MAHB0001930</t>
  </si>
  <si>
    <t>MAHB0001931</t>
  </si>
  <si>
    <t>NKGS0000094</t>
  </si>
  <si>
    <t>NKGS0000095</t>
  </si>
  <si>
    <t>NKGS0000096</t>
  </si>
  <si>
    <t>ORBC0102104</t>
  </si>
  <si>
    <t>ORBC0102105</t>
  </si>
  <si>
    <t>ORBC0102106</t>
  </si>
  <si>
    <t>ORBC0102107</t>
  </si>
  <si>
    <t>ORBC0102108</t>
  </si>
  <si>
    <t>ORBC0102109</t>
  </si>
  <si>
    <t>ORBC0102110</t>
  </si>
  <si>
    <t>ORBC0102111</t>
  </si>
  <si>
    <t>ORBC0102112</t>
  </si>
  <si>
    <t>ORBC0102113</t>
  </si>
  <si>
    <t>ORBC0102114</t>
  </si>
  <si>
    <t>ORBC0102115</t>
  </si>
  <si>
    <t>ORBC0102116</t>
  </si>
  <si>
    <t>ORBC0102117</t>
  </si>
  <si>
    <t>ORBC0102118</t>
  </si>
  <si>
    <t>ORBC0102119</t>
  </si>
  <si>
    <t>ORBC0102120</t>
  </si>
  <si>
    <t>ORBC0102121</t>
  </si>
  <si>
    <t>ORBC0102122</t>
  </si>
  <si>
    <t>ORBC0102123</t>
  </si>
  <si>
    <t>ORBC0102124</t>
  </si>
  <si>
    <t>ORBC0102125</t>
  </si>
  <si>
    <t>SBIN0016947</t>
  </si>
  <si>
    <t>BCBM0000067</t>
  </si>
  <si>
    <t>BCBM0000068</t>
  </si>
  <si>
    <t>BCBM0000069</t>
  </si>
  <si>
    <t>DOHB</t>
  </si>
  <si>
    <t>EIBI</t>
  </si>
  <si>
    <t>HashKey</t>
  </si>
  <si>
    <t>HAshIteration</t>
  </si>
  <si>
    <t>Short-term capital gains taxable at applicable rates. Enter value from item 5viii of schedule BFLA, if any.</t>
  </si>
  <si>
    <t>Short-term capital gains taxable at the rate of 30%. Enter value from item 5vii of schedule BFLA, if any.</t>
  </si>
  <si>
    <t>Short-term capital gains taxable at the rate of 15%. Enter value from item 5vi of schedule BFLA, if any.</t>
  </si>
  <si>
    <t>DTAAOS</t>
  </si>
  <si>
    <t xml:space="preserve">5AD1iP-115AD(1)(i)-Income received by an FII in respect of bonds or government securities referred to in section 194LD </t>
  </si>
  <si>
    <t>Deduction claimed u/s 35AD as reduced by the amount of depreciation on assets on which such deduction is claimed</t>
  </si>
  <si>
    <t>Current AY (enter 1 -2, if 1&gt;2 else enter 0</t>
  </si>
  <si>
    <t>Tax Payments</t>
  </si>
  <si>
    <t>Tax Payments(TDS1, TDS2, TDS3)</t>
  </si>
  <si>
    <t>Total Adjustment (2a+ 2b+2c)</t>
  </si>
  <si>
    <t>Adjusted Total Income under section 115JC(1) (1+2d)</t>
  </si>
  <si>
    <t>Details of Salary</t>
  </si>
  <si>
    <t>Is empty</t>
  </si>
  <si>
    <t xml:space="preserve">Do you at any time during the previous year,-
(i) hold, as beneficial owner, beneficiary or otherwise, any asset (including financial interest in any entity) located outside India; or
(ii) have signing authority in any account located outside India; or
(iii) have income from any source outside India? 
[applicable only in case of a resident]        [Ensure Schedule FA is filled up if the answer is Yes ]
</t>
  </si>
  <si>
    <t>Max_Amount</t>
  </si>
  <si>
    <t xml:space="preserve"> Unclaimed TDS 
brought forward (b/f) </t>
  </si>
  <si>
    <t>Unclaimed TDS
brought forward (b/f)</t>
  </si>
  <si>
    <t>I further declare that the critical assumptions specified in the agreement have been satisfied and all the terms and conditions of the agreement have been complied with.</t>
  </si>
  <si>
    <t>Total number of savings and current bank accounts held by you at any time during the previous year (excluding dormant accounts). Provide the details below.</t>
  </si>
  <si>
    <t>Amount deemed to be short-term capital gains</t>
  </si>
  <si>
    <t>Schedule FA</t>
  </si>
  <si>
    <t>Schedule TR</t>
  </si>
  <si>
    <t xml:space="preserve">Details of Foreign Assets and Income from any source outside India </t>
  </si>
  <si>
    <t>Details of any other income derived from any source outside India which is not included in,- (i) items A to F above and, (ii) income under the head business or profession</t>
  </si>
  <si>
    <t>Please refer to instructions for filling out this schedule. In case of an individual, not being an Indian citizen, who is in India on a business, employment or student visa, an asset acquired during any previous year in which he was non-resident is not mandatory to be reported in this schedule if no income is derived from that asset during the current previous year.</t>
  </si>
  <si>
    <t>B5c</t>
  </si>
  <si>
    <t>SI Table to XML</t>
  </si>
  <si>
    <t>Unclaimed TCS brought forward (b/f)</t>
  </si>
  <si>
    <t>Fin. Year in which collected
( 4 )</t>
  </si>
  <si>
    <t xml:space="preserve">How to use this Excel Utility </t>
  </si>
  <si>
    <t>Structure of the ITR utility</t>
  </si>
  <si>
    <t xml:space="preserve">Filing and Using the Excel utility </t>
  </si>
  <si>
    <t>Navigation</t>
  </si>
  <si>
    <t>Calculate Tax</t>
  </si>
  <si>
    <t>How to submit an ITR using Excel utility?</t>
  </si>
  <si>
    <t>Overview :</t>
  </si>
  <si>
    <t>Navigate to each schedule applicable and fill the data.</t>
  </si>
  <si>
    <t>Click on the 'Validate' Button on each filled sheet .Correct errors (if any) identified by the validate feature.</t>
  </si>
  <si>
    <t>Click on Calculate Tax</t>
  </si>
  <si>
    <t>Before you begin :</t>
  </si>
  <si>
    <t>Read the instructions for filling up the form available in the following website:  http://www.incometaxindia.gov.in</t>
  </si>
  <si>
    <t xml:space="preserve">The ITR Utility is an Excel Workbook that consists of a number of individual, integrated worksheets. Each of the sheets contains one or more schedules for data entry. Initially, all the sheets are visible to the user. A number of these sheets are optional. The user can decide which sheets are applicable to their case and accordingly select Y or N to hide or show the sheets. Similarly , by selecting the sheets which the user needs for printing, it is possible to control how many sheets should be printed (in case all sheets are not required to be printed). Later on, these settings can always be changed.      </t>
  </si>
  <si>
    <t>Structure of the ITR utility :</t>
  </si>
  <si>
    <t xml:space="preserve">Various sheets and schedules per sheet form part of the Utility.Each sheet includes a number of distinct, titled sections/schedules. </t>
  </si>
  <si>
    <t>Filing and Using the Excel utility :</t>
  </si>
  <si>
    <t>Every section/schedule is color coded to facilitate the user. The different types of cells in the sheets are as follows:</t>
  </si>
  <si>
    <t>a) The mandatory fields are marked in red. The data entered will have a  green background color (Certain fields are mandatory under specific conditions only).</t>
  </si>
  <si>
    <t xml:space="preserve">b) Data entry cells for optional/non-mandatory fields have a black font and a green background color. </t>
  </si>
  <si>
    <t xml:space="preserve">c) Fields whose values are autocalculated /autopopulated by the utility  have a blue font and a white background color. Linked fields, where no data entry is done by the user, but a value is picked up from an existing cell elsewhere in the sheet, these have  a blue font for the labels and a white background.      </t>
  </si>
  <si>
    <t>All amounts are in Indian Rupee.</t>
  </si>
  <si>
    <t>All date fields must be entered in dd/mm/yyyy format.</t>
  </si>
  <si>
    <t>For percentage fields, only enter the the value upto two decimal places. (percentage symbol is not required).</t>
  </si>
  <si>
    <t>Validate the filled sheet using the 'Validate' button. Correct errors (if any) identified by the validate feature.</t>
  </si>
  <si>
    <t xml:space="preserve">There are two navigation buttons in the utility : 'Next' and 'Previous'. The user can navigate between the sheets by either clicking on next or previous buttons as required.    </t>
  </si>
  <si>
    <t xml:space="preserve">For the Tax to be computed the user must click on the 'Calculate Tax' button after filling the necessary details in applicable schedules. </t>
  </si>
  <si>
    <t>Verify all the information entered in the ITR Utility.</t>
  </si>
  <si>
    <t xml:space="preserve">Printing : </t>
  </si>
  <si>
    <t>The print button in the utility provides an option to print  after previewing.</t>
  </si>
  <si>
    <t>Importing :</t>
  </si>
  <si>
    <t>a) Import Previous Version</t>
  </si>
  <si>
    <t xml:space="preserve">If the user has a filled ITR in a previous version, the user can import the data from the previous version to the current version.To import click on the  'Import Previous Version' button in the utility and browse the path of the previous version of  filled ITR. </t>
  </si>
  <si>
    <t>b) Import Personal and Tax Details</t>
  </si>
  <si>
    <t>The user can  import the personal and Tax details into ITR1 excel utility by following the given steps.</t>
  </si>
  <si>
    <t>Step 1 : Login into the e-Filing portal using valid login credentials.</t>
  </si>
  <si>
    <t>1.Download the ITR preparation utility for the assessment year under 'Downloads'.</t>
  </si>
  <si>
    <t>3. Login to e-Filing portal (https://incometaxindiaefiling.gov.in) and go to e-File --&gt; Upload Return.</t>
  </si>
  <si>
    <t>5.Upload Digital Signature Certificate(DSC) if applicable. Please ensure the DSC is registered with e-Filing.</t>
  </si>
  <si>
    <t>6.Click on 'SUBMIT' button.</t>
  </si>
  <si>
    <t>7.On successful submission, ITR-V/Acknowledgement would be displayed. Click on the link and download the ITR-V/Acknowledgement.</t>
  </si>
  <si>
    <t xml:space="preserve">    On successful submission, ITR-V/Acknowledgement would be displayed. Click on the link and download the ITR-V/Acknowledgement.</t>
  </si>
  <si>
    <t xml:space="preserve">    If ITR is uploaded with DSC, the Return Filing process is complete. The return will be further processed and the Assessee will be notified accordingly. Please check your emails on these notifications.</t>
  </si>
  <si>
    <t>If ITR is uploaded with DSC, the Return Filing process is complete. The return will be further processed and the Assessee will be notified accordingly. Please check your emails on these notifications.</t>
  </si>
  <si>
    <t>FIRMS IN WHICH PARTNER</t>
  </si>
  <si>
    <t>Date of its acquisition/ construction</t>
  </si>
  <si>
    <t>b. Other Bank account details</t>
  </si>
  <si>
    <t>For NON-RESIDENT, not being an FII- from sale of shares or debentures of an Indian company (to be computed with foreign exchange adjustment under first proviso to section 48)</t>
  </si>
  <si>
    <t>For NON-RESIDENTS- from sale of securities (other than those at A3 above) by an FII as per section 115AD</t>
  </si>
  <si>
    <t>44AB</t>
  </si>
  <si>
    <t xml:space="preserve"> (Note: If no entry is made in first row then other rows will not be considered)</t>
  </si>
  <si>
    <t>Part B - TI TTI</t>
  </si>
  <si>
    <t>Equity Shares, including share application money</t>
  </si>
  <si>
    <t>Total (ai + iiC)</t>
  </si>
  <si>
    <t>Date of Deposit
(DD/MM/YYYY)</t>
  </si>
  <si>
    <t>Name of Employer</t>
  </si>
  <si>
    <t>18A</t>
  </si>
  <si>
    <t>Total exempt income (5a+5b+5c)</t>
  </si>
  <si>
    <t>Bank (including all deposits)</t>
  </si>
  <si>
    <t>Long-term capital gains from transactions on which Securities Transaction Tax is paid</t>
  </si>
  <si>
    <t>Total (ci + cii + ciii)</t>
  </si>
  <si>
    <t>Head of Income
(a)</t>
  </si>
  <si>
    <t>Income from outside India  (included in PART B-TI) 
(b)</t>
  </si>
  <si>
    <t>Tax paid outside India
(c)</t>
  </si>
  <si>
    <t>Tax payable on such income under normal provisions in India
(d)</t>
  </si>
  <si>
    <t>Tax relief available in India
(e=lower of c and d)
(e )</t>
  </si>
  <si>
    <t>Relevant article of DTAA if relief claimed u/s 90 or 90A
(f)</t>
  </si>
  <si>
    <t>Details of Tax relief claimed</t>
  </si>
  <si>
    <t>Business Loss
(other than speculation
loss or specified business loss) of the current year
set off</t>
  </si>
  <si>
    <t>Amounts debited to the profit and loss account, to the extent disallowable under section 36 due to non-fulfilment of conditions specified in relevant clauses:-</t>
  </si>
  <si>
    <t>Premium paid for insurance against risk of damage or destruction of stocks or store [36(1)(i)]</t>
  </si>
  <si>
    <t>Premium paid for insurance on the health of employees [36(1)(ib)]</t>
  </si>
  <si>
    <t>Any sum paid to an employee as bonus or commission for services rendered, where such sum was otherwise payable to him as profits or dividend. [36(1)(ii)]</t>
  </si>
  <si>
    <t>Any amount of interest paid in respect of borrowed capital [36(1)(iii)]</t>
  </si>
  <si>
    <t>Amount of discount on a zero-coupon bond [36(1)(iiia)]</t>
  </si>
  <si>
    <t>Amount of contributions to a recognised provident fund [36(1)(iv)]</t>
  </si>
  <si>
    <t>Amount of contributions to an approved superannuation fund [36(1)(iv)]</t>
  </si>
  <si>
    <t>Amount of contributions to an approved gratuity [36(1)(v)]</t>
  </si>
  <si>
    <t xml:space="preserve">Amount of contributions to any other fund </t>
  </si>
  <si>
    <t>Amount of bad and doubtful debts [36(1)(vii)]</t>
  </si>
  <si>
    <t>Provision for bad and doubtful debts [36(1)(viia)]</t>
  </si>
  <si>
    <t>Amount transferred to any special reserve [36(1)(viii)]</t>
  </si>
  <si>
    <t>Expenditure for the purposes of promoting family planning amongst employees [36(1)(ix)]</t>
  </si>
  <si>
    <t>Expenditure of personal nature [37(1)]</t>
  </si>
  <si>
    <t>Expenditure on advertisement in any souvenir, brochure, tract, pamphlet or the like, published by a political party [37(2B)]</t>
  </si>
  <si>
    <t xml:space="preserve">Expenditure by way of penalty or fine for violation of any law for the time being in force </t>
  </si>
  <si>
    <t>Any other penalty or fine</t>
  </si>
  <si>
    <t>Income from other Sources</t>
  </si>
  <si>
    <t>TOTAL ELIGIBLE AMOUNT OF DONATIONS (AIII + BIII + CIII + DIII)</t>
  </si>
  <si>
    <t>Depreciation on Plant and Machinery (Other than assets on which full capital expenditure is allowable as deduction under any other section)</t>
  </si>
  <si>
    <t>Assessment Year Assessment year in which unit begins to manufacture/produce</t>
  </si>
  <si>
    <t>Summary of depreciation on assets (Other than assets on which full capital expenditure is allowable as deduction under any other section)</t>
  </si>
  <si>
    <t>Total amount of LTCG not chargeable to tax as per DTAA</t>
  </si>
  <si>
    <t>Total amount of STCG not chargeable to tax as per DTAA</t>
  </si>
  <si>
    <t>Method of valuation of closing stock employed in the previous year</t>
  </si>
  <si>
    <t>NKGS0000097</t>
  </si>
  <si>
    <t>NKGS0000104</t>
  </si>
  <si>
    <t>ORBC0102126</t>
  </si>
  <si>
    <t>ORBC0102127</t>
  </si>
  <si>
    <t>ORBC0102128</t>
  </si>
  <si>
    <t>ORBC0102129</t>
  </si>
  <si>
    <t>ORBC0102130</t>
  </si>
  <si>
    <t>ORBC0102131</t>
  </si>
  <si>
    <t>ORBC0102132</t>
  </si>
  <si>
    <t>SBIN0016162</t>
  </si>
  <si>
    <t>BCBM0000070</t>
  </si>
  <si>
    <t>BCBM0000071</t>
  </si>
  <si>
    <t>HCBL</t>
  </si>
  <si>
    <t>56(2)(i)-Dividend</t>
  </si>
  <si>
    <t>56(2)-Interest</t>
  </si>
  <si>
    <t>Dtaa(1a)</t>
  </si>
  <si>
    <t>Dtaa(1b)</t>
  </si>
  <si>
    <t>Section Value Check</t>
  </si>
  <si>
    <t>ExSAT</t>
  </si>
  <si>
    <t>Todays Date</t>
  </si>
  <si>
    <t>92EO</t>
  </si>
  <si>
    <t>Sch IF-Audit</t>
  </si>
  <si>
    <t>MAHB0001935</t>
  </si>
  <si>
    <t>MAHB0001936</t>
  </si>
  <si>
    <t>MAHB0001937</t>
  </si>
  <si>
    <t>MAHB0001938</t>
  </si>
  <si>
    <t>MAHB0001939</t>
  </si>
  <si>
    <t>MAHB0001942</t>
  </si>
  <si>
    <t>MAHB0001943</t>
  </si>
  <si>
    <t>MAHB0001944</t>
  </si>
  <si>
    <t>MAHB0001945</t>
  </si>
  <si>
    <t>MAHB0001946</t>
  </si>
  <si>
    <t>MAHB0001947</t>
  </si>
  <si>
    <t>MAHB0001950</t>
  </si>
  <si>
    <t>MAHB0001951</t>
  </si>
  <si>
    <t>MAHB0001952</t>
  </si>
  <si>
    <t>MAHB0001953</t>
  </si>
  <si>
    <t>BACB0000041</t>
  </si>
  <si>
    <t>BACB0000042</t>
  </si>
  <si>
    <t>BACB0000043</t>
  </si>
  <si>
    <t>BACB0000044</t>
  </si>
  <si>
    <t>BACB0000045</t>
  </si>
  <si>
    <t>BACB0000046</t>
  </si>
  <si>
    <t>AMCB0660034</t>
  </si>
  <si>
    <t>BCBM0000072</t>
  </si>
  <si>
    <t>BCBM0000073</t>
  </si>
  <si>
    <t>BCBM0000074</t>
  </si>
  <si>
    <t>BCBM0000075</t>
  </si>
  <si>
    <t>BCBM0000076</t>
  </si>
  <si>
    <t>BCBM0000077</t>
  </si>
  <si>
    <t>BCBM0000078</t>
  </si>
  <si>
    <t>BCBM0000079</t>
  </si>
  <si>
    <t>BCBM0000080</t>
  </si>
  <si>
    <t>BCBM0000081</t>
  </si>
  <si>
    <t>BCBM0000082</t>
  </si>
  <si>
    <t>BCBM0000083</t>
  </si>
  <si>
    <t>BCBM0000084</t>
  </si>
  <si>
    <t>BCBM0000085</t>
  </si>
  <si>
    <t>BCBM0000086</t>
  </si>
  <si>
    <t>BCBM0000087</t>
  </si>
  <si>
    <t>NKGS0000107</t>
  </si>
  <si>
    <t>NNSB0128021</t>
  </si>
  <si>
    <t>NNSB0128041</t>
  </si>
  <si>
    <t>ORBC0102133</t>
  </si>
  <si>
    <t>ORBC0102134</t>
  </si>
  <si>
    <t>ORBC0102135</t>
  </si>
  <si>
    <t>ORBC0102136</t>
  </si>
  <si>
    <t>ORBC0102137</t>
  </si>
  <si>
    <t>ORBC0102138</t>
  </si>
  <si>
    <t>ORBC0102139</t>
  </si>
  <si>
    <t>ORBC0102140</t>
  </si>
  <si>
    <t>ORBC0102141</t>
  </si>
  <si>
    <t>ORBC0102142</t>
  </si>
  <si>
    <t>ORBC0102143</t>
  </si>
  <si>
    <t>ORBC0102144</t>
  </si>
  <si>
    <t>ORBC0102145</t>
  </si>
  <si>
    <t>ORBC0102146</t>
  </si>
  <si>
    <t>ORBC0102147</t>
  </si>
  <si>
    <t>ORBC0102148</t>
  </si>
  <si>
    <t>ORBC0102149</t>
  </si>
  <si>
    <t>ORBC0102150</t>
  </si>
  <si>
    <t>ORBC0102151</t>
  </si>
  <si>
    <t>ORBC0102152</t>
  </si>
  <si>
    <t>ORBC0102153</t>
  </si>
  <si>
    <t>ORBC0102154</t>
  </si>
  <si>
    <t>ORBC0102155</t>
  </si>
  <si>
    <t>ORBC0102156</t>
  </si>
  <si>
    <t>ORBC0102157</t>
  </si>
  <si>
    <t>ORBC0102158</t>
  </si>
  <si>
    <t>ORBC0102159</t>
  </si>
  <si>
    <t>ORBC0102160</t>
  </si>
  <si>
    <t>ORBC0102161</t>
  </si>
  <si>
    <t>ORBC0102162</t>
  </si>
  <si>
    <t>ORBC0102163</t>
  </si>
  <si>
    <t>ORBC0102164</t>
  </si>
  <si>
    <t>ORBC0102165</t>
  </si>
  <si>
    <t>ORBC0102166</t>
  </si>
  <si>
    <t>ORBC0102167</t>
  </si>
  <si>
    <t>ORBC0102168</t>
  </si>
  <si>
    <t>ORBC0102169</t>
  </si>
  <si>
    <t>ORBC0102170</t>
  </si>
  <si>
    <t>ORBC0102171</t>
  </si>
  <si>
    <t>ORBC0102172</t>
  </si>
  <si>
    <t>ORBC0102173</t>
  </si>
  <si>
    <t>ORBC0102174</t>
  </si>
  <si>
    <t>ORBC0102175</t>
  </si>
  <si>
    <t>ORBC0102176</t>
  </si>
  <si>
    <t>ORBC0102177</t>
  </si>
  <si>
    <t>ORBC0102178</t>
  </si>
  <si>
    <t>ORBC0102179</t>
  </si>
  <si>
    <t>ORBC0102180</t>
  </si>
  <si>
    <t>ORBC0102181</t>
  </si>
  <si>
    <t>ORBC0102182</t>
  </si>
  <si>
    <t>ORBC0102183</t>
  </si>
  <si>
    <t>ORBC0102184</t>
  </si>
  <si>
    <t>ORBC0102185</t>
  </si>
  <si>
    <t>ORBC0102186</t>
  </si>
  <si>
    <t>ORBC0102187</t>
  </si>
  <si>
    <t>ORBC0102188</t>
  </si>
  <si>
    <t>ORBC0102189</t>
  </si>
  <si>
    <t>ORBC0102190</t>
  </si>
  <si>
    <t>ORBC0102191</t>
  </si>
  <si>
    <t>ORBC0102192</t>
  </si>
  <si>
    <t>ORBC0102193</t>
  </si>
  <si>
    <t>ORBC0102194</t>
  </si>
  <si>
    <t>ORBC0102195</t>
  </si>
  <si>
    <t>ORBC0102196</t>
  </si>
  <si>
    <t>ORBC0102197</t>
  </si>
  <si>
    <t>ORBC0102198</t>
  </si>
  <si>
    <t>ORBC0102199</t>
  </si>
  <si>
    <t>ORBC0102200</t>
  </si>
  <si>
    <t>ORBC0102201</t>
  </si>
  <si>
    <t>ORBC0102202</t>
  </si>
  <si>
    <t>ORBC0102203</t>
  </si>
  <si>
    <t>ORBC0102204</t>
  </si>
  <si>
    <t>ORBC0102205</t>
  </si>
  <si>
    <t>ORBC0102206</t>
  </si>
  <si>
    <t>ORBC0102207</t>
  </si>
  <si>
    <t>ORBC0102208</t>
  </si>
  <si>
    <t>ORBC0102209</t>
  </si>
  <si>
    <t>ORBC0102210</t>
  </si>
  <si>
    <t>ORBC0102211</t>
  </si>
  <si>
    <t>ORBC0102212</t>
  </si>
  <si>
    <t>ORBC0102213</t>
  </si>
  <si>
    <t>ORBC0102214</t>
  </si>
  <si>
    <t>ORBC0102215</t>
  </si>
  <si>
    <t>ORBC0102216</t>
  </si>
  <si>
    <t>ORBC0102217</t>
  </si>
  <si>
    <t>ORBC0102218</t>
  </si>
  <si>
    <t>ORBC0102219</t>
  </si>
  <si>
    <t>ORBC0102220</t>
  </si>
  <si>
    <t>ORBC0102221</t>
  </si>
  <si>
    <t>ORBC0102222</t>
  </si>
  <si>
    <t>ORBC0102223</t>
  </si>
  <si>
    <t>ORBC0102224</t>
  </si>
  <si>
    <t>ORBC0102225</t>
  </si>
  <si>
    <t>SBIN0016936</t>
  </si>
  <si>
    <t>SURAT NATIONAL COOPERATIVE BANK LIMITED</t>
  </si>
  <si>
    <t>BANDHAN BANK LIMITED</t>
  </si>
  <si>
    <t>INDUSTRIAL BANK OF KOREA</t>
  </si>
  <si>
    <t>SUNB</t>
  </si>
  <si>
    <t>BDBL</t>
  </si>
  <si>
    <t>IBKO</t>
  </si>
  <si>
    <t>IDFB</t>
  </si>
  <si>
    <t>NBAD</t>
  </si>
  <si>
    <t>2016-17</t>
  </si>
  <si>
    <t>Note</t>
  </si>
  <si>
    <t>ExSat</t>
  </si>
  <si>
    <t>SelfAssesment</t>
  </si>
  <si>
    <t>AdvanceTax</t>
  </si>
  <si>
    <t>Normal</t>
  </si>
  <si>
    <t>TN</t>
  </si>
  <si>
    <t>MAHB0001954</t>
  </si>
  <si>
    <t>BCBM0000088</t>
  </si>
  <si>
    <t>NKGS0000108</t>
  </si>
  <si>
    <t>KOEX</t>
  </si>
  <si>
    <t>PUCB</t>
  </si>
  <si>
    <t>Schedule PTI</t>
  </si>
  <si>
    <t>Pass Through Income details from business trust or investment fund as per section 115UA, 115UB</t>
  </si>
  <si>
    <t>Income claimed to be exempt</t>
  </si>
  <si>
    <t xml:space="preserve">u/s </t>
  </si>
  <si>
    <t>10(23FBB)</t>
  </si>
  <si>
    <t>Please refer to the instructions for filling out this schedule.</t>
  </si>
  <si>
    <t>Schedule ICDS</t>
  </si>
  <si>
    <t>Effect of Income Computation Disclosure Standards on profit</t>
  </si>
  <si>
    <t>Sl. No.</t>
  </si>
  <si>
    <t>ICDS</t>
  </si>
  <si>
    <t>(i)</t>
  </si>
  <si>
    <t>(ii)</t>
  </si>
  <si>
    <t>(iii)</t>
  </si>
  <si>
    <t>Accounting Policies</t>
  </si>
  <si>
    <t>II</t>
  </si>
  <si>
    <t>Construction Contracts</t>
  </si>
  <si>
    <t>IV</t>
  </si>
  <si>
    <t>Revenue Recognition</t>
  </si>
  <si>
    <t>V</t>
  </si>
  <si>
    <t>Tangible Fixed Assets</t>
  </si>
  <si>
    <t>VI</t>
  </si>
  <si>
    <t>Changes in Foreign Exchange Rates</t>
  </si>
  <si>
    <t>VII</t>
  </si>
  <si>
    <t>Government Grants</t>
  </si>
  <si>
    <t>VIII</t>
  </si>
  <si>
    <t>IX</t>
  </si>
  <si>
    <t>Borrowing Costs</t>
  </si>
  <si>
    <t>X</t>
  </si>
  <si>
    <t>Provisions, Contingent Liabilities and Contingent Assets</t>
  </si>
  <si>
    <t xml:space="preserve">Deduction allowable under section 32AD </t>
  </si>
  <si>
    <t>31a</t>
  </si>
  <si>
    <t>31b</t>
  </si>
  <si>
    <t>31c</t>
  </si>
  <si>
    <t>Excess amount allowable as deduction (31b – 31a)</t>
  </si>
  <si>
    <t>fi</t>
  </si>
  <si>
    <t>fii</t>
  </si>
  <si>
    <t>fiii</t>
  </si>
  <si>
    <t>A6g</t>
  </si>
  <si>
    <t>STCG on assets other than at A1 or A2 or A3 or A4 or A5 above (6c + 6d + 6e-6f)</t>
  </si>
  <si>
    <t>Asset and Liability at the end of the year (other than those included in Part A – BS) (Applicable in a case where total income exceeds Rs. 50 lakh)</t>
  </si>
  <si>
    <t>PTI</t>
  </si>
  <si>
    <t>From sale of, (i) listed securities (other than a unit) or zero coupon bonds where proviso under section 112(1) is applicable</t>
  </si>
  <si>
    <t>Item no. A1 to A7 above in which included</t>
  </si>
  <si>
    <t>Loss to be setoff -&gt;</t>
  </si>
  <si>
    <t>Total loss
(2v of item E of Schedule BP)</t>
  </si>
  <si>
    <t>Amount of tax or rate levied or assessed on the basis of profits [40(a)(ii)]</t>
  </si>
  <si>
    <t>Amount paid as wealth tax [40(a)(iia)]</t>
  </si>
  <si>
    <t>Provision for payment of gratuity [40A(7)]</t>
  </si>
  <si>
    <t>Purchase during the previous year</t>
  </si>
  <si>
    <t>Consumption during the previous year</t>
  </si>
  <si>
    <t>Sales during the previous year</t>
  </si>
  <si>
    <t>(C) In the case of a manufacturing concern -Finished Products/By-products</t>
  </si>
  <si>
    <t>Percentage
Share in the
profit of the firm</t>
  </si>
  <si>
    <t>Total tax relief available
(total of (e) of Schedule FSI in
respect of each country)
(d)</t>
  </si>
  <si>
    <t>Total taxes paid outside India
(total of (c) of Schedule FSI in
respect of each country)
 (c)</t>
  </si>
  <si>
    <t>Section under which
relief claimed
(specify 90, 90A or 91)
(e)</t>
  </si>
  <si>
    <t>SBLS</t>
  </si>
  <si>
    <t>SMCB</t>
  </si>
  <si>
    <t>BACB0000047</t>
  </si>
  <si>
    <t>BACB0000048</t>
  </si>
  <si>
    <t>BACB0000049</t>
  </si>
  <si>
    <t>BACB0000050</t>
  </si>
  <si>
    <t>NKGS0000109</t>
  </si>
  <si>
    <t>NKGS0000110</t>
  </si>
  <si>
    <t>NKGS0000111</t>
  </si>
  <si>
    <t>NKGS0000112</t>
  </si>
  <si>
    <t>NKGS0000113</t>
  </si>
  <si>
    <t>NNSB0128022</t>
  </si>
  <si>
    <t>SBIN0015964</t>
  </si>
  <si>
    <t>SBIN0016931</t>
  </si>
  <si>
    <t>BCBM0000089</t>
  </si>
  <si>
    <t>BCBM0000090</t>
  </si>
  <si>
    <t>BCBM0000091</t>
  </si>
  <si>
    <t>2001-02</t>
  </si>
  <si>
    <t>MAHB0001955</t>
  </si>
  <si>
    <t>BCBM0000092</t>
  </si>
  <si>
    <t>BCBM0000093</t>
  </si>
  <si>
    <t>BCBM0000094</t>
  </si>
  <si>
    <t>BCBM0000095</t>
  </si>
  <si>
    <t>BCBM0000096</t>
  </si>
  <si>
    <t>BCBM0000097</t>
  </si>
  <si>
    <t>BCBM0000098</t>
  </si>
  <si>
    <t>BCBM0000099</t>
  </si>
  <si>
    <t>BCBM0000100</t>
  </si>
  <si>
    <t>BCBM0000101</t>
  </si>
  <si>
    <t>DEOGIRI NAGARI SAHAKARI BANK LTD. AURANGABAD</t>
  </si>
  <si>
    <t>HIMACHAL PRADESH STATE COOPERATIVE BANK LTD</t>
  </si>
  <si>
    <t>DEOB</t>
  </si>
  <si>
    <t>HPSC</t>
  </si>
  <si>
    <t>ExSat1</t>
  </si>
  <si>
    <t>Condn 1</t>
  </si>
  <si>
    <t>Condn 2</t>
  </si>
  <si>
    <t>Condn 3</t>
  </si>
  <si>
    <t>Condn 4</t>
  </si>
  <si>
    <t>Condn 5</t>
  </si>
  <si>
    <t>Condn 6</t>
  </si>
  <si>
    <t>Total amount disallowable under section 40(total of Aa to Ai)</t>
  </si>
  <si>
    <t>8Aj</t>
  </si>
  <si>
    <t>Ai</t>
  </si>
  <si>
    <t>Any sum payable to the Indian Railways for the use of railway assets</t>
  </si>
  <si>
    <t>SUMIF(FormulaOfExSAT1,"=B",IT.Amt)</t>
  </si>
  <si>
    <t>SUMIF(FormulaOfExSAT,"=A",IT.Amt)</t>
  </si>
  <si>
    <t>Amounts debited to the profit and loss account, to the extent disallowable under section 40 (8Aj of Part-OI)</t>
  </si>
  <si>
    <t>54EE</t>
  </si>
  <si>
    <t>Deduction u/s 54EE (Specify details in item D below)</t>
  </si>
  <si>
    <t>Deduction under sections 54EE (Specify details in item D below)</t>
  </si>
  <si>
    <t>Deduction under sections 54EE(Specify details in item D below)</t>
  </si>
  <si>
    <t>Upto 15/6
(i)</t>
  </si>
  <si>
    <t>16/6 to 15/9
(ii)</t>
  </si>
  <si>
    <t>16/9 to 15/12
(iii)</t>
  </si>
  <si>
    <t>16/12 to 15/3
(iv)</t>
  </si>
  <si>
    <t>16/3 to 31/3
(v)</t>
  </si>
  <si>
    <t>5BBF - 115BBF - Tax on income from patent</t>
  </si>
  <si>
    <t>5BBDA</t>
  </si>
  <si>
    <t>5BBF</t>
  </si>
  <si>
    <t>2017-18</t>
  </si>
  <si>
    <t>y</t>
  </si>
  <si>
    <t xml:space="preserve">Balance AMT Credit
Carried Forward
(D) = (B3) – (C)
</t>
  </si>
  <si>
    <t>Calculation of Surcharge: ( Not Working)</t>
  </si>
  <si>
    <t>totalUpto15Of6</t>
  </si>
  <si>
    <t>Qtr5 tax calculation:</t>
  </si>
  <si>
    <t>Q5Tax(case1_Tax-case2_Tax)</t>
  </si>
  <si>
    <t>Tax on tot Income - Agri_Rebate</t>
  </si>
  <si>
    <t>12 &amp; 36 % for 1,2 Qtr</t>
  </si>
  <si>
    <t>Surchage</t>
  </si>
  <si>
    <t>Education Cess</t>
  </si>
  <si>
    <t>Total Tax Liability</t>
  </si>
  <si>
    <t>Total Income after Rebate, if applicable (u/s87E)</t>
  </si>
  <si>
    <t>IF(E68,MAX(AG101,L222), Sheet9.NetTaxLiability)</t>
  </si>
  <si>
    <t>SurCharge 44AD</t>
  </si>
  <si>
    <t>ITR-3</t>
  </si>
  <si>
    <t>Proprietorship/firm registration number</t>
  </si>
  <si>
    <t>Total (iiA + iiB + iiC )</t>
  </si>
  <si>
    <t>Total (iE + iiD)</t>
  </si>
  <si>
    <t>Gross receipts from Profession</t>
  </si>
  <si>
    <t>For assessee carrying on Business</t>
  </si>
  <si>
    <t>For assessee carrying on Profession</t>
  </si>
  <si>
    <t>Total amount disallowable under Section 43B(total of 11a to 11g)</t>
  </si>
  <si>
    <t>11h</t>
  </si>
  <si>
    <t>u/s 115BBF</t>
  </si>
  <si>
    <t>Any amount debited to profit and loss account of the previous year but disallowable under section 43B (11h of Part-OI)</t>
  </si>
  <si>
    <t>Additional depreciation relating to immediately preceding  year' on asset put to use for less than 180 days</t>
  </si>
  <si>
    <t xml:space="preserve">Total depreciation (10+11+12+13+14) </t>
  </si>
  <si>
    <t xml:space="preserve">Total depreciation (10+11) </t>
  </si>
  <si>
    <t>Block entitled for depreciation @ 50 per cent ( Schedule DPM - 15 iv)</t>
  </si>
  <si>
    <t>Block entitled for depreciation @ 60 per cent ( Schedule DPM - 15 v)</t>
  </si>
  <si>
    <t>Block entitled for depreciation @ 80 per cent ( Schedule DPM – 15 vi)</t>
  </si>
  <si>
    <t>Block entitled for depreciation @ 100 per cent ( Schedule DPM - 15 vii)</t>
  </si>
  <si>
    <t>Block entitled for depreciation @ 50 per cent (Schedule DPM - 17iv)</t>
  </si>
  <si>
    <t>Block entitled for depreciation @ 60 per cent (Schedule DPM – 17v)</t>
  </si>
  <si>
    <t>Block entitled for depreciation @ 80 per cent (Schedule DPM – 17vi)</t>
  </si>
  <si>
    <t>Block entitled for depreciation @ 100 per cent (Schedule DPM – 17vii)</t>
  </si>
  <si>
    <t>Cash credits u/s 68</t>
  </si>
  <si>
    <t>Unexplained investments u/s 69</t>
  </si>
  <si>
    <t>Unexplained money etc. u/s 69A</t>
  </si>
  <si>
    <t>Undisclosed investments etc. u/s 69B</t>
  </si>
  <si>
    <t>Amount borrowed or repaid on hundi u/s 69D</t>
  </si>
  <si>
    <t>115BBDA (Dividend income from domestic company exceeding Rs.10lakh)</t>
  </si>
  <si>
    <t xml:space="preserve">Do you own any immovable asset? </t>
  </si>
  <si>
    <t>Details of immovable asset</t>
  </si>
  <si>
    <t>Sl. No
(1)</t>
  </si>
  <si>
    <t>Description
(2)</t>
  </si>
  <si>
    <t>Address
(3)</t>
  </si>
  <si>
    <t>Amount (cost) in Rs.
(4)</t>
  </si>
  <si>
    <t>Flat/Door/Block No.</t>
  </si>
  <si>
    <t xml:space="preserve">Name of Premises/Building/Village                                 </t>
  </si>
  <si>
    <t xml:space="preserve">Road/Street/Post Office    </t>
  </si>
  <si>
    <t xml:space="preserve">Area/locality                     </t>
  </si>
  <si>
    <t xml:space="preserve">Town/City/District               </t>
  </si>
  <si>
    <t xml:space="preserve">State                </t>
  </si>
  <si>
    <t xml:space="preserve">Country                       </t>
  </si>
  <si>
    <t>Details of movable asset</t>
  </si>
  <si>
    <t>Sl. No
(1)</t>
  </si>
  <si>
    <t>Description
(2)</t>
  </si>
  <si>
    <t>Amount (cost) in Rs.
(3)</t>
  </si>
  <si>
    <t>(iv)</t>
  </si>
  <si>
    <t>Financial asset</t>
  </si>
  <si>
    <t>(a)    Bank (including all deposits)</t>
  </si>
  <si>
    <t>(b)    Shares and securities</t>
  </si>
  <si>
    <t>(c)    Insurance policies</t>
  </si>
  <si>
    <t>(d)    Loans and advances given</t>
  </si>
  <si>
    <t>(e)    Cash in hand</t>
  </si>
  <si>
    <t>Do you have any Interest held in the assets of a firm or association of persons (AOP) as a partner or member thereof?</t>
  </si>
  <si>
    <t>Name of the firm(s)/ AOP(s)
(2)</t>
  </si>
  <si>
    <t xml:space="preserve"> Address of the firm(s)/ AOP(s)
(3)</t>
  </si>
  <si>
    <t>PAN of the firm/ AOP
(4)</t>
  </si>
  <si>
    <t>Assessee’s investment in the firm/ AOP on cost basis
(5)</t>
  </si>
  <si>
    <t>AIRP0000001</t>
  </si>
  <si>
    <t>AKJB0000039</t>
  </si>
  <si>
    <t>AKJB0000038</t>
  </si>
  <si>
    <t>BACB0000123</t>
  </si>
  <si>
    <t>BACB0000122</t>
  </si>
  <si>
    <t>ORBC0102235</t>
  </si>
  <si>
    <t>ORBC0102234</t>
  </si>
  <si>
    <t>ORBC0102233</t>
  </si>
  <si>
    <t>ORBC0102232</t>
  </si>
  <si>
    <t>ORBC0102231</t>
  </si>
  <si>
    <t>ORBC0102230</t>
  </si>
  <si>
    <t>ORBC0102229</t>
  </si>
  <si>
    <t>ORBC0102228</t>
  </si>
  <si>
    <t>ORBC0102227</t>
  </si>
  <si>
    <t>ORBC0102226</t>
  </si>
  <si>
    <t>SBIN0016408</t>
  </si>
  <si>
    <t>AIRTEL PAYMENTS BANK LIMITED</t>
  </si>
  <si>
    <t>EQUITAS SMALL FINANCE BANK LIMITED</t>
  </si>
  <si>
    <t>IDUKKI DISTRICT CO OPERATIVE BANK LTD</t>
  </si>
  <si>
    <t>TELANGANA STATE COOP APEX BANK</t>
  </si>
  <si>
    <t>THE NAVNIRMAN CO-OPERATIVE BANK LIMITED</t>
  </si>
  <si>
    <t>AIRP</t>
  </si>
  <si>
    <t>ESFB</t>
  </si>
  <si>
    <t>IDUK</t>
  </si>
  <si>
    <t>MAHG</t>
  </si>
  <si>
    <t>TSAB</t>
  </si>
  <si>
    <t>NVNM</t>
  </si>
  <si>
    <t>UJVN</t>
  </si>
  <si>
    <t>1001-ALAND ISLANDS</t>
  </si>
  <si>
    <t>684-AMERICAN SAMOA</t>
  </si>
  <si>
    <t>1264-ANGUILLA</t>
  </si>
  <si>
    <t>1010-ANTARCTICA</t>
  </si>
  <si>
    <t>297-ARUBA</t>
  </si>
  <si>
    <t>1441-BERMUDA</t>
  </si>
  <si>
    <t>591-BOLIVIA (PLURINATIONAL STATE OF)</t>
  </si>
  <si>
    <t>1002-BONAIRE, SINT EUSTATIUS AND SABA</t>
  </si>
  <si>
    <t>1003-BOUVET ISLAND</t>
  </si>
  <si>
    <t>1014-BRITISH INDIAN OCEAN TERRITORY</t>
  </si>
  <si>
    <t>238-CABO VERDE</t>
  </si>
  <si>
    <t>1345-CAYMAN ISLANDS</t>
  </si>
  <si>
    <t>9-CHRISTMAS ISLAND</t>
  </si>
  <si>
    <t>672-COCOS (KEELING) ISLANDS</t>
  </si>
  <si>
    <t>242-CONGO</t>
  </si>
  <si>
    <t>243-CONGO (DEMOCRATIC REPUBLIC OF THE)</t>
  </si>
  <si>
    <t>682-COOK ISLANDS</t>
  </si>
  <si>
    <t>420-CZECHIA</t>
  </si>
  <si>
    <t>500-FALKLAND ISLANDS (MALVINAS)</t>
  </si>
  <si>
    <t>298-FAROE ISLANDS</t>
  </si>
  <si>
    <t>679-FIJI</t>
  </si>
  <si>
    <t>594-FRENCH GUIANA</t>
  </si>
  <si>
    <t>689-FRENCH POLYNESIA</t>
  </si>
  <si>
    <t>1004-FRENCH SOUTHERN TERRITORIES</t>
  </si>
  <si>
    <t>350-GIBRALTAR</t>
  </si>
  <si>
    <t>299-GREENLAND</t>
  </si>
  <si>
    <t>590-GUADELOUPE</t>
  </si>
  <si>
    <t>1671-GUAM</t>
  </si>
  <si>
    <t>1481-GUERNSEY</t>
  </si>
  <si>
    <t>1005-HEARD ISLAND AND MCDONALD ISLANDS</t>
  </si>
  <si>
    <t>6-HOLY SEE</t>
  </si>
  <si>
    <t>852-HONG KONG</t>
  </si>
  <si>
    <t>98-IRAN (ISLAMIC REPUBLIC OF)</t>
  </si>
  <si>
    <t>1624-ISLE OF MAN</t>
  </si>
  <si>
    <t>1534-JERSEY</t>
  </si>
  <si>
    <t>82-KOREA (REPUBLIC OF)</t>
  </si>
  <si>
    <t>853-MACAO</t>
  </si>
  <si>
    <t>389-MACEDONIA (THE FORMER YUGOSLAV REPUBLIC OF)</t>
  </si>
  <si>
    <t>596-MARTINIQUE</t>
  </si>
  <si>
    <t>269-MAYOTTE</t>
  </si>
  <si>
    <t>691-MICRONESIA (FEDERATED STATES OF)</t>
  </si>
  <si>
    <t>373-MOLDOVA (REPUBLIC OF)</t>
  </si>
  <si>
    <t>1664-MONTSERRAT</t>
  </si>
  <si>
    <t>687-NEW CALEDONIA</t>
  </si>
  <si>
    <t>683-NIUE</t>
  </si>
  <si>
    <t>15-NORFOLK ISLAND</t>
  </si>
  <si>
    <t>1670-NORTHERN MARIANA ISLANDS</t>
  </si>
  <si>
    <t>970-PALESTINE, STATE OF</t>
  </si>
  <si>
    <t>1011-PITCAIRN</t>
  </si>
  <si>
    <t>1787-PUERTO RICO</t>
  </si>
  <si>
    <t>290-SAINT HELENA, ASCENSION AND TRISTAN DA CUNHA</t>
  </si>
  <si>
    <t>1007-SAINT MARTIN (FRENCH PART)</t>
  </si>
  <si>
    <t>508-SAINT PIERRE AND MIQUELON</t>
  </si>
  <si>
    <t>1721-SINT MAARTEN (DUTCH PART)</t>
  </si>
  <si>
    <t>1008-SOUTH GEORGIA AND THE SOUTH SANDWICH ISLANDS</t>
  </si>
  <si>
    <t>1012-SVALBARD AND JAN MAYEN</t>
  </si>
  <si>
    <t>886-TAIWAN, PROVINCE OF CHINA[A]</t>
  </si>
  <si>
    <t>255-TANZANIA, UNITED REPUBLIC OF</t>
  </si>
  <si>
    <t>690-TOKELAU</t>
  </si>
  <si>
    <t>1649-TURKS AND CAICOS ISLANDS</t>
  </si>
  <si>
    <t>1009-UNITED STATES MINOR OUTLYING ISLANDS</t>
  </si>
  <si>
    <t>58-VENEZUELA (BOLIVARIAN REPUBLIC OF)</t>
  </si>
  <si>
    <t>84-VIET NAM</t>
  </si>
  <si>
    <t>1284-VIRGIN ISLANDS (BRITISH)</t>
  </si>
  <si>
    <t>1340-VIRGIN ISLANDS (U.S.)</t>
  </si>
  <si>
    <t>681-WALLIS AND FUTUNA</t>
  </si>
  <si>
    <t>1013-WESTERN SAHARA</t>
  </si>
  <si>
    <t>AMERICAN SAMOA:684</t>
  </si>
  <si>
    <t>ANGUILLA:1264</t>
  </si>
  <si>
    <t>ANTARCTICA:1010</t>
  </si>
  <si>
    <t>ARUBA:297</t>
  </si>
  <si>
    <t>BERMUDA:1441</t>
  </si>
  <si>
    <t>BOLIVIA (PLURINATIONAL STATE OF):591</t>
  </si>
  <si>
    <t>BONAIRE, SINT EUSTATIUS AND SABA:1002</t>
  </si>
  <si>
    <t>BOUVET ISLAND:1003</t>
  </si>
  <si>
    <t>BRITISH INDIAN OCEAN TERRITORY:1014</t>
  </si>
  <si>
    <t>CABO VERDE:238</t>
  </si>
  <si>
    <t>CAYMAN ISLANDS:1345</t>
  </si>
  <si>
    <t>CHRISTMAS ISLAND:9</t>
  </si>
  <si>
    <t>COCOS (KEELING) ISLANDS:672</t>
  </si>
  <si>
    <t>CONGO:242</t>
  </si>
  <si>
    <t>CONGO (DEMOCRATIC REPUBLIC OF THE):243</t>
  </si>
  <si>
    <t>COOK ISLANDS:682</t>
  </si>
  <si>
    <t>CZECHIA:420</t>
  </si>
  <si>
    <t>FALKLAND ISLANDS (MALVINAS):500</t>
  </si>
  <si>
    <t>FAROE ISLANDS:298</t>
  </si>
  <si>
    <t>FIJI:679</t>
  </si>
  <si>
    <t>FRENCH GUIANA:594</t>
  </si>
  <si>
    <t>FRENCH POLYNESIA:689</t>
  </si>
  <si>
    <t>FRENCH SOUTHERN TERRITORIES:1004</t>
  </si>
  <si>
    <t>GIBRALTAR:350</t>
  </si>
  <si>
    <t>GREENLAND:299</t>
  </si>
  <si>
    <t>GUADELOUPE:590</t>
  </si>
  <si>
    <t>GUAM:1671</t>
  </si>
  <si>
    <t>GUERNSEY:1481</t>
  </si>
  <si>
    <t>HEARD ISLAND AND MCDONALD ISLANDS:1005</t>
  </si>
  <si>
    <t>HOLY SEE:6</t>
  </si>
  <si>
    <t>HONG KONG:852</t>
  </si>
  <si>
    <t>IRAN (ISLAMIC REPUBLIC OF):98</t>
  </si>
  <si>
    <t>ISLE OF MAN:1624</t>
  </si>
  <si>
    <t>JERSEY:1534</t>
  </si>
  <si>
    <t>KOREA (REPUBLIC OF):82</t>
  </si>
  <si>
    <t>MACAO:853</t>
  </si>
  <si>
    <t>MACEDONIA (THE FORMER YUGOSLAV REPUBLIC OF):389</t>
  </si>
  <si>
    <t>MARTINIQUE:596</t>
  </si>
  <si>
    <t>MAYOTTE:269</t>
  </si>
  <si>
    <t>MICRONESIA (FEDERATED STATES OF):691</t>
  </si>
  <si>
    <t>MOLDOVA (REPUBLIC OF):373</t>
  </si>
  <si>
    <t>MONTSERRAT:1664</t>
  </si>
  <si>
    <t>NEW CALEDONIA:687</t>
  </si>
  <si>
    <t>NIUE:683</t>
  </si>
  <si>
    <t>NORFOLK ISLAND:15</t>
  </si>
  <si>
    <t>NORTHERN MARIANA ISLANDS:1670</t>
  </si>
  <si>
    <t>PALESTINE, STATE OF:970</t>
  </si>
  <si>
    <t>PITCAIRN:1011</t>
  </si>
  <si>
    <t>PUERTO RICO:1787</t>
  </si>
  <si>
    <t>SAINT HELENA, ASCENSION AND TRISTAN DA CUNHA:290</t>
  </si>
  <si>
    <t>SAINT MARTIN (FRENCH PART):1007</t>
  </si>
  <si>
    <t>SAINT PIERRE AND MIQUELON:508</t>
  </si>
  <si>
    <t>SINT MAARTEN (DUTCH PART):1721</t>
  </si>
  <si>
    <t>SOUTH GEORGIA AND THE SOUTH SANDWICH ISLANDS:1008</t>
  </si>
  <si>
    <t>SVALBARD AND JAN MAYEN:1012</t>
  </si>
  <si>
    <t>TAIWAN, PROVINCE OF CHINA[A]:886</t>
  </si>
  <si>
    <t>TANZANIA, UNITED REPUBLIC OF:255</t>
  </si>
  <si>
    <t>TIMOR-LESTE (EAST TIMOR):670</t>
  </si>
  <si>
    <t>TOKELAU:690</t>
  </si>
  <si>
    <t>TURKS AND CAICOS ISLANDS:1649</t>
  </si>
  <si>
    <t>UNITED STATES MINOR OUTLYING ISLANDS:1009</t>
  </si>
  <si>
    <t>VENEZUELA (BOLIVARIAN REPUBLIC OF):58</t>
  </si>
  <si>
    <t>VIET NAM:84</t>
  </si>
  <si>
    <t>VIRGIN ISLANDS (BRITISH):1284</t>
  </si>
  <si>
    <t>VIRGIN ISLANDS (U.S.):1340</t>
  </si>
  <si>
    <t>WALLIS AND FUTUNA:681</t>
  </si>
  <si>
    <t>WESTERN SAHARA:1013</t>
  </si>
  <si>
    <t>Tax on Total Income</t>
  </si>
  <si>
    <t xml:space="preserve">Surcharge on 115BBE </t>
  </si>
  <si>
    <t>Surcharge On other than 115BBE</t>
  </si>
  <si>
    <t>Total Tax (A)</t>
  </si>
  <si>
    <t>Tax on 1 crore+excess income  (B)</t>
  </si>
  <si>
    <t>Add surcharge on 115BBE</t>
  </si>
  <si>
    <t>Marginal Relief (A-B)</t>
  </si>
  <si>
    <t xml:space="preserve">Surchage w.r.t.  Income u/s 115BBE </t>
  </si>
  <si>
    <t>Surchage w.r.t.  Normal income</t>
  </si>
  <si>
    <t>Taxable Income after adjusting for Min Chargeable to Tax
(ii)</t>
  </si>
  <si>
    <t>Income
(i)</t>
  </si>
  <si>
    <t>60%Income(115BE)</t>
  </si>
  <si>
    <t>5BBF_BP</t>
  </si>
  <si>
    <t>Tax on 115BBE</t>
  </si>
  <si>
    <t>Tax on Other</t>
  </si>
  <si>
    <t>Surcharge 115BBE</t>
  </si>
  <si>
    <t>Surcharge Normal</t>
  </si>
  <si>
    <t>5BBF_XXXX</t>
  </si>
  <si>
    <t>Tax on 44 AD</t>
  </si>
  <si>
    <t>33AB</t>
  </si>
  <si>
    <t>33ABA</t>
  </si>
  <si>
    <t>13a</t>
  </si>
  <si>
    <t>13b</t>
  </si>
  <si>
    <t>Amounts deemed to be profits and gains under section 33AB or 33ABA (13a+13b)</t>
  </si>
  <si>
    <t>32AD</t>
  </si>
  <si>
    <t>35ABA</t>
  </si>
  <si>
    <t>35ABB</t>
  </si>
  <si>
    <t>40A(3A)</t>
  </si>
  <si>
    <t>72A</t>
  </si>
  <si>
    <t>80HHD</t>
  </si>
  <si>
    <t>21a</t>
  </si>
  <si>
    <t>21b</t>
  </si>
  <si>
    <t>21c</t>
  </si>
  <si>
    <t>21d</t>
  </si>
  <si>
    <t>21e</t>
  </si>
  <si>
    <t>21f</t>
  </si>
  <si>
    <t>21g</t>
  </si>
  <si>
    <t>21h</t>
  </si>
  <si>
    <t>21i</t>
  </si>
  <si>
    <t>Deemed income under section 32AD/33AB/33ABA/35ABA//35ABB/40A(3A)/72A/80HHD/80-IA  (21a+21b+21c+21d+21e+21f+21g+21h+21i)</t>
  </si>
  <si>
    <t xml:space="preserve">35AD(1) </t>
  </si>
  <si>
    <t>35AD(1A)</t>
  </si>
  <si>
    <t>46a</t>
  </si>
  <si>
    <t>46b</t>
  </si>
  <si>
    <t>225-COTE DIVOIRE</t>
  </si>
  <si>
    <t>1015-CURACAO</t>
  </si>
  <si>
    <t>850-KOREA (DEMOCRATIC PEOPLES REPUBLIC OF)</t>
  </si>
  <si>
    <t>856-LAO PEOPLES DEMOCRATIC REPUBLIC</t>
  </si>
  <si>
    <t>262-REUNION</t>
  </si>
  <si>
    <t>1006-SAINT BARTHELEMY</t>
  </si>
  <si>
    <t>33-CHHATTISGARH</t>
  </si>
  <si>
    <t>ALAND ISLANDS:1001</t>
  </si>
  <si>
    <t>COTE DIVOIRE:225</t>
  </si>
  <si>
    <t>CURACAO:1015</t>
  </si>
  <si>
    <t>KOREA (DEMOCRATIC PEOPLES REPUBLIC OF):850</t>
  </si>
  <si>
    <t>LAO PEOPLES DEMOCRATIC REPUBLIC:856</t>
  </si>
  <si>
    <t>REUNION:262</t>
  </si>
  <si>
    <t>SAINT BARTHELEMY:1006</t>
  </si>
  <si>
    <t xml:space="preserve">Deduction claimed under any section included in Chapter VI-A under the heading “C.—Deductions in respect of certain incomes” </t>
  </si>
  <si>
    <t>Deduction claimed u/s 10AA</t>
  </si>
  <si>
    <t>Refund (If 10e is greater than 9) (Refund, if any, will be directly credited into the bank account)</t>
  </si>
  <si>
    <t>Amount out of (5) or (6) being claimed this Year (only if corresponding income is being offered for tax this year)</t>
  </si>
  <si>
    <t>Income chargeable to tax at special rates (please see instructions No. 7 for rate of tax)</t>
  </si>
  <si>
    <t>Business or Profession</t>
  </si>
  <si>
    <t>Short-term capital gain on sale of securities (other than those at A3 above) by an FII (5c +5d)</t>
  </si>
  <si>
    <t>Percentage of yield</t>
  </si>
  <si>
    <t xml:space="preserve">Quantity manufactured during the previous year </t>
  </si>
  <si>
    <t>Item B1 to B9 above in which included</t>
  </si>
  <si>
    <t>totaltax-TDS-TCS-taxRelief-Credit115JD</t>
  </si>
  <si>
    <t>THE BARAMATI SAHAKARI BANK LTD</t>
  </si>
  <si>
    <t>ESAF SMALL FINANCE BANK LIMITED</t>
  </si>
  <si>
    <t>SURYODAY SMALL FINANCE BANK LIMITED</t>
  </si>
  <si>
    <t>UTKARSH SMALL FINANCE BANK</t>
  </si>
  <si>
    <t>TEXTILE TRADERS CO OPERATIVE BANK LTD</t>
  </si>
  <si>
    <t>BARA</t>
  </si>
  <si>
    <t>ESMF</t>
  </si>
  <si>
    <t>SURY</t>
  </si>
  <si>
    <t>UTKS</t>
  </si>
  <si>
    <t>TTCB</t>
  </si>
  <si>
    <t>BACB0000055</t>
  </si>
  <si>
    <t>BACB0000054</t>
  </si>
  <si>
    <t>BACB0000053</t>
  </si>
  <si>
    <t>BACB0000052</t>
  </si>
  <si>
    <t>BACB0000051</t>
  </si>
  <si>
    <t>ORBC0102250</t>
  </si>
  <si>
    <t>ORBC0102249</t>
  </si>
  <si>
    <t>ORBC0102248</t>
  </si>
  <si>
    <t>ORBC0102247</t>
  </si>
  <si>
    <t>ORBC0102246</t>
  </si>
  <si>
    <t>ORBC0102245</t>
  </si>
  <si>
    <t>ORBC0102244</t>
  </si>
  <si>
    <t>ORBC0102243</t>
  </si>
  <si>
    <t>ORBC0102242</t>
  </si>
  <si>
    <t>ORBC0102241</t>
  </si>
  <si>
    <t>ORBC0102240</t>
  </si>
  <si>
    <t>ORBC0102239</t>
  </si>
  <si>
    <t>ORBC0102238</t>
  </si>
  <si>
    <t>ORBC0102237</t>
  </si>
  <si>
    <t>ORBC0102236</t>
  </si>
  <si>
    <t>SBIN0016086</t>
  </si>
  <si>
    <t>AKJB0000040</t>
  </si>
  <si>
    <t>Date Of  interest calculation 234A</t>
  </si>
  <si>
    <t>Are you liable for Audit u/s 92E?</t>
  </si>
  <si>
    <t>Date of audit report (DD/MM/YYYY)</t>
  </si>
  <si>
    <t>MAHB0001956</t>
  </si>
  <si>
    <t>BCBM0000102</t>
  </si>
  <si>
    <t>ABU DHABI COMMERCIAL BANK</t>
  </si>
  <si>
    <t>AHMEDABAD MERCANTILE COOPERATIVE BANK</t>
  </si>
  <si>
    <t>AKOLA JANATA COMMERCIAL COOPERATIVE BANK</t>
  </si>
  <si>
    <t>ALLAHABAD BANK</t>
  </si>
  <si>
    <t>ANDHRA BANK</t>
  </si>
  <si>
    <t>ANDHRA PRAGATHI GRAMEENA BANK</t>
  </si>
  <si>
    <t>AXIS BANK</t>
  </si>
  <si>
    <t>BANK OF AMERICA</t>
  </si>
  <si>
    <t>BANK OF BARODA</t>
  </si>
  <si>
    <t>BANK OF CEYLON</t>
  </si>
  <si>
    <t>BANK OF INDIA</t>
  </si>
  <si>
    <t>BANK OF MAHARASHTRA</t>
  </si>
  <si>
    <t>BARCLAYS BANK</t>
  </si>
  <si>
    <t>CANARA BANK</t>
  </si>
  <si>
    <t>CAPITAL SMALL FINANCE BANK LIMITED</t>
  </si>
  <si>
    <t>CENTRAL BANK OF INDIA</t>
  </si>
  <si>
    <t>CITI BANK</t>
  </si>
  <si>
    <t>CORPORATION BANK</t>
  </si>
  <si>
    <t>DENA BANK</t>
  </si>
  <si>
    <t>DEPOSIT INSURANCE AND CREDIT GUARANTEE CORPORATION</t>
  </si>
  <si>
    <t>EXPORT IMPORT BANK OF INDIA</t>
  </si>
  <si>
    <t>G P PARSIK BANK</t>
  </si>
  <si>
    <t>INDIAN BANK</t>
  </si>
  <si>
    <t>INDIAN OVERSEAS BANK</t>
  </si>
  <si>
    <t>KALUPUR COMMERCIAL COOPERATIVE BANK</t>
  </si>
  <si>
    <t>KARNATAKA VIKAS GRAMEENA BANK</t>
  </si>
  <si>
    <t>KARUR VYSYA BANK</t>
  </si>
  <si>
    <t>KERALA GRAMIN BANK</t>
  </si>
  <si>
    <t>LAXMI VILAS BANK</t>
  </si>
  <si>
    <t>ORIENTAL BANK OF COMMERCE</t>
  </si>
  <si>
    <t>PRAGATHI KRISHNA GRAMIN BANK</t>
  </si>
  <si>
    <t>PRATHAMA BANK</t>
  </si>
  <si>
    <t>PUNJAB AND SIND BANK</t>
  </si>
  <si>
    <t>PUNJAB NATIONAL BANK</t>
  </si>
  <si>
    <t>RABOBANK INTERNATIONAL</t>
  </si>
  <si>
    <t>SAMARTH SAHAKARI BANK LTD</t>
  </si>
  <si>
    <t>SBER BANK</t>
  </si>
  <si>
    <t>SHIKSHAK SAHAKARI BANK LIMITED</t>
  </si>
  <si>
    <t>SHINHAN BANK</t>
  </si>
  <si>
    <t>SHIVALIK MERCANTILE CO OPERATIVE BANK LTD</t>
  </si>
  <si>
    <t>SOCIETE GENERALE</t>
  </si>
  <si>
    <t>SOUTH INDIAN BANK</t>
  </si>
  <si>
    <t>STANDARD CHARTERED BANK</t>
  </si>
  <si>
    <t>STATE BANK OF INDIA</t>
  </si>
  <si>
    <t>SUMITOMO MITSUI BANKING CORPORATION</t>
  </si>
  <si>
    <t>SYNDICATE BANK</t>
  </si>
  <si>
    <t>THE BANK OF NOVA SCOTIA</t>
  </si>
  <si>
    <t>THE PANDHARPUR URBAN CO OP. BANK LTD. PANDHARPUR</t>
  </si>
  <si>
    <t>TJSB SAHAKARI BANK LTD</t>
  </si>
  <si>
    <t>THE ZOROASTRIAN COOPERATIVE BANK LIMITED</t>
  </si>
  <si>
    <t>UCO BANK</t>
  </si>
  <si>
    <t>UNION BANK OF INDIA</t>
  </si>
  <si>
    <t>UNITED BANK OF INDIA</t>
  </si>
  <si>
    <t>VIJAYA BANK</t>
  </si>
  <si>
    <t>WESTPAC BANKING CORPORATION</t>
  </si>
  <si>
    <t>WOORI BANK</t>
  </si>
  <si>
    <t>AU SMALL FINANCE BANK LIMITED</t>
  </si>
  <si>
    <t>PAYTM PAYMENTS BANK LTD</t>
  </si>
  <si>
    <t>THE SINDHUDURG DISTRICT CENTRAL COOP BANK LTD</t>
  </si>
  <si>
    <t>AUBL</t>
  </si>
  <si>
    <t>PYTM</t>
  </si>
  <si>
    <t>SIDC</t>
  </si>
  <si>
    <t>Zip Code</t>
  </si>
  <si>
    <t>Aadhaar</t>
  </si>
  <si>
    <t>FINO PAYMENTS BANK</t>
  </si>
  <si>
    <t>FINO</t>
  </si>
  <si>
    <t>Do you have a bank account in India (Non-residents claiming refund with no bank account in India may select No)?</t>
  </si>
  <si>
    <t>3-Parents</t>
  </si>
  <si>
    <t>4-Parents(Senior citizen)</t>
  </si>
  <si>
    <t>5-Self and Family including parents</t>
  </si>
  <si>
    <t>6-Self and Family including senior citizen parents</t>
  </si>
  <si>
    <t>7-Self(Senior citizen) &amp; family including senior citizen parents</t>
  </si>
  <si>
    <t>If (7) is yes, Income offered in this return</t>
  </si>
  <si>
    <t>If (8) is yes, Income offered in this return</t>
  </si>
  <si>
    <t>Zip Code
2(b)</t>
  </si>
  <si>
    <t>Amount
10</t>
  </si>
  <si>
    <t>Schedule where offered
11</t>
  </si>
  <si>
    <t>Item number of schedule
12</t>
  </si>
  <si>
    <t>Country Name and Code
2(a)</t>
  </si>
  <si>
    <t>Zip Code
2(b)</t>
  </si>
  <si>
    <t>Nature of entity
3</t>
  </si>
  <si>
    <t>Name of the Entity
4(a)</t>
  </si>
  <si>
    <t>Address of the Entity
4(b)</t>
  </si>
  <si>
    <t xml:space="preserve">Nature of Interest-
Direct/ Beneficial owner/ Beneficiary
5
</t>
  </si>
  <si>
    <t>Date since held
6</t>
  </si>
  <si>
    <t>Total Investment (at cost) (in rupees)
7</t>
  </si>
  <si>
    <t>Income accrued from such Interest
8</t>
  </si>
  <si>
    <t>Nature of Income
9</t>
  </si>
  <si>
    <t>Country Name &amp; Code
2(a)</t>
  </si>
  <si>
    <t>Address of the Property
3</t>
  </si>
  <si>
    <t xml:space="preserve">Ownership-
Direct/ Beneficial owner/ Beneficiary
4
</t>
  </si>
  <si>
    <t>Date of acquisition
5</t>
  </si>
  <si>
    <t>Total Investment (at cost) (in rupees)
6</t>
  </si>
  <si>
    <t>Income derived from the property
7</t>
  </si>
  <si>
    <t>Nature of Income
8</t>
  </si>
  <si>
    <t>Amount
9</t>
  </si>
  <si>
    <t>Schedule where offered
10</t>
  </si>
  <si>
    <t>Item number of schedule
11</t>
  </si>
  <si>
    <t>Nature of Asset
3</t>
  </si>
  <si>
    <t>Income derived from the asset
7</t>
  </si>
  <si>
    <t>Name of the Institution in which the account is held
(Note : If no entry is made in this column, then other columns will not be considered for that row)
2</t>
  </si>
  <si>
    <t>Address of the Institution
3(a)</t>
  </si>
  <si>
    <t>Country Name &amp; Code         
3(b)</t>
  </si>
  <si>
    <t>Zip Code
3(c)</t>
  </si>
  <si>
    <t>Name of the Account Holder 
4</t>
  </si>
  <si>
    <t>Account Number
5</t>
  </si>
  <si>
    <t>Peak Balance/Investment during the year (in rupees)
6</t>
  </si>
  <si>
    <t>Whether income accrued is taxable in your hands?
7</t>
  </si>
  <si>
    <t>Amount
9</t>
  </si>
  <si>
    <t>Schedule where offered
10</t>
  </si>
  <si>
    <t>Item number of schedule
11</t>
  </si>
  <si>
    <t>If (7) is yes, Income accrued in the account
8</t>
  </si>
  <si>
    <t>Country Name &amp; Code         
2(a)</t>
  </si>
  <si>
    <t>Name of the trust
3</t>
  </si>
  <si>
    <t>Address of the trust
3(a)</t>
  </si>
  <si>
    <t>Name of Settlor
5</t>
  </si>
  <si>
    <t>Address of Settlor
5(a)</t>
  </si>
  <si>
    <t>Name of Beneficiaries
6</t>
  </si>
  <si>
    <t>Address of Beneficiaries
6(a)</t>
  </si>
  <si>
    <t>Date since position held
7</t>
  </si>
  <si>
    <t>Whether income derived is taxable in your hands?
8</t>
  </si>
  <si>
    <t>Amount
10</t>
  </si>
  <si>
    <t>Schedule where offered
11</t>
  </si>
  <si>
    <t>Item number of schedule
12</t>
  </si>
  <si>
    <t xml:space="preserve"> If (8) is yes, Income derived from the trust
9</t>
  </si>
  <si>
    <t>Name of the Person
3(a)</t>
  </si>
  <si>
    <t>Address of the Person
3(b)</t>
  </si>
  <si>
    <t>Income derived
4</t>
  </si>
  <si>
    <t>Nature of income
5</t>
  </si>
  <si>
    <t>Whether taxable in your hands?
6</t>
  </si>
  <si>
    <t>Amount
7</t>
  </si>
  <si>
    <t>If (6) is yes, Income offered in this return</t>
  </si>
  <si>
    <t>Schedule where offered
8</t>
  </si>
  <si>
    <t>Item number of schedule
9</t>
  </si>
  <si>
    <t>34-UTTARAKHAND</t>
  </si>
  <si>
    <t>AKJB0000041</t>
  </si>
  <si>
    <t>BACB0000113</t>
  </si>
  <si>
    <t>NKGS0000114</t>
  </si>
  <si>
    <t>ORBC0102254</t>
  </si>
  <si>
    <t>ORBC0102253</t>
  </si>
  <si>
    <t>ORBC0102252</t>
  </si>
  <si>
    <t>ORBC0102251</t>
  </si>
  <si>
    <t>FSFB</t>
  </si>
  <si>
    <t>KDCB</t>
  </si>
  <si>
    <t>DOHA BANK QSC</t>
  </si>
  <si>
    <t>FINCARE SMALL FINANCE BANK LTD</t>
  </si>
  <si>
    <t>KOZHIKODE DISTRICT COOPERATIAVE BANK LTD</t>
  </si>
  <si>
    <t>VASAI VIKAS SAHAKARI BANK LTD</t>
  </si>
  <si>
    <t>44AB FLAG</t>
  </si>
  <si>
    <t>SIF AUDIT FLAG</t>
  </si>
  <si>
    <t xml:space="preserve">Note : Please include the income of the specified persons referred to in Schedule SPI while computing the income under this head </t>
  </si>
  <si>
    <t>intrst234F</t>
  </si>
  <si>
    <t>Surcharge Calculation for 5000000</t>
  </si>
  <si>
    <t>toBeTaxed After DTAA Exemption for 50 Lakh</t>
  </si>
  <si>
    <t>toBeTaxed After DTAA Exemption 1 Cr</t>
  </si>
  <si>
    <t>Tax on 50 Lakh+excess income  (B)</t>
  </si>
  <si>
    <t>Final Surcharge w.r.t Income u/s 115BBE</t>
  </si>
  <si>
    <t>Final Surcharge w.r.t Normal Income</t>
  </si>
  <si>
    <t>3v</t>
  </si>
  <si>
    <t>8e</t>
  </si>
  <si>
    <t>Aggregate liability (7 + 8e)</t>
  </si>
  <si>
    <t>u/s 115BBG</t>
  </si>
  <si>
    <t>3f</t>
  </si>
  <si>
    <t>5BBG</t>
  </si>
  <si>
    <t>5BBG_BP</t>
  </si>
  <si>
    <t>SBIN0015904</t>
  </si>
  <si>
    <t>SBIN0016115</t>
  </si>
  <si>
    <t>SBIN0016150</t>
  </si>
  <si>
    <t>SBIN0016157</t>
  </si>
  <si>
    <t>SBIN0016177</t>
  </si>
  <si>
    <t>SBIN0016179</t>
  </si>
  <si>
    <t>SBIN0016180</t>
  </si>
  <si>
    <t>SBIN0016181</t>
  </si>
  <si>
    <t>SBIN0016183</t>
  </si>
  <si>
    <t>SBIN0016199</t>
  </si>
  <si>
    <t>SBIN0016226</t>
  </si>
  <si>
    <t>SBIN0016228</t>
  </si>
  <si>
    <t>SBIN0016242</t>
  </si>
  <si>
    <t>SBIN0016278</t>
  </si>
  <si>
    <t>SBIN0016333</t>
  </si>
  <si>
    <t>SBIN0016334</t>
  </si>
  <si>
    <t>SBIN0016352</t>
  </si>
  <si>
    <t>SBIN0016416</t>
  </si>
  <si>
    <t>SBIN0016475</t>
  </si>
  <si>
    <t>SBIN0016521</t>
  </si>
  <si>
    <t>SBIN0016541</t>
  </si>
  <si>
    <t>SBIN0016557</t>
  </si>
  <si>
    <t>SBIN0016564</t>
  </si>
  <si>
    <t>SBIN0016565</t>
  </si>
  <si>
    <t>SBIN0016620</t>
  </si>
  <si>
    <t>SBIN0016628</t>
  </si>
  <si>
    <t>SBIN0016675</t>
  </si>
  <si>
    <t>SBIN0016781</t>
  </si>
  <si>
    <t>SBIN0016802</t>
  </si>
  <si>
    <t>SBIN0016897</t>
  </si>
  <si>
    <t>ORBC0102255</t>
  </si>
  <si>
    <t>AMCB0660035</t>
  </si>
  <si>
    <t>5BBG_XXXX</t>
  </si>
  <si>
    <t>CalcSurchargeAbove50Lakh</t>
  </si>
  <si>
    <t>80</t>
  </si>
  <si>
    <t>01/08/2018</t>
  </si>
  <si>
    <t>surchargeOnAbove50Lakh</t>
  </si>
  <si>
    <t>taxOnCutOffInc (including previous slab surcharge i.e 10%</t>
  </si>
  <si>
    <t>2018-19</t>
  </si>
  <si>
    <r>
      <t xml:space="preserve">Computation of total income </t>
    </r>
    <r>
      <rPr>
        <b/>
        <i/>
        <sz val="10"/>
        <color indexed="10"/>
        <rFont val="Times New Roman"/>
        <family val="1"/>
      </rPr>
      <t xml:space="preserve"> PLEASE NOTE THAT CALCULATED FIELDS (IN WHITE) ARE PICKED UP FROM OTHER SCHEDULES AND ARE NOT TO BE ENTERED. For ex :  The Income figures below will get filled up when the Schedules linked to them  are filled.    
</t>
    </r>
  </si>
  <si>
    <r>
      <t xml:space="preserve">Details of all Bank Accounts held in India  at any time during the previous year (excluding dormant accounts).
</t>
    </r>
    <r>
      <rPr>
        <b/>
        <sz val="10"/>
        <color indexed="8"/>
        <rFont val="Times New Roman"/>
        <family val="1"/>
      </rPr>
      <t>Note</t>
    </r>
    <r>
      <rPr>
        <b/>
        <sz val="10"/>
        <color indexed="10"/>
        <rFont val="Times New Roman"/>
        <family val="1"/>
      </rPr>
      <t>: If you do not have any bank account in India, enter the details as IFSC - NNNN0NNNNNN, Name of Bank - NOT APPLICABLE, Account No. - NA999.</t>
    </r>
  </si>
  <si>
    <r>
      <t xml:space="preserve">Details of Tax Deducted at Source from </t>
    </r>
    <r>
      <rPr>
        <b/>
        <sz val="10"/>
        <color indexed="10"/>
        <rFont val="Times New Roman"/>
        <family val="1"/>
      </rPr>
      <t>SALARY</t>
    </r>
    <r>
      <rPr>
        <b/>
        <sz val="10"/>
        <rFont val="Times New Roman"/>
        <family val="1"/>
      </rPr>
      <t xml:space="preserve"> [As per </t>
    </r>
    <r>
      <rPr>
        <b/>
        <sz val="10"/>
        <color indexed="10"/>
        <rFont val="Times New Roman"/>
        <family val="1"/>
      </rPr>
      <t>FORM 16</t>
    </r>
    <r>
      <rPr>
        <b/>
        <sz val="10"/>
        <rFont val="Times New Roman"/>
        <family val="1"/>
      </rPr>
      <t xml:space="preserve"> issued by Employer(s)]</t>
    </r>
  </si>
  <si>
    <r>
      <t xml:space="preserve">Details of Income from Salary (Fields marked in </t>
    </r>
    <r>
      <rPr>
        <b/>
        <sz val="10"/>
        <color indexed="10"/>
        <rFont val="Times New Roman"/>
        <family val="1"/>
      </rPr>
      <t xml:space="preserve">RED </t>
    </r>
    <r>
      <rPr>
        <b/>
        <sz val="10"/>
        <rFont val="Times New Roman"/>
        <family val="1"/>
      </rPr>
      <t>must not be left Blank. Empty numeric values treated as zeroes)</t>
    </r>
  </si>
  <si>
    <r>
      <t xml:space="preserve">Details of Income from House Property (Fields marked in </t>
    </r>
    <r>
      <rPr>
        <b/>
        <sz val="10"/>
        <color indexed="10"/>
        <rFont val="Times New Roman"/>
        <family val="1"/>
      </rPr>
      <t>RED</t>
    </r>
    <r>
      <rPr>
        <b/>
        <sz val="10"/>
        <rFont val="Times New Roman"/>
        <family val="1"/>
      </rPr>
      <t xml:space="preserve"> must not be left Blank)</t>
    </r>
  </si>
  <si>
    <r>
      <t>Is the property co-owned?</t>
    </r>
    <r>
      <rPr>
        <sz val="10"/>
        <color indexed="10"/>
        <rFont val="Times New Roman"/>
        <family val="1"/>
      </rPr>
      <t xml:space="preserve">  </t>
    </r>
  </si>
  <si>
    <r>
      <t xml:space="preserve">Short-term capital gain on equity share or equity oriented MF or unit of a business trust  (STT paid) </t>
    </r>
    <r>
      <rPr>
        <b/>
        <sz val="10"/>
        <color indexed="10"/>
        <rFont val="Times New Roman"/>
        <family val="1"/>
      </rPr>
      <t xml:space="preserve">u/s 111A [for others] </t>
    </r>
    <r>
      <rPr>
        <b/>
        <sz val="10"/>
        <color indexed="48"/>
        <rFont val="Times New Roman"/>
        <family val="1"/>
      </rPr>
      <t xml:space="preserve"> (3ic +3id)</t>
    </r>
  </si>
  <si>
    <r>
      <t>(ii) From sale of equity share or unit of equity oriented Mutual Fund (MF) or unit of a business trust on  which STT is paid</t>
    </r>
    <r>
      <rPr>
        <b/>
        <sz val="10"/>
        <color indexed="10"/>
        <rFont val="Times New Roman"/>
        <family val="1"/>
      </rPr>
      <t xml:space="preserve"> u/s 115AD(1)(b)(ii) [for FII]</t>
    </r>
  </si>
  <si>
    <r>
      <rPr>
        <b/>
        <sz val="10"/>
        <color indexed="48"/>
        <rFont val="Times New Roman"/>
        <family val="1"/>
      </rPr>
      <t>Short-term capital gain on equity share or equity oriented MF or unit of a business trust  (STT paid)</t>
    </r>
    <r>
      <rPr>
        <b/>
        <sz val="10"/>
        <color indexed="8"/>
        <rFont val="Times New Roman"/>
        <family val="1"/>
      </rPr>
      <t xml:space="preserve"> </t>
    </r>
    <r>
      <rPr>
        <b/>
        <sz val="10"/>
        <color indexed="10"/>
        <rFont val="Times New Roman"/>
        <family val="1"/>
      </rPr>
      <t>u/s 115AD(1)(b)(ii) [for FII]</t>
    </r>
    <r>
      <rPr>
        <b/>
        <sz val="10"/>
        <color indexed="48"/>
        <rFont val="Times New Roman"/>
        <family val="1"/>
      </rPr>
      <t xml:space="preserve"> (3iic +3iid)</t>
    </r>
  </si>
  <si>
    <r>
      <t xml:space="preserve">For NON-RESIDENTS- from sale of shares or debenture of Indian company </t>
    </r>
    <r>
      <rPr>
        <b/>
        <i/>
        <sz val="10"/>
        <color indexed="8"/>
        <rFont val="Times New Roman"/>
        <family val="1"/>
      </rPr>
      <t>(to be computed with foreign exchange adjustment under first proviso to section 48)</t>
    </r>
  </si>
  <si>
    <r>
      <t xml:space="preserve">Deduction under sections 54F </t>
    </r>
    <r>
      <rPr>
        <b/>
        <i/>
        <sz val="10"/>
        <color indexed="8"/>
        <rFont val="Times New Roman"/>
        <family val="1"/>
      </rPr>
      <t>(Specify details in item D below)</t>
    </r>
  </si>
  <si>
    <r>
      <t>Less deduction under section 115F</t>
    </r>
    <r>
      <rPr>
        <i/>
        <sz val="10"/>
        <rFont val="Times New Roman"/>
        <family val="1"/>
      </rPr>
      <t>(Specify details in item D below)</t>
    </r>
  </si>
  <si>
    <r>
      <t xml:space="preserve"> NOTE</t>
    </r>
    <r>
      <rPr>
        <b/>
        <sz val="10"/>
        <color indexed="9"/>
        <rFont val="Times New Roman"/>
        <family val="1"/>
      </rPr>
      <t xml:space="preserve"> ►</t>
    </r>
  </si>
  <si>
    <r>
      <t xml:space="preserve">Details of donations entitled for deduction under section 80G </t>
    </r>
    <r>
      <rPr>
        <b/>
        <sz val="10"/>
        <color indexed="10"/>
        <rFont val="Times New Roman"/>
        <family val="1"/>
      </rPr>
      <t>(Please read NOTE below)</t>
    </r>
  </si>
  <si>
    <r>
      <rPr>
        <b/>
        <u/>
        <sz val="10"/>
        <color indexed="8"/>
        <rFont val="Times New Roman"/>
        <family val="1"/>
      </rPr>
      <t>Tax on 1 crore</t>
    </r>
    <r>
      <rPr>
        <b/>
        <sz val="10"/>
        <color indexed="8"/>
        <rFont val="Times New Roman"/>
        <family val="1"/>
      </rPr>
      <t>:</t>
    </r>
  </si>
  <si>
    <r>
      <rPr>
        <b/>
        <u/>
        <sz val="10"/>
        <color indexed="8"/>
        <rFont val="Times New Roman"/>
        <family val="1"/>
      </rPr>
      <t>Tax on 50 Lakh</t>
    </r>
    <r>
      <rPr>
        <b/>
        <sz val="10"/>
        <color indexed="8"/>
        <rFont val="Times New Roman"/>
        <family val="1"/>
      </rPr>
      <t>:</t>
    </r>
  </si>
  <si>
    <r>
      <t>Account balance as on 31</t>
    </r>
    <r>
      <rPr>
        <b/>
        <vertAlign val="superscript"/>
        <sz val="10"/>
        <color indexed="10"/>
        <rFont val="Times New Roman"/>
        <family val="1"/>
      </rPr>
      <t>st</t>
    </r>
    <r>
      <rPr>
        <b/>
        <sz val="10"/>
        <color indexed="10"/>
        <rFont val="Times New Roman"/>
        <family val="1"/>
      </rPr>
      <t xml:space="preserve"> March of the previous year</t>
    </r>
  </si>
  <si>
    <t>AMCB0660036</t>
  </si>
  <si>
    <t>NESF0000005</t>
  </si>
  <si>
    <t>NESF0000004</t>
  </si>
  <si>
    <t>NESF0000003</t>
  </si>
  <si>
    <t>NESF0000002</t>
  </si>
  <si>
    <t>NESF0000001</t>
  </si>
  <si>
    <t>DMKJ</t>
  </si>
  <si>
    <t>NESF</t>
  </si>
  <si>
    <t>QNBA</t>
  </si>
  <si>
    <t>DMK JAOLI BANK</t>
  </si>
  <si>
    <t>NORTH EAST SMALL FINANCE BANK LIMITED</t>
  </si>
  <si>
    <t>QATAR NATIONAL BANK SAQ</t>
  </si>
  <si>
    <t>Male</t>
  </si>
  <si>
    <t>Female</t>
  </si>
  <si>
    <t>Not applicable</t>
  </si>
  <si>
    <t>Transgender</t>
  </si>
  <si>
    <t>Date of Birth/Formation (DD/MM/YYYY)</t>
  </si>
  <si>
    <t>Central Goods &amp; Service Tax (CGST)</t>
  </si>
  <si>
    <t>State Goods &amp; Services Tax (SGST)</t>
  </si>
  <si>
    <t>Integrated Goods &amp; Services Tax (IGST)</t>
  </si>
  <si>
    <t>Union Territory Goods &amp; Services Tax  (UTGST)</t>
  </si>
  <si>
    <t>36vii</t>
  </si>
  <si>
    <t>36viii</t>
  </si>
  <si>
    <t>36ix</t>
  </si>
  <si>
    <t>Decrease in the profit or increase in loss because of deviation, if any,  as per Income Computation Disclosure Standards notified under section 145(2) [column 11b(iii) of Schedule ICDS]</t>
  </si>
  <si>
    <t xml:space="preserve">  Increase in the profit or decrease in loss because of deviation, if any, as per Income Computation Disclosure Standards notified under section 145(2) [column 11a(iii) of Schedule ICDS]</t>
  </si>
  <si>
    <t>Valuation of Inventories  (other than the effect of change in method of valuation u/s 145A, if the same is separately reported at col. 4d or 4e of Part A-OI)</t>
  </si>
  <si>
    <t>Securities(other than the effect of change in method of valuation u/s 145A, if the same is separately reported at col. 4d or 4e of Part A-OI)</t>
  </si>
  <si>
    <t>Total  effect of ICDS adjustments on profit  (I+II+III+IV+V+VI+VII+VIII+IX+X) (if positive)</t>
  </si>
  <si>
    <t>Total effect of ICDS adjustments on profit  (I+II+III+IV+V+VI+VII+VIII+IX+X) (if negative)</t>
  </si>
  <si>
    <t>Increase in  the profit or loss because of deviation, if any, from the method of valuation specified under section 145A</t>
  </si>
  <si>
    <t>Decrease in the profit or increase in loss because of deviation, if any, from the method of valuation specified under section 145A</t>
  </si>
  <si>
    <t>4e</t>
  </si>
  <si>
    <t>The proforma credits, drawbacks, refund of duty of customs or excise or service tax, or refund of sales tax or value added tax, or refund of GST, where such credits, drawbacks or refunds are admitted as due by the authorities concerned</t>
  </si>
  <si>
    <t>Any sum payable as interest on any loan or borrowing from any scheduled bank or a co-operative bank other than a primary agricultural credit society or a primary co-operative agricultural and rural development bank</t>
  </si>
  <si>
    <t>Total amount allowable under section 43B (total of 10a to 10g)</t>
  </si>
  <si>
    <t>11g</t>
  </si>
  <si>
    <t>12h</t>
  </si>
  <si>
    <t>12f</t>
  </si>
  <si>
    <t>12g</t>
  </si>
  <si>
    <t>Total amount outstanding (total of 12a to 12h)</t>
  </si>
  <si>
    <t>10h</t>
  </si>
  <si>
    <t xml:space="preserve">Interest and fee payable </t>
  </si>
  <si>
    <t>Interest for default in furnishing the return (section 234A)</t>
  </si>
  <si>
    <t xml:space="preserve">Interest for default in payment of advance tax (section 234B) </t>
  </si>
  <si>
    <t xml:space="preserve">Interest for deferment of advance tax (section 234C) </t>
  </si>
  <si>
    <t>Fee for default in furnishing return of income (section 234F)</t>
  </si>
  <si>
    <t>IBAN</t>
  </si>
  <si>
    <t>SWIFT Code</t>
  </si>
  <si>
    <t>Sl.No.</t>
  </si>
  <si>
    <t>Schedule GST</t>
  </si>
  <si>
    <t>Diii</t>
  </si>
  <si>
    <t>Dii</t>
  </si>
  <si>
    <t>Di</t>
  </si>
  <si>
    <t>Aiii</t>
  </si>
  <si>
    <t>Aii</t>
  </si>
  <si>
    <t>Total (14 + 15 +16 +17 +18 +19 + 20 +21 + 22 + 23 + 24+25)</t>
  </si>
  <si>
    <t>Total (27+28+29+30+31+32+33)</t>
  </si>
  <si>
    <t>Income (13 + 26– 34)</t>
  </si>
  <si>
    <t>A38</t>
  </si>
  <si>
    <t>Profit and gains from business other than speculative business and specified business (A38 of Schedule-BP) (enter nil if loss)</t>
  </si>
  <si>
    <t xml:space="preserve">Rebate under section 87A </t>
  </si>
  <si>
    <t xml:space="preserve">Total Interest and Fee Payable (8a+8b+8c+8d) </t>
  </si>
  <si>
    <t xml:space="preserve">Deductions in accordance with section 35AD(1) </t>
  </si>
  <si>
    <t>3(b)</t>
  </si>
  <si>
    <t>Written down value on the first day of previous year, of those block of assets which were eligible for depreciation @ 50%, 60% or 80% as per the old Table</t>
  </si>
  <si>
    <t>Depreciation disallowed under section 38(2) of the I.T. Act (out of column 15)</t>
  </si>
  <si>
    <t>Proportionate aggregate depreciation allowable in the event of succession, amalgamation, demerger etc. (out of column 17)</t>
  </si>
  <si>
    <t>Net aggregate depreciation (15-16)</t>
  </si>
  <si>
    <t>Building(not including land)</t>
  </si>
  <si>
    <t>Depreciation disallowed under section 38(2) of the I.T. Act (out of column 12)</t>
  </si>
  <si>
    <t>Net aggregate depreciation (12-13)</t>
  </si>
  <si>
    <t>Proportionate aggregate depreciation allowable in the event of succession, amalgamation, demerger etc. (out of column 14)</t>
  </si>
  <si>
    <t>Nil</t>
  </si>
  <si>
    <t xml:space="preserve">Capital gains/ loss under section 50 (5 + 8 -3-4 -7 -16) (Enter negative only if block ceases to exist)  </t>
  </si>
  <si>
    <t>Building (not including land)</t>
  </si>
  <si>
    <t xml:space="preserve">Block entitled for depreciation @ 15 per cent (Schedule DPM - 20i)  </t>
  </si>
  <si>
    <t>Block entitled for depreciation @ 30 per cent (Schedule DPM – 20ii)</t>
  </si>
  <si>
    <t>Block entitled for depreciation @  40 per cent (Schedule DPM - 20iii)</t>
  </si>
  <si>
    <t>In case securities sold include shares of a company other than quoted shares, enter the following details</t>
  </si>
  <si>
    <t>Full value of consideration received/receivable in respect of unquoted shares</t>
  </si>
  <si>
    <t>Fair market value of unquoted shares determined in the prescribed manner</t>
  </si>
  <si>
    <t>Full value of consideration in respect of unquoted shares adopted as per section 50CA for the purpose of Capital Gains (higher of a or b)</t>
  </si>
  <si>
    <t>Full value of consideration in respect of securities other than unquoted shares</t>
  </si>
  <si>
    <t>Total (ic + ii)</t>
  </si>
  <si>
    <t>Balance (5aiii – biv)</t>
  </si>
  <si>
    <t>Balance (6aiii – biv)</t>
  </si>
  <si>
    <t>Amount of  STCG included in A1-A7 but not chargeable to tax or chargeable at special rates in India as per DTAA</t>
  </si>
  <si>
    <t>Applicable rate [lower of (6) or (9)] (10)</t>
  </si>
  <si>
    <t>Rate as per I.T. Act 
(9)</t>
  </si>
  <si>
    <t>Section of I.T. Act 
(8)</t>
  </si>
  <si>
    <t>Whether Tax Residency Certificate obtained? 
(7)</t>
  </si>
  <si>
    <t>Rate as per Treaty 
(enter NIL, if not chargeable)
(6)</t>
  </si>
  <si>
    <t>Article of DTAA 
(5)</t>
  </si>
  <si>
    <t>Country name, code (4)</t>
  </si>
  <si>
    <t>Amount of income 
(2)</t>
  </si>
  <si>
    <t>In case assets sold include shares of a company other than quoted shares, enter the following details</t>
  </si>
  <si>
    <t>Full value of consideration in respect of assets other than unquoted shares</t>
  </si>
  <si>
    <t>Information about deduction claimed against Capital Gains</t>
  </si>
  <si>
    <t>Deduction claimed u/s 54</t>
  </si>
  <si>
    <t>Sl. No</t>
  </si>
  <si>
    <t>Date of transfer of original asset</t>
  </si>
  <si>
    <t>Cost of new residential house</t>
  </si>
  <si>
    <t>Date of purchase/construction of new residential house</t>
  </si>
  <si>
    <t xml:space="preserve">Amount of deduction claimed </t>
  </si>
  <si>
    <t>Deduction claimed u/s 54B</t>
  </si>
  <si>
    <t>Cost of new agricultural land</t>
  </si>
  <si>
    <t>Date of purchase of new agricultural land</t>
  </si>
  <si>
    <t>Amount of deduction claimed</t>
  </si>
  <si>
    <t>Deduction claimed u/s 54D</t>
  </si>
  <si>
    <t>Date of acquisition of original asset</t>
  </si>
  <si>
    <t>Cost of purchase/ construction of new land or building for industrial undertaking</t>
  </si>
  <si>
    <t xml:space="preserve">Date of purchase of new land or building </t>
  </si>
  <si>
    <t>Deduction claimed u/s 54EC</t>
  </si>
  <si>
    <t>Amount invested in specified/notified bonds 
(not exceeding fifty lakh rupees)</t>
  </si>
  <si>
    <t>Date of investment</t>
  </si>
  <si>
    <t>Deduction claimed u/s 54G</t>
  </si>
  <si>
    <t xml:space="preserve">Date of transfer of original asset from urban area </t>
  </si>
  <si>
    <t xml:space="preserve">Cost and expenses incurred for purchase or construction of new asset </t>
  </si>
  <si>
    <t xml:space="preserve">Date of purchase/construction of new asset in an area other than urban area  </t>
  </si>
  <si>
    <t>Deduction claimed u/s 54GA</t>
  </si>
  <si>
    <t xml:space="preserve">Date of purchase/construction of new asset in SEZ  </t>
  </si>
  <si>
    <t>Deduction claimed u/s 115F (for Non-Resident Indians)</t>
  </si>
  <si>
    <t xml:space="preserve">Date of transfer of original foreign exchange asset </t>
  </si>
  <si>
    <t>Amount invested in new specified asset or savings certificate</t>
  </si>
  <si>
    <t xml:space="preserve">Aggregate value of sum of money received without consideration </t>
  </si>
  <si>
    <t xml:space="preserve">In case immovable property is received without consideration, stamp duty value of property </t>
  </si>
  <si>
    <t>In case immovable property is received for inadequate consideration, stamp duty value of property in excess of such consideration</t>
  </si>
  <si>
    <t>In case any other property is received without consideration, fair market value of  property</t>
  </si>
  <si>
    <t>In case any other property is received for inadequate consideration, fair market value of property in excess of such consideration</t>
  </si>
  <si>
    <t>Section of I.T. Act</t>
  </si>
  <si>
    <t>Rate as per I.T. Act</t>
  </si>
  <si>
    <t>Applicable rate [lower of (6) or (9)]</t>
  </si>
  <si>
    <t>Amounts not deductible u/s 58</t>
  </si>
  <si>
    <t>Profits chargeable to tax u/s 59</t>
  </si>
  <si>
    <t>Residentialstatuscheck</t>
  </si>
  <si>
    <t>115BBG</t>
  </si>
  <si>
    <t>115BBF</t>
  </si>
  <si>
    <t>115BBE</t>
  </si>
  <si>
    <t>115BBDA</t>
  </si>
  <si>
    <t>Relevant clause of sub-section (5) of section 35AD which covers the specified business (to be selected from drop down menu)</t>
  </si>
  <si>
    <t>(ak) developing or operating and maintaining or developing, operating and maintaining, any infrastructure facility; and</t>
  </si>
  <si>
    <t>(a) laying and operating a cross-country natural gas pipeline network for distribution, including storage facilities being an integral part of such network;</t>
  </si>
  <si>
    <t>(aa) building and operating a new hotel of two-star or above category as classified by the Central Government;</t>
  </si>
  <si>
    <t>(ab) building and operating a new hospital with at least one hundred beds for patients;</t>
  </si>
  <si>
    <t>(ae) new plant or in a newly installed capacity in an existing plant for production of fertilizer;</t>
  </si>
  <si>
    <t>(af) setting up and operating an inland container depot or a container freight station notified or approved under the Customs Act, 1962 (52 of 1962);</t>
  </si>
  <si>
    <t>(ag) bee-keeping and production of honey and beeswax;</t>
  </si>
  <si>
    <t>(ah) setting up and operating a warehousing facility for storage of sugar;</t>
  </si>
  <si>
    <t>(ai) laying and operating a slurry pipeline for the transportation of iron ore;</t>
  </si>
  <si>
    <r>
      <t>(aj) setting up and operating a semi-conductor wafer fabrication manufacturing unit, and which is notified by the Board in accordance with such guidelines as may be prescribed</t>
    </r>
    <r>
      <rPr>
        <vertAlign val="superscript"/>
        <sz val="12"/>
        <color indexed="62"/>
        <rFont val="Times New Roman"/>
        <family val="1"/>
      </rPr>
      <t/>
    </r>
  </si>
  <si>
    <t>(b)  all other cases not falling under any of the above clauses.</t>
  </si>
  <si>
    <t xml:space="preserve">Block entitled for depreciation @ 15 per cent ( Schedule DPM - 17i or 18i as applicable) </t>
  </si>
  <si>
    <t>Block entitled for depreciation @ 30 per cent ( Schedule DPM - 17ii or 18ii as applicable)</t>
  </si>
  <si>
    <t>Block entitled for depreciation @ 40 per cent ( Schedule DPM - 17iii or 18iii as applicable)</t>
  </si>
  <si>
    <t xml:space="preserve">Block entitled for depreciation @ 5 per cent (Schedule DOA- 14ii or 15ii as applicable)    </t>
  </si>
  <si>
    <t xml:space="preserve">Block entitled for depreciation @ 10 per cent (Schedule DOA- 14iii or 15iii as applicable) </t>
  </si>
  <si>
    <t>Block entitled for depreciation @ 40 per cent (Schedule DOA- 14iv or 15iv as applicable)</t>
  </si>
  <si>
    <t xml:space="preserve">Block entitled for depreciation @ 5 per cent (Schedule DOA- 17ii) </t>
  </si>
  <si>
    <t>Block entitled for depreciation @ 10 per cent (Schedule DOA- 17iii)</t>
  </si>
  <si>
    <t>Furniture and fittings ( Schedule DOA- 17v)</t>
  </si>
  <si>
    <t>Intangible assets (Schedule DOA- 17vi)</t>
  </si>
  <si>
    <t>Ships (Schedule DOA- 17vii)</t>
  </si>
  <si>
    <t>A8a</t>
  </si>
  <si>
    <t>A8b</t>
  </si>
  <si>
    <t>Deduction claimed u/s 54EE</t>
  </si>
  <si>
    <t>Amount invested in specified assets</t>
  </si>
  <si>
    <t>Tax Deduction Account
Number (TAN) of the
Employer</t>
  </si>
  <si>
    <t>Do you want to claim the benefit u/s 115H (Applicable in case of  Resident)?</t>
  </si>
  <si>
    <t>1-Dependent person with Disability</t>
  </si>
  <si>
    <t>2-Dependent person with Severe Disability</t>
  </si>
  <si>
    <t>1-Self or dependent</t>
  </si>
  <si>
    <t>3-Super Senior citizen-Self or dependent</t>
  </si>
  <si>
    <t>1-Self with disability</t>
  </si>
  <si>
    <t>2-Self with severe disability</t>
  </si>
  <si>
    <t xml:space="preserve">115BBF-Tax on income from patent
(a) Income under head business or profession </t>
  </si>
  <si>
    <t>(a) Income under head other sources</t>
  </si>
  <si>
    <t xml:space="preserve">v </t>
  </si>
  <si>
    <t>Description</t>
  </si>
  <si>
    <t>Sec 10(7)-Allowances or perquisites paid or allowed as such outside India by the Government to a citizen of India for rendering service outside India</t>
  </si>
  <si>
    <t xml:space="preserve">Sec 10(10)-Death-cum-retirement gratuity received </t>
  </si>
  <si>
    <t>Sec 10(10A)-Commuted value of pension received</t>
  </si>
  <si>
    <t>Any Other</t>
  </si>
  <si>
    <t>Country of Location</t>
  </si>
  <si>
    <t>Deduction u/s 10AA ( c of Sch. 10AA)</t>
  </si>
  <si>
    <t>Tax at special rates (total of  col (ii) of Schedule-SI)</t>
  </si>
  <si>
    <t>17D</t>
  </si>
  <si>
    <t>Salaryded</t>
  </si>
  <si>
    <t>1-Self and family</t>
  </si>
  <si>
    <t>2-Parent</t>
  </si>
  <si>
    <t>3-Self and family and Parents</t>
  </si>
  <si>
    <t>80DB</t>
  </si>
  <si>
    <t>80DC</t>
  </si>
  <si>
    <t>80C - Life insurance premia, deferred annuity, contributions to provident fund, subscription to certain equity shares or debentures, etc.</t>
  </si>
  <si>
    <t>80CCC - Payment in respect Pension Fund</t>
  </si>
  <si>
    <t>80CCD(1) - Contribution to pension scheme of Central Government</t>
  </si>
  <si>
    <t>80CCD(2) - Contribution to pension scheme of Central Government by the Employer</t>
  </si>
  <si>
    <t>80CCG - Investment made under an equity savings scheme</t>
  </si>
  <si>
    <t>(A) Health Insurance Premium</t>
  </si>
  <si>
    <t>(B) Medical expenditure</t>
  </si>
  <si>
    <t>(C) Preventive health check-up</t>
  </si>
  <si>
    <t>80 DD - Maintenance including medical treatment of a dependant who is a person with disability</t>
  </si>
  <si>
    <t>80 DDB - Medical treatment of specified disease</t>
  </si>
  <si>
    <t>80 E - Interest on loan taken for higher education</t>
  </si>
  <si>
    <t>80EE - Interest on loan taken for residential house property</t>
  </si>
  <si>
    <t>80 GG - Rent paid</t>
  </si>
  <si>
    <t>80 GGC - Donation to Political party</t>
  </si>
  <si>
    <t>80IAB - Profits and gains by an undertaking or enterprise engaged in development of Special Economic Zone</t>
  </si>
  <si>
    <t>80-IBA - Profits and gains from housing projects</t>
  </si>
  <si>
    <t>80JJA - Profits and gains from business of collecting and processing of bio-degradable waste.</t>
  </si>
  <si>
    <t>80JJAA - Employment of new employees</t>
  </si>
  <si>
    <t>80 U - In case of a person with disability.</t>
  </si>
  <si>
    <t>01002-Growing and manufacturing of coffee</t>
  </si>
  <si>
    <t>01003-Growing and manufacturing of rubber</t>
  </si>
  <si>
    <t>01004-Market gardening and horticulture specialties</t>
  </si>
  <si>
    <t>01005-Raising of silk worms and production of silk</t>
  </si>
  <si>
    <t>01006-Raising of bees and production of honey</t>
  </si>
  <si>
    <t>01007-Raising of poultry and production of eggs</t>
  </si>
  <si>
    <t>01008-Rearing of sheep and production of wool</t>
  </si>
  <si>
    <t>01009-Rearing of animals and production of animal products</t>
  </si>
  <si>
    <t>01010-Agricultural and animal husbandry services</t>
  </si>
  <si>
    <t>01011-Soil conservation, soil testing and soil desalination services</t>
  </si>
  <si>
    <t>01012-Hunting, trapping and game propagation services</t>
  </si>
  <si>
    <t>01013-Growing of timber, plantation, operation of tree nurseries and conserving of forest</t>
  </si>
  <si>
    <t>01014-Gathering of tendu leaves</t>
  </si>
  <si>
    <t>01015-Gathering of other wild growing materials</t>
  </si>
  <si>
    <t>01016-Forestry service activities, timber cruising, afforestation and reforestation</t>
  </si>
  <si>
    <t>01017-Logging service activities, transport of logs within the forest</t>
  </si>
  <si>
    <t>01018-Other agriculture, animal husbandry or forestry activity n.e.c</t>
  </si>
  <si>
    <t>02001-Fishing on commercial basis in inland waters</t>
  </si>
  <si>
    <t>02002-Fishing on commercial basis in ocean and coastal areas</t>
  </si>
  <si>
    <t>02003-Fish farming</t>
  </si>
  <si>
    <t>02004-Gathering of marine materials such as natural pearls, sponges, coral etc.</t>
  </si>
  <si>
    <t>02005-Services related to marine and fresh water fisheries, fish hatcheries and fish farms</t>
  </si>
  <si>
    <t>02006-Other Fish farming activity n.e.c</t>
  </si>
  <si>
    <t>03001-Mining and agglomeration of hard coal</t>
  </si>
  <si>
    <t>03002-Mining and agglomeration of lignite</t>
  </si>
  <si>
    <t>03003-Extraction and agglomeration of peat</t>
  </si>
  <si>
    <t>03004-Extraction of crude petroleum and natural gas</t>
  </si>
  <si>
    <t>03005-Service activities incidental to oil and gas extraction excluding surveying</t>
  </si>
  <si>
    <t>03006-Mining of uranium and thorium ores</t>
  </si>
  <si>
    <t>03007-Mining of iron ores</t>
  </si>
  <si>
    <t>03009-Mining of gemstones</t>
  </si>
  <si>
    <t>03010-Mining of chemical and fertilizer minerals</t>
  </si>
  <si>
    <t>03011-Mining of quarrying of abrasive materials</t>
  </si>
  <si>
    <t>03012-Mining of mica, graphite and asbestos</t>
  </si>
  <si>
    <t>03013-Quarrying of stones (marble/granite/dolomite), sand and clay</t>
  </si>
  <si>
    <t>03014-Other mining and quarrying</t>
  </si>
  <si>
    <t>03015-Mining and production of salt</t>
  </si>
  <si>
    <t>03016-Other mining and quarrying n.e.c</t>
  </si>
  <si>
    <t>04001-Production, processing and preservation of meat and meat products</t>
  </si>
  <si>
    <t>04002-Production, processing and preservation of fish and fish products</t>
  </si>
  <si>
    <t>04003-Manufacture of vegetable oil, animal oil and fats</t>
  </si>
  <si>
    <t>04004-Processing of fruits, vegetables and edible nuts</t>
  </si>
  <si>
    <t>04006-Manufacture of sugar</t>
  </si>
  <si>
    <t>04007-Manufacture of cocoa, chocolates and sugar confectionery</t>
  </si>
  <si>
    <t>04008-Flour milling</t>
  </si>
  <si>
    <t>04009-Rice milling</t>
  </si>
  <si>
    <t>04010-Dal milling</t>
  </si>
  <si>
    <t>04011-Manufacture of other grain mill products</t>
  </si>
  <si>
    <t>04012-Manufacture of bakery products</t>
  </si>
  <si>
    <t>04013-Manufacture of starch products</t>
  </si>
  <si>
    <t>04014-Manufacture of animal feeds</t>
  </si>
  <si>
    <t>04015-Manufacture of other food products</t>
  </si>
  <si>
    <t>04016-Manufacturing of wines</t>
  </si>
  <si>
    <t>04017-Manufacture of beer</t>
  </si>
  <si>
    <t>04018-Manufacture of malt liquors</t>
  </si>
  <si>
    <t>04019-Distilling and blending of spirits, production of ethyl alcohol</t>
  </si>
  <si>
    <t>04020-Manufacture of mineral water</t>
  </si>
  <si>
    <t>04021-Manufacture of soft drinks</t>
  </si>
  <si>
    <t>04023-Manufacture of tobacco products</t>
  </si>
  <si>
    <t>04024-Manufacture of textiles (other than by handloom)</t>
  </si>
  <si>
    <t>04025-Manufacture of textiles using handlooms (khadi)</t>
  </si>
  <si>
    <t>04026-Manufacture of carpet, rugs, blankets, shawls etc. (other than by hand)</t>
  </si>
  <si>
    <t>04027-Manufacture of carpet, rugs, blankets, shawls etc. by hand</t>
  </si>
  <si>
    <t>04028-Manufacture of wearing apparel</t>
  </si>
  <si>
    <t>04029-Tanning and dressing of leather</t>
  </si>
  <si>
    <t>04030-Manufacture of luggage, handbags and the like saddler and harness</t>
  </si>
  <si>
    <t>04031-Manufacture of footwear</t>
  </si>
  <si>
    <t>04032-Manufacture of wood and wood products, cork, straw and plaiting material</t>
  </si>
  <si>
    <t>04033-Manufacture of paper and paper products</t>
  </si>
  <si>
    <t>04034-Publishing, printing and reproduction of recorded media</t>
  </si>
  <si>
    <t>04035-Manufacture of coke oven products</t>
  </si>
  <si>
    <t>04036-Manufacture of refined petroleum products</t>
  </si>
  <si>
    <t>04037-Processing of nuclear fuel</t>
  </si>
  <si>
    <t>04038-Manufacture of fertilizers and nitrogen compounds</t>
  </si>
  <si>
    <t>04039-Manufacture of plastics in primary forms and of synthetic rubber</t>
  </si>
  <si>
    <t>04040-Manufacture of paints, varnishes and similar coatings</t>
  </si>
  <si>
    <t>04041-Manufacture of pharmaceuticals, medicinal chemicals and botanical products</t>
  </si>
  <si>
    <t>04042-Manufacture of soap and detergents</t>
  </si>
  <si>
    <t>04043-Manufacture of other chemical products</t>
  </si>
  <si>
    <t>04045-Manufacture of rubber products</t>
  </si>
  <si>
    <t>04046-Manufacture of plastic products</t>
  </si>
  <si>
    <t>04047-Manufacture of glass and glass products</t>
  </si>
  <si>
    <t>04048-Manufacture of cement, lime and plaster</t>
  </si>
  <si>
    <t>04049-Manufacture of articles of concrete, cement and plaster</t>
  </si>
  <si>
    <t>04050-Manufacture of Bricks</t>
  </si>
  <si>
    <t>04051-Manufacture of other clay and ceramic products</t>
  </si>
  <si>
    <t>04053-Manufacture of pig iron, sponge iron, Direct Reduced Iron etc.</t>
  </si>
  <si>
    <t>04054-Manufacture of Ferro alloys</t>
  </si>
  <si>
    <t>04055-Manufacture of Ingots, billets, blooms and slabs etc.</t>
  </si>
  <si>
    <t>04056-Manufacture of steel products</t>
  </si>
  <si>
    <t>04059-Casting of metals</t>
  </si>
  <si>
    <t>04060-Manufacture of fabricated metal products</t>
  </si>
  <si>
    <t>04061-Manufacture of engines and turbines</t>
  </si>
  <si>
    <t>04062-Manufacture of pumps and compressors</t>
  </si>
  <si>
    <t>04063-Manufacture of bearings and gears</t>
  </si>
  <si>
    <t>04064-Manufacture of ovens and furnaces</t>
  </si>
  <si>
    <t>04065-Manufacture of lifting and handling equipment</t>
  </si>
  <si>
    <t>04066-Manufacture of other general purpose machinery</t>
  </si>
  <si>
    <t>04067-Manufacture of agricultural and forestry machinery</t>
  </si>
  <si>
    <t>04068-Manufacture of Machine Tools</t>
  </si>
  <si>
    <t>04069-Manufacture of machinery for metallurgy</t>
  </si>
  <si>
    <t>04070-Manufacture of machinery for mining, quarrying and constructions</t>
  </si>
  <si>
    <t>04071-Manufacture of machinery for processing of food and beverages</t>
  </si>
  <si>
    <t>04072-Manufacture of machinery for leather and textile</t>
  </si>
  <si>
    <t>04073-Manufacture of weapons and ammunition</t>
  </si>
  <si>
    <t>04074-Manufacture of other special purpose machinery</t>
  </si>
  <si>
    <t>04075-Manufacture of domestic appliances</t>
  </si>
  <si>
    <t>04076-Manufacture of office, accounting and computing machinery</t>
  </si>
  <si>
    <t>04077-Manufacture of electrical machinery and apparatus</t>
  </si>
  <si>
    <t>04078-Manufacture of Radio, Television, communication equipment and apparatus</t>
  </si>
  <si>
    <t>04079-Manufacture of medical and surgical equipment</t>
  </si>
  <si>
    <t>04080-Manufacture of industrial process control equipment</t>
  </si>
  <si>
    <t>04081-Manufacture of instruments and appliances for measurements and navigation</t>
  </si>
  <si>
    <t>04082-Manufacture of optical instruments</t>
  </si>
  <si>
    <t>04083-Manufacture of watches and clocks</t>
  </si>
  <si>
    <t>04084-Manufacture of motor vehicles</t>
  </si>
  <si>
    <t>04085-Manufacture of body of motor vehicles</t>
  </si>
  <si>
    <t>04086-Manufacture of parts &amp; accessories of motor vehicles &amp; engines</t>
  </si>
  <si>
    <t>04087-Building &amp; repair of ships and boats</t>
  </si>
  <si>
    <t>04088-Manufacture of railway locomotive and rolling stocks</t>
  </si>
  <si>
    <t>04089-Manufacture of aircraft and spacecraft</t>
  </si>
  <si>
    <t>04090-Manufacture of bicycles</t>
  </si>
  <si>
    <t>04091-Manufacture of other transport equipment</t>
  </si>
  <si>
    <t>04092-Manufacture of furniture</t>
  </si>
  <si>
    <t>04093-Manufacture of jewellery</t>
  </si>
  <si>
    <t>04094-Manufacture of sports goods</t>
  </si>
  <si>
    <t>04095-Manufacture of musical instruments</t>
  </si>
  <si>
    <t>04096-Manufacture of games and toys</t>
  </si>
  <si>
    <t>04097-Other manufacturing n.e.c.</t>
  </si>
  <si>
    <t>04098-Recycling of metal waste and scrap</t>
  </si>
  <si>
    <t>05001-Production, collection and distribution of electricity</t>
  </si>
  <si>
    <t>05002-Manufacture and distribution of gas</t>
  </si>
  <si>
    <t>05003-Collection, purification and distribution of water</t>
  </si>
  <si>
    <t>05004-Other essential commodity service n.e.c</t>
  </si>
  <si>
    <t>06001-Site preparation works</t>
  </si>
  <si>
    <t>06003-Building installation</t>
  </si>
  <si>
    <t>06004-Building completion</t>
  </si>
  <si>
    <t>06005-Construction and maintenance of roads, rails, bridges, tunnels, ports, harbour, runways etc.</t>
  </si>
  <si>
    <t>06006-Construction and maintenance of power plants</t>
  </si>
  <si>
    <t>06007-Construction and maintenance of industrial plants</t>
  </si>
  <si>
    <t>06008-Construction and maintenance of power transmission and telecommunication lines</t>
  </si>
  <si>
    <t>06009-Construction of water ways and water reservoirs</t>
  </si>
  <si>
    <t>06010-Other construction activity n.e.c.</t>
  </si>
  <si>
    <t>07004-Real estate activities on a fee or contract basis</t>
  </si>
  <si>
    <t>07005-Other real estate/renting services n.e.c</t>
  </si>
  <si>
    <t>08001-Renting of land transport equipment</t>
  </si>
  <si>
    <t>08002-Renting of water transport equipment</t>
  </si>
  <si>
    <t>08003-Renting of air transport equipment</t>
  </si>
  <si>
    <t>08004-Renting of agricultural machinery and equipment</t>
  </si>
  <si>
    <t>08005-Renting of construction and civil engineering machinery</t>
  </si>
  <si>
    <t>08006-Renting of office machinery and equipment</t>
  </si>
  <si>
    <t>08007-Renting of other machinery and equipment n.e.c.</t>
  </si>
  <si>
    <t>08008-Renting of personal and household goods n.e.c.</t>
  </si>
  <si>
    <t>08009-Renting of other machinery n.e.c.</t>
  </si>
  <si>
    <t>09001-Wholesale and retail sale of motor vehicles</t>
  </si>
  <si>
    <t>09004-Retail sale of automotive fuel</t>
  </si>
  <si>
    <t>09005-General commission agents, commodity brokers and auctioneers</t>
  </si>
  <si>
    <t>09006-Wholesale of agricultural raw material</t>
  </si>
  <si>
    <t>09007-Wholesale of food &amp; beverages and tobacco</t>
  </si>
  <si>
    <t>09008-Wholesale of household goods</t>
  </si>
  <si>
    <t>09009-Wholesale of metals and metal ores</t>
  </si>
  <si>
    <t>09010-Wholesale of household goods</t>
  </si>
  <si>
    <t>09011-Wholesale of construction material</t>
  </si>
  <si>
    <t>09012-Wholesale of hardware and sanitary fittings</t>
  </si>
  <si>
    <t>09013-Wholesale of cotton and jute</t>
  </si>
  <si>
    <t>09014-Wholesale of raw wool and raw silk</t>
  </si>
  <si>
    <t>09015-Wholesale of other textile fibres</t>
  </si>
  <si>
    <t>09016-Wholesale of industrial chemicals</t>
  </si>
  <si>
    <t>09017-Wholesale of fertilizers and pesticides</t>
  </si>
  <si>
    <t>09018-Wholesale of electronic parts &amp; equipment</t>
  </si>
  <si>
    <t>09019-Wholesale of other machinery, equipment and supplies</t>
  </si>
  <si>
    <t>09021-Retail sale of food, beverages and tobacco in specialized stores</t>
  </si>
  <si>
    <t>09022-Retail sale of other goods in specialized stores</t>
  </si>
  <si>
    <t>09024-Retail sale of textiles, apparel, footwear, leather goods</t>
  </si>
  <si>
    <t>09025-Retail sale of other household appliances</t>
  </si>
  <si>
    <t>09026-Retail sale of hardware, paint and glass</t>
  </si>
  <si>
    <t>09027-Wholesale of other products n.e.c</t>
  </si>
  <si>
    <t>09028-Retail sale of other products n.e.c</t>
  </si>
  <si>
    <t>10001-Hotels-Star rated</t>
  </si>
  <si>
    <t>10003-Motels, Inns and Dharmshalas</t>
  </si>
  <si>
    <t>10004-Guest houses and circuit houses</t>
  </si>
  <si>
    <t>10005-Dormitories and hostels at educational institutions</t>
  </si>
  <si>
    <t>10006-Short stay accommodations n.e.c.</t>
  </si>
  <si>
    <t>10007-Restaurants-with bars</t>
  </si>
  <si>
    <t>10008-Restaurants-without bars</t>
  </si>
  <si>
    <t>10009-Canteens</t>
  </si>
  <si>
    <t>10010-Independent caterers</t>
  </si>
  <si>
    <t>10011-Casinos and other games of chance</t>
  </si>
  <si>
    <t>10012-Other hospitality services n.e.c.</t>
  </si>
  <si>
    <t>11001-Travel agencies and tour operators</t>
  </si>
  <si>
    <t>11002-Packers and movers</t>
  </si>
  <si>
    <t>11003-Passenger land transport</t>
  </si>
  <si>
    <t>11004-Air transport</t>
  </si>
  <si>
    <t>11006-Inland water transport</t>
  </si>
  <si>
    <t>11007-Sea and coastal water transport</t>
  </si>
  <si>
    <t>11008-Freight transport by road</t>
  </si>
  <si>
    <t>11009-Freight transport by railways</t>
  </si>
  <si>
    <t>11010-Forwarding of freight</t>
  </si>
  <si>
    <t>11011-Receiving and acceptance of freight</t>
  </si>
  <si>
    <t>11012-Cargo handling</t>
  </si>
  <si>
    <t>11013-Storage and warehousing</t>
  </si>
  <si>
    <t>11014-Transport via pipelines (transport of gases, liquids, slurry and other commodities)</t>
  </si>
  <si>
    <t>11015-Other Transport &amp; Logistics services n.e.c</t>
  </si>
  <si>
    <t>12001-Post and courier activities</t>
  </si>
  <si>
    <t>12002-Basic telecom services</t>
  </si>
  <si>
    <t>12003-Value added telecom services</t>
  </si>
  <si>
    <t>12004-Maintenance of telecom network</t>
  </si>
  <si>
    <t>12005-Activities of the cable operators</t>
  </si>
  <si>
    <t>12006-Other Post &amp; Telecommunication services n.e.c</t>
  </si>
  <si>
    <t>13001-Commercial banks, saving banks and discount houses</t>
  </si>
  <si>
    <t>13002-Specialised institutions granting credit</t>
  </si>
  <si>
    <t>13003-Financial leasing</t>
  </si>
  <si>
    <t>13005-Housing finance activities</t>
  </si>
  <si>
    <t>13006-Commercial loan activities</t>
  </si>
  <si>
    <t>13007-Credit cards</t>
  </si>
  <si>
    <t>13008-Mutual funds</t>
  </si>
  <si>
    <t>13009-Chit fund</t>
  </si>
  <si>
    <t>13010-Investment activities</t>
  </si>
  <si>
    <t>13011-Life insurance</t>
  </si>
  <si>
    <t>13012-Pension funding</t>
  </si>
  <si>
    <t>13014-Administration of financial markets</t>
  </si>
  <si>
    <t>13016-Financial advisers, mortgage advisers and brokers</t>
  </si>
  <si>
    <t>13017-Foreign exchange services</t>
  </si>
  <si>
    <t>14001-Software development</t>
  </si>
  <si>
    <t>14002-Other software consultancy</t>
  </si>
  <si>
    <t>14003-Data processing</t>
  </si>
  <si>
    <t>14004-Database activities and distribution of electronic content</t>
  </si>
  <si>
    <t>14005-Other IT enabled services</t>
  </si>
  <si>
    <t>14006-BPO services</t>
  </si>
  <si>
    <t>14007-Cyber café</t>
  </si>
  <si>
    <t>14008-Maintenance and repair of office, accounting and computing machinery</t>
  </si>
  <si>
    <t>14009-Computer training and educational institutes</t>
  </si>
  <si>
    <t>15001-Natural sciences and engineering</t>
  </si>
  <si>
    <t>15002-Social sciences and humanities</t>
  </si>
  <si>
    <t>15003-Other Research &amp; Development activities n.e.c.</t>
  </si>
  <si>
    <t>16001-Legal profession</t>
  </si>
  <si>
    <t>16003-Tax consultancy</t>
  </si>
  <si>
    <t>16004-Architectural profession</t>
  </si>
  <si>
    <t>16005-Engineering and technical consultancy</t>
  </si>
  <si>
    <t>16006-Advertising</t>
  </si>
  <si>
    <t>16007-Fashion designing</t>
  </si>
  <si>
    <t>16008-Interior decoration</t>
  </si>
  <si>
    <t>16009-Photography</t>
  </si>
  <si>
    <t>16010-Auctioneers</t>
  </si>
  <si>
    <t>16011-Business brokerage</t>
  </si>
  <si>
    <t>16012-Market research and public opinion polling</t>
  </si>
  <si>
    <t>16013-Business and management consultancy activities</t>
  </si>
  <si>
    <t>16014-Labour recruitment and provision of personnel</t>
  </si>
  <si>
    <t>16017-Packaging activities</t>
  </si>
  <si>
    <t>16018-Secretarial activities</t>
  </si>
  <si>
    <t>17001-Primary education</t>
  </si>
  <si>
    <t>17004-Higher education</t>
  </si>
  <si>
    <t>17005-Education by correspondence</t>
  </si>
  <si>
    <t>17006-Coaching centres and tuitions</t>
  </si>
  <si>
    <t>17007-Other education services n.e.c.</t>
  </si>
  <si>
    <t>18001-General hospitals</t>
  </si>
  <si>
    <t>18002-Speciality and super speciality hospitals</t>
  </si>
  <si>
    <t>18003-Nursing homes</t>
  </si>
  <si>
    <t>18004-Diagnostic centres</t>
  </si>
  <si>
    <t>18005-Pathological laboratories</t>
  </si>
  <si>
    <t>18006-Independent blood banks</t>
  </si>
  <si>
    <t>18007-Medical transcription</t>
  </si>
  <si>
    <t>18008-Independent ambulance services</t>
  </si>
  <si>
    <t>18010-Medical clinics</t>
  </si>
  <si>
    <t>18012-Ayurveda practice</t>
  </si>
  <si>
    <t>18013-Unani practice</t>
  </si>
  <si>
    <t>18014-Homeopathy practice</t>
  </si>
  <si>
    <t>18015-Nurses, physiotherapists or other para-medical practitioners</t>
  </si>
  <si>
    <t>18016-Veterinary hospitals and practice</t>
  </si>
  <si>
    <t>18017-Other healthcare services</t>
  </si>
  <si>
    <t>19003-Industry associations, chambers of commerce</t>
  </si>
  <si>
    <t>19004-Professional organisations</t>
  </si>
  <si>
    <t>19005-Trade unions</t>
  </si>
  <si>
    <t>19006-Religious organizations</t>
  </si>
  <si>
    <t>19007-Political organisations</t>
  </si>
  <si>
    <t>19008-Other membership organisations n.e.c. (rotary clubs, book clubs and philatelic clubs)</t>
  </si>
  <si>
    <t>19009-Other Social or community service n.e.c</t>
  </si>
  <si>
    <t>20001-Motion picture production</t>
  </si>
  <si>
    <t>20002-Film distribution</t>
  </si>
  <si>
    <t>20003-Film laboratories</t>
  </si>
  <si>
    <t>20004-Television channel productions</t>
  </si>
  <si>
    <t>20005-Television channels broadcast</t>
  </si>
  <si>
    <t>20006-Video production and distribution</t>
  </si>
  <si>
    <t>20007-Sound recording studios</t>
  </si>
  <si>
    <t>20008-Radio - recording and distribution</t>
  </si>
  <si>
    <t>20009-Stage production and related activities</t>
  </si>
  <si>
    <t>20010-Individual artists excluding authors</t>
  </si>
  <si>
    <t>20011-Literary activities</t>
  </si>
  <si>
    <t>20013-Circuses and race tracks</t>
  </si>
  <si>
    <t>20014-Video Parlours</t>
  </si>
  <si>
    <t>20015-News agency activities</t>
  </si>
  <si>
    <t>20016-Library and archives activities</t>
  </si>
  <si>
    <t>20017-Museum activities</t>
  </si>
  <si>
    <t>20018-Preservation of historical sites and buildings</t>
  </si>
  <si>
    <t>20019-Botanical and zoological gardens</t>
  </si>
  <si>
    <t>20020-Operation and maintenance of sports facilities</t>
  </si>
  <si>
    <t>20021-Activities of sports and game schools</t>
  </si>
  <si>
    <t>20022-Organisation and operation of indoor/outdoor sports and promotion and production of sporting events</t>
  </si>
  <si>
    <t>20023-Other sporting activities n.e.c.</t>
  </si>
  <si>
    <t>21001-Hair dressing and other beauty treatment</t>
  </si>
  <si>
    <t>21002-Funeral and related activities</t>
  </si>
  <si>
    <t>21003-Marriage bureaus</t>
  </si>
  <si>
    <t>21004-Pet care services</t>
  </si>
  <si>
    <t>21005-Sauna and steam baths, massage salons etc.</t>
  </si>
  <si>
    <t>21006-Astrological and spiritualists activities</t>
  </si>
  <si>
    <t>21007-Private households as employers of domestic staff</t>
  </si>
  <si>
    <t>21008-Other services n.e.c.</t>
  </si>
  <si>
    <t>22001-Extra territorial organisations and bodies (IMF, World Bank, European Commission etc.)</t>
  </si>
  <si>
    <t>1 - 111 - Tax on accumulated balance of recognised provident fund</t>
  </si>
  <si>
    <t xml:space="preserve">5BBC - 115BBC - Anonymous donations   </t>
  </si>
  <si>
    <t>5ACA1a - 115ACA(1)(a) - Income from GDR purchased in foreign currency</t>
  </si>
  <si>
    <t>5BB - 115BB - Winnings from lotteries, crossword puzzles etc.</t>
  </si>
  <si>
    <t>(Col 1)</t>
  </si>
  <si>
    <t>(Col 2)</t>
  </si>
  <si>
    <t>(Col 3)</t>
  </si>
  <si>
    <t>(Col 4)</t>
  </si>
  <si>
    <t>5AD1ip</t>
  </si>
  <si>
    <t>5ACA(1)(a)</t>
  </si>
  <si>
    <t>Any other exempt Income (specify nature and amount)</t>
  </si>
  <si>
    <t>Any amount disallowed under section 43B in any preceding previous year but allowable during the previous year(10h of Part-OI)</t>
  </si>
  <si>
    <t>Amount apportioned in the hands of the spouse
(iii)</t>
  </si>
  <si>
    <t>Amount of TDS deducted on income at (ii)
(iv)</t>
  </si>
  <si>
    <t>TDS Apportioned In the hands of spouse
(v)</t>
  </si>
  <si>
    <t>Amount (+) or (-)</t>
  </si>
  <si>
    <t>Advance Tax (from column 5 of 17A )</t>
  </si>
  <si>
    <t>TCS (column 7 of 17D)</t>
  </si>
  <si>
    <t>Self-Assessment Tax (from column 5 of 17A)</t>
  </si>
  <si>
    <t>Amount b/f
( 5 )</t>
  </si>
  <si>
    <t>23iii</t>
  </si>
  <si>
    <t>6aia</t>
  </si>
  <si>
    <t>aib</t>
  </si>
  <si>
    <t>aic</t>
  </si>
  <si>
    <t>5aia</t>
  </si>
  <si>
    <t>5aii</t>
  </si>
  <si>
    <t>5aiii</t>
  </si>
  <si>
    <t>iiaib</t>
  </si>
  <si>
    <t>iiaic</t>
  </si>
  <si>
    <t>iiaii</t>
  </si>
  <si>
    <t>iiaiii</t>
  </si>
  <si>
    <t>iiiaib</t>
  </si>
  <si>
    <t>iiiaic</t>
  </si>
  <si>
    <t>iiiaii</t>
  </si>
  <si>
    <t>iiiaiii</t>
  </si>
  <si>
    <t>Written down value on the last day of previous year (6+ 9 -15)    (enter 0 if result is negative)</t>
  </si>
  <si>
    <t>111</t>
  </si>
  <si>
    <t>5BBG - 115BBG - Tax on Transfer of carbon credits</t>
  </si>
  <si>
    <t>5BBG - 115BBG -Tax on Transfer of carbon credits</t>
  </si>
  <si>
    <t xml:space="preserve">115BBG-Tax on Transfer of carbon credits
(a) Income under head business or profession </t>
  </si>
  <si>
    <t>Dtaa(115BB)</t>
  </si>
  <si>
    <t>Income credited to Profit and Loss account (included in 1) which is exempt</t>
  </si>
  <si>
    <t>Expenses debited to profit and loss account considered under other heads of income/related to income chargeable u/s 115BBF or u/s 115BBG</t>
  </si>
  <si>
    <t>Any other item of addition under section 28 to 44DA</t>
  </si>
  <si>
    <t xml:space="preserve">Increase in profit or decrease in loss on account of ICDS adjustments and deviation in method of valuation of stock (Column 3a + 4d of Part A - OI) </t>
  </si>
  <si>
    <t>Any amount disallowed under section 40 in any preceding previous year but allowable during the previous year(8B of Part-OI)</t>
  </si>
  <si>
    <t>Decrease in profit or increase in loss on account of ICDS adjustments and deviation in method of valuation of stock (Column 3b + 4e of Part A- OI)</t>
  </si>
  <si>
    <t>Type of business income</t>
  </si>
  <si>
    <t>Please click on Recalculate initially, and also subsequently if Gender, Date of Birth , Residential Status or Assessee Status (Indl / HUF etc) is changed (Note "Recalculate button is provided in Sheet PART B - TI - TTI)</t>
  </si>
  <si>
    <t>Written down value on the last day of previous year (6+ 9 -12)  (enter 0 if result is negative)</t>
  </si>
  <si>
    <t>xv</t>
  </si>
  <si>
    <t>Short-term Capital Gains (STCG) (Sub-items 4 and 5 are not applicable for residents)</t>
  </si>
  <si>
    <t xml:space="preserve">Section
</t>
  </si>
  <si>
    <t>Tax thereon
(iii)</t>
  </si>
  <si>
    <t>Block entitled for depreciation @ 40 per cent (Schedule DOA- 17iv)</t>
  </si>
  <si>
    <t>01001-Growing and manufacturing of tea</t>
  </si>
  <si>
    <t>03008-Mining of non-ferrous metal ores, except uranium and thorium ores</t>
  </si>
  <si>
    <t>04005-Manufacture of dairy products</t>
  </si>
  <si>
    <t>04022-Manufacture of other non-alcoholic beverages</t>
  </si>
  <si>
    <t>04044-Manufacture of man-made fibers</t>
  </si>
  <si>
    <t>04052-Manufacture of other non-metallic mineral products</t>
  </si>
  <si>
    <t>04057-Manufacture of basic precious and non-ferrous metals</t>
  </si>
  <si>
    <t>04058-Manufacture of non-metallic mineral products</t>
  </si>
  <si>
    <t>04099-Recycling of non-metal waste and scrap</t>
  </si>
  <si>
    <t>06002-Building of complete constructions or parts- civil contractors</t>
  </si>
  <si>
    <t>07001-Purchase, sale and letting of leased buildings(residential and non-residential)</t>
  </si>
  <si>
    <t>07002-Operating of real estate of self-owned buildings(residential and non-residential)</t>
  </si>
  <si>
    <t>07003-Developing and sub-dividing real estate into lots</t>
  </si>
  <si>
    <t>09002-Repair and maintenance of motor vehicles</t>
  </si>
  <si>
    <t>09003-Sale of motor parts and accessories- wholesale and retail</t>
  </si>
  <si>
    <t>09020-Wholesale of waste, scrap &amp; materials for re-cycling</t>
  </si>
  <si>
    <t>09023-Retail sale in non-specialized stores</t>
  </si>
  <si>
    <t>10002-Hotels-Non-star rated</t>
  </si>
  <si>
    <t>11005-Transport by urban/sub-urban railways</t>
  </si>
  <si>
    <t>13004-Hire-purchase financing</t>
  </si>
  <si>
    <t>13013-Non-life insurance</t>
  </si>
  <si>
    <t>13015-Stock brokers, sub-brokers and related activities</t>
  </si>
  <si>
    <t>13018-Other financial intermediation services n.e.c.</t>
  </si>
  <si>
    <t>14010-Other computation related services n.e.c.</t>
  </si>
  <si>
    <t>16002-Accounting, book-keeping and auditing profession</t>
  </si>
  <si>
    <t>16015-Investigation and security services</t>
  </si>
  <si>
    <t>16016-Building-cleaning and industrial cleaning activities</t>
  </si>
  <si>
    <t>16019-Other professional services n.e.c.</t>
  </si>
  <si>
    <t>17002-Secondary/ senior secondary education</t>
  </si>
  <si>
    <t>17003-Technical and vocational secondary/ senior secondary education</t>
  </si>
  <si>
    <t>18009-Medical suppliers, agencies and stores</t>
  </si>
  <si>
    <t>18011-Dental practice</t>
  </si>
  <si>
    <t>19001-Social work activities with accommodation (orphanages and old age homes)</t>
  </si>
  <si>
    <t>19002-Social work activities without accommodation (Creches)</t>
  </si>
  <si>
    <t>20012-Other cultural activities n.e.c.</t>
  </si>
  <si>
    <t>20024-Other recreational activities n.e.c.</t>
  </si>
  <si>
    <t>80CCD(1B) - Contribution to pension scheme of Central Government</t>
  </si>
  <si>
    <t>Furniture and fittings (Schedule DOA- 14v or 15v as applicable)</t>
  </si>
  <si>
    <t>Intangible assets (Schedule DOA- 14vi or 15vi as applicable)</t>
  </si>
  <si>
    <t>Ships (Schedule DOA- 14vii or 15vii as applicable)</t>
  </si>
  <si>
    <t>24a</t>
  </si>
  <si>
    <t>24b</t>
  </si>
  <si>
    <t>24c</t>
  </si>
  <si>
    <t>24d</t>
  </si>
  <si>
    <t>24e</t>
  </si>
  <si>
    <t xml:space="preserve">TOTAL </t>
  </si>
  <si>
    <t>Zip code</t>
  </si>
  <si>
    <t>Zipcode</t>
  </si>
  <si>
    <t>From Income Tax refund</t>
  </si>
  <si>
    <t xml:space="preserve">BSR Code
</t>
  </si>
  <si>
    <t>Verification PAN</t>
  </si>
  <si>
    <t>Filing Date</t>
  </si>
  <si>
    <t>Validate data before generating XML</t>
  </si>
  <si>
    <t>Instructions</t>
  </si>
  <si>
    <t>1. Verify the count of number of entries against each schedule.
2. Ensure the total number of entries entered per schedule is valid and being reflected in the preview sheet.   
3. In case this count does not match the number of entries, you may check and update the schedules. 
4. Click on ‘Save XML’ to generate the XML file if all the details are verified.
5. All Schedules which are optional and not filled are reported as ‘Empty’ in Preview.</t>
  </si>
  <si>
    <t>SUMMARY</t>
  </si>
  <si>
    <t>Income Benefit</t>
  </si>
  <si>
    <t>Tax Benefit</t>
  </si>
  <si>
    <t>2000-01</t>
  </si>
  <si>
    <t>2009-10</t>
  </si>
  <si>
    <t>EBIL</t>
  </si>
  <si>
    <t>JIOP</t>
  </si>
  <si>
    <t>DURG</t>
  </si>
  <si>
    <t>IPOS</t>
  </si>
  <si>
    <t>JSFB</t>
  </si>
  <si>
    <t>NBRD</t>
  </si>
  <si>
    <t>RRBP</t>
  </si>
  <si>
    <t>THRS</t>
  </si>
  <si>
    <t>ABPB</t>
  </si>
  <si>
    <t>KRTH</t>
  </si>
  <si>
    <t>SIDB</t>
  </si>
  <si>
    <t>AMDN</t>
  </si>
  <si>
    <t>APGV</t>
  </si>
  <si>
    <t>HARC</t>
  </si>
  <si>
    <t>VASJ</t>
  </si>
  <si>
    <t>RESERVE BANK OF INDIA</t>
  </si>
  <si>
    <t>EMIRATES NBD BANK P J S C</t>
  </si>
  <si>
    <t>JIO PAYMENTS BANK LIMITED</t>
  </si>
  <si>
    <t>DURGAPUR STEEL PEOPLES CO-OPERATIVE BANK LTD</t>
  </si>
  <si>
    <t>INDIA POST PAYMENT BANK</t>
  </si>
  <si>
    <t>JANA SMALL FINANCE BANK LTD</t>
  </si>
  <si>
    <t>NATIONAL BANK FOR AGRICULTURE AND RURAL DEVELOPMENT</t>
  </si>
  <si>
    <t>RAJARAMBAPU SAHAKARI BANK LIMITED</t>
  </si>
  <si>
    <t>THRISSUR DISTRICT CO-OPERATIVE BANK LTD</t>
  </si>
  <si>
    <t>ADITYA BIRLA IDEA PAYMENTS BANK</t>
  </si>
  <si>
    <t>KRUNG THAI BANK PCL</t>
  </si>
  <si>
    <t>SMALL INDUSTRIES DEVELOPMENT BANK OF INDIA</t>
  </si>
  <si>
    <t>AHMEDNAGAR MERCHANTS CO-OP BANK LTD</t>
  </si>
  <si>
    <t>ANDHRA PRADESH GRAMEENA VIKAS BANK</t>
  </si>
  <si>
    <t>HARYANA STATE COOPERATIVE BANK</t>
  </si>
  <si>
    <t>VASAI JANATA SAHAKARI BANK LTD</t>
  </si>
  <si>
    <t>670-TIMOR-LESTE(EAST TIMOR)</t>
  </si>
  <si>
    <t>Rectification</t>
  </si>
  <si>
    <t>In response to Notice u/s 139(9)</t>
  </si>
  <si>
    <t>TOTAL  A</t>
  </si>
  <si>
    <t>TOTAL  B :</t>
  </si>
  <si>
    <t xml:space="preserve">TOTAL  C : </t>
  </si>
  <si>
    <t>TOTAL  D</t>
  </si>
  <si>
    <t>2019-20</t>
  </si>
  <si>
    <t>Any other expense not allowable / any other income not included in profit and loss account(including income from salary, commission, bonus and interest from firms in which individual/HUF/prop. concern is a partner)</t>
  </si>
  <si>
    <t>z</t>
  </si>
  <si>
    <t xml:space="preserve">1-Self &amp; family ( senior citizen)                                                                   </t>
  </si>
  <si>
    <t xml:space="preserve">2-Parents( senior citizen)                                                                                           </t>
  </si>
  <si>
    <t>3-Self &amp; family including parents(senior citizen)</t>
  </si>
  <si>
    <t>Note: Please enter total of column 5 in 10b of Part B-TTI</t>
  </si>
  <si>
    <t>Note: Please enter total column 9 of above in 10b of Part B-TTI</t>
  </si>
  <si>
    <t>TAMILNAD MERCANTILE BANK LIMITED</t>
  </si>
  <si>
    <t>Tamilnad mercantile bank limited</t>
  </si>
  <si>
    <t xml:space="preserve">AMT Credit Utilised during the Current Assessment Year 
(C)
</t>
  </si>
  <si>
    <t xml:space="preserve">AMT Credit Balance brought forward to the current assessment year
(B3) = (B1) – (B2
</t>
  </si>
  <si>
    <t>Salary as per section 17(1)</t>
  </si>
  <si>
    <t>Value of perquisites as per section 17(2)</t>
  </si>
  <si>
    <t>Profit in lieu of salary as per section 17(3)</t>
  </si>
  <si>
    <t xml:space="preserve">Standard deduction u/s 16(ia) </t>
  </si>
  <si>
    <t>Entertainment allowance u/s 16(ii)</t>
  </si>
  <si>
    <t>Professional tax u/s 16(iii)</t>
  </si>
  <si>
    <t>A1</t>
  </si>
  <si>
    <t>Country Name and Code
2</t>
  </si>
  <si>
    <t>Name of  financial institution
3</t>
  </si>
  <si>
    <t>Address of  financial institution
4</t>
  </si>
  <si>
    <t>ZIP Code
5</t>
  </si>
  <si>
    <t>Account Number
6</t>
  </si>
  <si>
    <t>Status
7</t>
  </si>
  <si>
    <t>Account opening date
8</t>
  </si>
  <si>
    <t>Closing balance 
10</t>
  </si>
  <si>
    <t>Gross interest paid/credited to the account during the period
11</t>
  </si>
  <si>
    <t>A2</t>
  </si>
  <si>
    <t>A3</t>
  </si>
  <si>
    <t>Name of entity
3</t>
  </si>
  <si>
    <t>Address of entity
4</t>
  </si>
  <si>
    <t>Nature of entity
6</t>
  </si>
  <si>
    <t>Date of acquiring the interest
7</t>
  </si>
  <si>
    <t>Initial value of the investment
8</t>
  </si>
  <si>
    <t>Total gross amount paid/credited with respect to the holding during the period
11</t>
  </si>
  <si>
    <t>Total gross proceeds from sale or redemption of investment during the period
12</t>
  </si>
  <si>
    <t>A4</t>
  </si>
  <si>
    <t>Name of financial institution in which insurance contract held
3</t>
  </si>
  <si>
    <t>Address of financial institution
4</t>
  </si>
  <si>
    <t>Date of contract
6</t>
  </si>
  <si>
    <t>The cash value or surrender value of the contract
7</t>
  </si>
  <si>
    <t>Total gross amount paid/credited with respect to the contract during the period.
8</t>
  </si>
  <si>
    <t>Amount
11b</t>
  </si>
  <si>
    <t>Dividend</t>
  </si>
  <si>
    <t>Proceeds from sale or redemption of financial assets</t>
  </si>
  <si>
    <t>Peak Balance During the Period 
9</t>
  </si>
  <si>
    <t>OTHERS</t>
  </si>
  <si>
    <t>Details of Exempt Income (Income not to be included in total income or not chargeable to tax)</t>
  </si>
  <si>
    <t>Income not chargeable to tax as per DTAA</t>
  </si>
  <si>
    <t>Pass through income not chargeable to tax (Schedule PTI)</t>
  </si>
  <si>
    <t>Name of district</t>
  </si>
  <si>
    <t>Owned</t>
  </si>
  <si>
    <t>Held on Lease</t>
  </si>
  <si>
    <t xml:space="preserve">Irrigated </t>
  </si>
  <si>
    <t>Rain-fed</t>
  </si>
  <si>
    <t>Measurement of agricultural land in Acre
b</t>
  </si>
  <si>
    <t>Donation in Cash</t>
  </si>
  <si>
    <t>Donation in Other mode</t>
  </si>
  <si>
    <t>Sec 10(10CC)-Tax paid by employer on non-monetary perquisite</t>
  </si>
  <si>
    <t>Sec 10(13A)-Allowance to meet expenditure incurred on house rent</t>
  </si>
  <si>
    <t>Information about accrual/receipt of income from Other Sources</t>
  </si>
  <si>
    <t>Other Source Income</t>
  </si>
  <si>
    <t>Upto 15/6
     (i)</t>
  </si>
  <si>
    <t>From 16/3 to 31/3
            (v)</t>
  </si>
  <si>
    <t>From 16/12 to 15/3
             (iv)</t>
  </si>
  <si>
    <t>From 16/9 to 15/12
          (iii)</t>
  </si>
  <si>
    <t>From 16/6 to 15/9
             (ii)</t>
  </si>
  <si>
    <t>30% Os winning from lottery</t>
  </si>
  <si>
    <t>10% BBDA</t>
  </si>
  <si>
    <t>Total amount of STCG chargeable to tax at special rates as per DTAA</t>
  </si>
  <si>
    <t>Long-term capital gain (LTCG) (Items 6 , 7 , 8 &amp; 9 are not applicable for residents)</t>
  </si>
  <si>
    <t>Total Donation</t>
  </si>
  <si>
    <t xml:space="preserve">From sale of equity share in a company or unit of equity oriented fund or unit of a business trust on which STT is paid under section 112A </t>
  </si>
  <si>
    <t>Name of  trustees
4</t>
  </si>
  <si>
    <t>Address of trustees
4(a)</t>
  </si>
  <si>
    <t>For NON-RESIDENTS - From sale of equity share in a company or unit of equity oriented fund or unit of a business trust on which STT is paid under section 112A</t>
  </si>
  <si>
    <t>B6c</t>
  </si>
  <si>
    <t>LTCG on share or debenture (6a-6b)</t>
  </si>
  <si>
    <t>7ai</t>
  </si>
  <si>
    <t>Balance (7aiii – biv)</t>
  </si>
  <si>
    <t>7bi</t>
  </si>
  <si>
    <t>7ic</t>
  </si>
  <si>
    <t>B7ie</t>
  </si>
  <si>
    <t>7iiai</t>
  </si>
  <si>
    <t>7iic</t>
  </si>
  <si>
    <t>B7iie</t>
  </si>
  <si>
    <t>7iiiai</t>
  </si>
  <si>
    <t>7iiic</t>
  </si>
  <si>
    <t>B7iiie</t>
  </si>
  <si>
    <t>B9c</t>
  </si>
  <si>
    <t>B9f</t>
  </si>
  <si>
    <t>Balance LTCG on sale of specified asset (9a – 9b)</t>
  </si>
  <si>
    <t>Balance LTCG on sale of asset, other than specified asset  (9d – 9e)</t>
  </si>
  <si>
    <t>10ai</t>
  </si>
  <si>
    <t>10aii</t>
  </si>
  <si>
    <t>10aiii</t>
  </si>
  <si>
    <t>B10e</t>
  </si>
  <si>
    <t>From sale of equity share or unit of equity oriented Mutual Fund (MF) or unit of a business trust on which STT is paid under section 111A(For others) Sec 115AD(1)(b)(ii) proviso for FII</t>
  </si>
  <si>
    <t xml:space="preserve">Total Deduction under section 54/54B/54D/54EC/54F/54G/54GA/54GB  (Specify details in item D below) </t>
  </si>
  <si>
    <t>Capital Gain of current year (Fill this column only if computed figure is positive)</t>
  </si>
  <si>
    <t>Capital Loss to be set off (Fill this row only if figure computed is negative)
                          ------&gt;</t>
  </si>
  <si>
    <t xml:space="preserve">Short term capital loss </t>
  </si>
  <si>
    <t>Long term capital loss</t>
  </si>
  <si>
    <t>DTAA rates</t>
  </si>
  <si>
    <t xml:space="preserve">applicable rate </t>
  </si>
  <si>
    <t>Total loss set off
(ii + iii + iv + v + vi+vii+viii)</t>
  </si>
  <si>
    <t>xvi</t>
  </si>
  <si>
    <t>xvii</t>
  </si>
  <si>
    <t>xviii</t>
  </si>
  <si>
    <t>Loss remaining after set-off (i - xvii)</t>
  </si>
  <si>
    <t>Short-term capital gain taxable at DTAA rates</t>
  </si>
  <si>
    <t>Long term capital gains taxable @ DTAA rates</t>
  </si>
  <si>
    <t>Total gross salary from all employers</t>
  </si>
  <si>
    <t>Income chargeable under the Head ‘Salaries’ (4 - 5)</t>
  </si>
  <si>
    <t>For NON-RESIDENTS- from sale of securities by FII as referred to in sec. 115AD(other than securities referred to in Section 112A fill up column B8 below)</t>
  </si>
  <si>
    <t>If liable to audit under any Act other than the Income-tax Act, mention the Act, section and date of furnishing the audit report?</t>
  </si>
  <si>
    <t>Act</t>
  </si>
  <si>
    <t>Date of Audit (DD/MM/YYYY)</t>
  </si>
  <si>
    <t>STCG DTAA</t>
  </si>
  <si>
    <t>LTCG DTAA</t>
  </si>
  <si>
    <t>Schedule Manufacturing Account</t>
  </si>
  <si>
    <t>Opening Inventory</t>
  </si>
  <si>
    <t xml:space="preserve">Opening stock of raw-material </t>
  </si>
  <si>
    <t xml:space="preserve">Opening stock of Work in progress </t>
  </si>
  <si>
    <t xml:space="preserve">Direct wages </t>
  </si>
  <si>
    <t>Carriage inward</t>
  </si>
  <si>
    <t xml:space="preserve">Power and fuel </t>
  </si>
  <si>
    <t xml:space="preserve">Other direct expenses </t>
  </si>
  <si>
    <t>Factory Overheads</t>
  </si>
  <si>
    <t>Ei</t>
  </si>
  <si>
    <t>Eii</t>
  </si>
  <si>
    <t>Eiii</t>
  </si>
  <si>
    <t>Eiv</t>
  </si>
  <si>
    <t>Ev</t>
  </si>
  <si>
    <t xml:space="preserve"> Indirect wages</t>
  </si>
  <si>
    <t xml:space="preserve">Factory rent and rates </t>
  </si>
  <si>
    <t xml:space="preserve">Factory Insurance </t>
  </si>
  <si>
    <t xml:space="preserve">Factory fuel and power </t>
  </si>
  <si>
    <t xml:space="preserve">Factory general expenses </t>
  </si>
  <si>
    <t>Depreciation of factory machinery</t>
  </si>
  <si>
    <t>Evi</t>
  </si>
  <si>
    <t>Evii</t>
  </si>
  <si>
    <t>Total of Debits to Manufacturing Account (Aiii+B+C+D+Evii)</t>
  </si>
  <si>
    <t>Raw material</t>
  </si>
  <si>
    <t>Work-in-progress</t>
  </si>
  <si>
    <t>Total (2i +2ii)</t>
  </si>
  <si>
    <t>Total (i+ii+iii+iv+v+vi)</t>
  </si>
  <si>
    <t>Schedule Trading Account</t>
  </si>
  <si>
    <t>Sales/ Gross receipts of business (net of returns and refunds and duty or tax, if any)</t>
  </si>
  <si>
    <t>Sale of services</t>
  </si>
  <si>
    <t>Other operating revenues (specify nature and amount)</t>
  </si>
  <si>
    <t>ABHYUDAYA COOPERATIVE BANK LIMITED</t>
  </si>
  <si>
    <t>ALMORA URBAN COOPERATIVE BANK LIMITED</t>
  </si>
  <si>
    <t>AMBARNATH JAIHIND COOP BANK LTD AMBARNATH</t>
  </si>
  <si>
    <t>APNA SAHAKARI BANK LIMITED</t>
  </si>
  <si>
    <t>AUSTRALIA AND NEW ZEALAND BANKING GROUP LIMITED</t>
  </si>
  <si>
    <t>B N P PARIBAS</t>
  </si>
  <si>
    <t>BANK OF BAHARAIN AND KUWAIT BSC</t>
  </si>
  <si>
    <t>BASSEIN CATHOLIC COOPERATIVE BANK LIMITED</t>
  </si>
  <si>
    <t>BHAGINI NIVEDITA SAHAKARI BANK LTD PUNE</t>
  </si>
  <si>
    <t>BHARAT COOPERATIVE BANK MUMBAI LIMITED</t>
  </si>
  <si>
    <t>CATHOLIC SYRIAN BANK LIMITED</t>
  </si>
  <si>
    <t>CHINATRUST COMMERCIAL BANK LIMITED</t>
  </si>
  <si>
    <t>CITIZEN CREDIT COOPERATIVE BANK LIMITED</t>
  </si>
  <si>
    <t>CITY UNION BANK LIMITED</t>
  </si>
  <si>
    <t>CREDIT AGRICOLE CORPORATE AND INVESTMENT BANK CALYON BANK</t>
  </si>
  <si>
    <t>CREDIT SUISEE AG</t>
  </si>
  <si>
    <t>DCB BANK LIMITED</t>
  </si>
  <si>
    <t>DEUSTCHE BANK</t>
  </si>
  <si>
    <t>DEVELOPMENT BANK OF SINGAPORE</t>
  </si>
  <si>
    <t>DHANALAKSHMI BANK</t>
  </si>
  <si>
    <t>DOHA BANK</t>
  </si>
  <si>
    <t>DOMBIVLI NAGARI SAHAKARI BANK LIMITED</t>
  </si>
  <si>
    <t>FEDERAL BANK</t>
  </si>
  <si>
    <t>FIRST ABU DHABI BANK PJSC</t>
  </si>
  <si>
    <t>FIRSTRAND BANK LIMITED</t>
  </si>
  <si>
    <t>GS Mahanagar Co-operative Bank Limited, Mumbai</t>
  </si>
  <si>
    <t>HDFC BANK</t>
  </si>
  <si>
    <t>HSBC BANK</t>
  </si>
  <si>
    <t>ICICI BANK LIMITED</t>
  </si>
  <si>
    <t>IDBI BANK</t>
  </si>
  <si>
    <t>IDRBT</t>
  </si>
  <si>
    <t>INDUSIND BANK</t>
  </si>
  <si>
    <t>INDUSTRIAL AND COMMERCIAL BANK OF CHINA LIMITED</t>
  </si>
  <si>
    <t>Irinjalakuda Town Co-Operative Bank Ltd</t>
  </si>
  <si>
    <t>JALGAON JANATA SAHAKARI BANK LIMITED</t>
  </si>
  <si>
    <t>JAMMU AND KASHMIR BANK LIMITED</t>
  </si>
  <si>
    <t>JANAKALYAN SAHAKARI BANK LIMITED</t>
  </si>
  <si>
    <t>JANASEVA SAHAKARI BANK BORIVLI LIMITED</t>
  </si>
  <si>
    <t>JANASEVA SAHAKARI BANK LIMITED</t>
  </si>
  <si>
    <t>JANATA SAHAKARI BANK LIMITED</t>
  </si>
  <si>
    <t>JP MORGAN BANK</t>
  </si>
  <si>
    <t>KALLAPPANNA AWADE ICHALKARANJI JANATA SAHAKARI BANK LIMITED</t>
  </si>
  <si>
    <t>KALYAN JANATA SAHAKARI BANK</t>
  </si>
  <si>
    <t>KARNATAKA BANK LIMITED</t>
  </si>
  <si>
    <t>KAVERI GRAMEENA BANK</t>
  </si>
  <si>
    <t>KEB Hana Bank</t>
  </si>
  <si>
    <t>KOTAK MAHINDRA BANK LIMITED</t>
  </si>
  <si>
    <t>Maharashtra Gramin Bank</t>
  </si>
  <si>
    <t>MAHARASHTRA STATE COOPERATIVE BANK</t>
  </si>
  <si>
    <t>Mahesh Sahakari Bank Ltd Pune</t>
  </si>
  <si>
    <t>MASHREQBANK PSC</t>
  </si>
  <si>
    <t>MIZUHO BANK LTD</t>
  </si>
  <si>
    <t>MUFG BANK, LTD</t>
  </si>
  <si>
    <t>NAGAR URBAN CO OPERATIVE BANK</t>
  </si>
  <si>
    <t>NAGPUR NAGARIK SAHAKARI BANK LIMITED</t>
  </si>
  <si>
    <t>NATIONAL AUSTRALIA BANK LIMITED</t>
  </si>
  <si>
    <t>NEW INDIA COOPERATIVE BANK LIMITED</t>
  </si>
  <si>
    <t>NKGSB COOPERATIVE BANK LIMITED</t>
  </si>
  <si>
    <t>NSDL Payments Bank Limited</t>
  </si>
  <si>
    <t>NUTAN NAGARIK SAHAKARI BANK LIMITED</t>
  </si>
  <si>
    <t>PRIME COOPERATIVE BANK LIMITED</t>
  </si>
  <si>
    <t>PT BANK MAYBANK INDONESIA TBK</t>
  </si>
  <si>
    <t>PUNJAB AND MAHARSHTRA COOPERATIVE BANK</t>
  </si>
  <si>
    <t>RAJGURUNAGAR SAHAKARI BANK LIMITED</t>
  </si>
  <si>
    <t>RAJKOT NAGRIK SAHAKARI BANK LIMITED</t>
  </si>
  <si>
    <t>RBI PAD, AHMEDABAD</t>
  </si>
  <si>
    <t>RBL Bank Limited</t>
  </si>
  <si>
    <t>RESERVE BANK OF INDIA , PAD</t>
  </si>
  <si>
    <t>RESERVE BANK OF INDIA, PAD</t>
  </si>
  <si>
    <t>SAHEBRAO DESHMUKH COOPERATIVE BANK LIMITED</t>
  </si>
  <si>
    <t>SARASWAT COOPERATIVE BANK LIMITED</t>
  </si>
  <si>
    <t>SBM BANK INDIA LIMITED</t>
  </si>
  <si>
    <t>SHRI CHHATRAPATI RAJASHRI SHAHU URBAN COOPERATIVE BANK LIMITED</t>
  </si>
  <si>
    <t>Shri Veershaiv Co Op Bank Ltd</t>
  </si>
  <si>
    <t>SIR M VISVESVARAYA CO OPERATIVE BANK LTD</t>
  </si>
  <si>
    <t>SOLAPUR JANATA SAHAKARI BANK LIMITED</t>
  </si>
  <si>
    <t>SUTEX COOPERATIVE BANK LIMITED</t>
  </si>
  <si>
    <t>TEXTILE TRADERS CO-OPERATIVE BANK LIMITED</t>
  </si>
  <si>
    <t>THE A.P. MAHESH COOPERATIVE URBAN BANK LIMITED</t>
  </si>
  <si>
    <t>THE AKOLA DISTRICT CENTRAL COOPERATIVE BANK</t>
  </si>
  <si>
    <t>THE ANDHRA PRADESH STATE COOPERATIVE BANK LIMITED</t>
  </si>
  <si>
    <t>THE COSMOS CO OPERATIVE BANK LIMITED</t>
  </si>
  <si>
    <t>THE DELHI STATE COOPERATIVE BANK LIMITED</t>
  </si>
  <si>
    <t>THE GADCHIROLI DISTRICT CENTRAL COOPERATIVE BANK LIMITED</t>
  </si>
  <si>
    <t>THE GREATER BOMBAY COOPERATIVE BANK LIMITED</t>
  </si>
  <si>
    <t>THE GUJARAT STATE COOPERATIVE BANK LIMITED</t>
  </si>
  <si>
    <t>THE HASTI COOP BANK LTD</t>
  </si>
  <si>
    <t>THE JALGAON PEOPELS COOPERATIVE BANK LIMITED</t>
  </si>
  <si>
    <t>THE KANGRA CENTRAL COOPERATIVE BANK LIMITED</t>
  </si>
  <si>
    <t>THE KANGRA COOPERATIVE BANK LIMITED</t>
  </si>
  <si>
    <t>THE KARAD URBAN COOPERATIVE BANK LIMITED</t>
  </si>
  <si>
    <t>THE KARANATAKA STATE COOPERATIVE APEX BANK LIMITED</t>
  </si>
  <si>
    <t>THE KURMANCHAL NAGAR SAHAKARI BANK LIMITED</t>
  </si>
  <si>
    <t>THE MEHSANA URBAN COOPERATIVE BANK</t>
  </si>
  <si>
    <t>THE MUMBAI DISTRICT CENTRAL COOPERATIVE BANK LIMITED</t>
  </si>
  <si>
    <t>THE MUNICIPAL COOPERATIVE BANK LIMITED</t>
  </si>
  <si>
    <t>THE NAINITAL BANK LIMITED</t>
  </si>
  <si>
    <t>THE NASIK MERCHANTS COOPERATIVE BANK LIMITED</t>
  </si>
  <si>
    <t>THE RAJASTHAN STATE COOPERATIVE BANK LIMITED</t>
  </si>
  <si>
    <t>THE SEVA VIKAS COOPERATIVE BANK LIMITED</t>
  </si>
  <si>
    <t>THE SHAMRAO VITHAL COOPERATIVE BANK</t>
  </si>
  <si>
    <t>THE SURAT DISTRICT COOPERATIVE BANK LIMITED</t>
  </si>
  <si>
    <t>THE SURATH PEOPLES COOPERATIVE BANK LIMITED</t>
  </si>
  <si>
    <t>THE TAMIL NADU STATE APEX COOPERATIVE BANK</t>
  </si>
  <si>
    <t>THE THANE BHARAT SAHAKARI BANK LIMITED</t>
  </si>
  <si>
    <t>THE THANE DISTRICT CENTRAL COOPERATIVE BANK LIMITED</t>
  </si>
  <si>
    <t>THE URBAN CO OPERATIVE BANK Ltd No ONE SEVEN FIVE EIGHT PERINTHALMANNA</t>
  </si>
  <si>
    <t>THE VARACHHA COOPERATIVE BANK LIMITED</t>
  </si>
  <si>
    <t>THE VISHWESHWAR SAHAKARI BANK LIMITED</t>
  </si>
  <si>
    <t>THE WEST BENGAL STATE COOPERATIVE BANK</t>
  </si>
  <si>
    <t>TJSB SAHAKARI BANK LIMITED</t>
  </si>
  <si>
    <t>TUMKUR GRAIN MERCHANTS COOPERATIVE BANK LIMITED</t>
  </si>
  <si>
    <t>Ujjivan Small Finance Bank Limited</t>
  </si>
  <si>
    <t>UNITED OVERSEAS BANK LIMITED</t>
  </si>
  <si>
    <t>VASAI VIKAS SAHAKARI BANK LIMITED</t>
  </si>
  <si>
    <t>YES BANK</t>
  </si>
  <si>
    <t>ZILA SAHAKRI BANK LIMITED GHAZIABAD</t>
  </si>
  <si>
    <t>AJHC</t>
  </si>
  <si>
    <t>BNSB</t>
  </si>
  <si>
    <t>RBIH</t>
  </si>
  <si>
    <t>ITBL</t>
  </si>
  <si>
    <t>KGRB</t>
  </si>
  <si>
    <t>MSBL</t>
  </si>
  <si>
    <t>NSPB</t>
  </si>
  <si>
    <t>SVSH</t>
  </si>
  <si>
    <t>MVCB</t>
  </si>
  <si>
    <t>URBN</t>
  </si>
  <si>
    <t>Duties, taxes and cess received or receivable in respect of goods and services sold or supplied</t>
  </si>
  <si>
    <t xml:space="preserve">Union Excise duties </t>
  </si>
  <si>
    <t>Service Tax</t>
  </si>
  <si>
    <t>Total (i + ii + iii + iv +v+ vi+vii+viii)</t>
  </si>
  <si>
    <t>Total Revenue from operations (Aiv + B +Cix)</t>
  </si>
  <si>
    <t>Closing Stock of Finished Stocks</t>
  </si>
  <si>
    <t>Total of credits to Trading Account (4D + 5 )</t>
  </si>
  <si>
    <t>Opening Stock of Finished Goods</t>
  </si>
  <si>
    <t>Nature of direct expenses</t>
  </si>
  <si>
    <t xml:space="preserve">Custom duty </t>
  </si>
  <si>
    <t xml:space="preserve">Counter veiling duty </t>
  </si>
  <si>
    <t xml:space="preserve">Special additional duty </t>
  </si>
  <si>
    <t xml:space="preserve">Union excise duty </t>
  </si>
  <si>
    <t xml:space="preserve">Any other tax, paid or payable </t>
  </si>
  <si>
    <t>Total (10i + 10ii + 10iii + 10iv + 10v + 10vi + 10vii + 10viii + 10ix + 10x+10xi)</t>
  </si>
  <si>
    <t xml:space="preserve">Cost of goods produced – Transferred from Manufacturing Account </t>
  </si>
  <si>
    <t>4Cix</t>
  </si>
  <si>
    <t>4D</t>
  </si>
  <si>
    <t>10xii</t>
  </si>
  <si>
    <t>10Sec115AD3_Proviso</t>
  </si>
  <si>
    <t>10sec112A</t>
  </si>
  <si>
    <t>STCG Chargeable under DTAA rates</t>
  </si>
  <si>
    <t>LTCG Chargeable under DTAA rates</t>
  </si>
  <si>
    <t>Other source income chargeable under DTAA rates</t>
  </si>
  <si>
    <t xml:space="preserve">You were in India for 182 days or more during the previous year [section 6(1)(a)]
</t>
  </si>
  <si>
    <t>You were in India for 60 days or more during the previous year, and have been in India for 365 days or more within the 4 preceding years [section (6)(1)(c)] [where Explanation 1 is not applicable]</t>
  </si>
  <si>
    <t xml:space="preserve">You have been a non-resident in India in 9 out of 10 preceding years [section 6(6)(a)]
</t>
  </si>
  <si>
    <t>You have been in India for 729 days or less during the 7 preceding years [section 6(6)(a)]</t>
  </si>
  <si>
    <t>You were a non-resident during the previous year.</t>
  </si>
  <si>
    <t>Conditions for Residential Status 
(Applicable for Individuals Only)</t>
  </si>
  <si>
    <t>(i) Please specify the jurisdiction(s) of residence during the previous year -</t>
  </si>
  <si>
    <t>Jurisdiction(s) of residence</t>
  </si>
  <si>
    <t>Taxpayer Identification Number(s)</t>
  </si>
  <si>
    <t>(ii) In case you are a Citizen of India or a Person of Indian Origin (POI), please specify -</t>
  </si>
  <si>
    <t>Total period of stay in India during the previous year (in days)</t>
  </si>
  <si>
    <t>Total period of stay in India during the 4 preceding years (in days)</t>
  </si>
  <si>
    <t>TAN of Employer (mandatory if tax is deducted)</t>
  </si>
  <si>
    <t>Balance (7aiii – 7biv)</t>
  </si>
  <si>
    <t>From sale of assets where B1 to B9 above are not applicable</t>
  </si>
  <si>
    <t>Balance (10aiii – biv)</t>
  </si>
  <si>
    <t>STCGDTAA</t>
  </si>
  <si>
    <t>LTCGDTAA</t>
  </si>
  <si>
    <t>Name of company</t>
  </si>
  <si>
    <t>Whether its shares are listed or unlisted</t>
  </si>
  <si>
    <t>Director Identification Number (DIN)</t>
  </si>
  <si>
    <t>Opening Balance</t>
  </si>
  <si>
    <t>No. of shares</t>
  </si>
  <si>
    <t>Cost of acquisition</t>
  </si>
  <si>
    <t>Shares acquired during the year</t>
  </si>
  <si>
    <t>Closing Balance</t>
  </si>
  <si>
    <t>Date of subscription  / purchase</t>
  </si>
  <si>
    <t>Face value per share</t>
  </si>
  <si>
    <t>Sale consideration</t>
  </si>
  <si>
    <t>Issue price per share (in case of fresh issue)</t>
  </si>
  <si>
    <t>Purchase price per share (in case of purchase from existing shareholder)</t>
  </si>
  <si>
    <t>Income under the head “Income from house property” (1k) + 2 
(if negative take the figure to 2i of schedule CYLA)</t>
  </si>
  <si>
    <t>Arrears/Unrealized Rent received during the year Less 30%</t>
  </si>
  <si>
    <t>Income from house property (f – i + j)</t>
  </si>
  <si>
    <t>Capacity of representative</t>
  </si>
  <si>
    <t>Representative capacity</t>
  </si>
  <si>
    <t>Legal Heir</t>
  </si>
  <si>
    <t>Manager</t>
  </si>
  <si>
    <t>Guardian</t>
  </si>
  <si>
    <t>Other</t>
  </si>
  <si>
    <t>Donation in other mode</t>
  </si>
  <si>
    <t>Donation in cash</t>
  </si>
  <si>
    <t>PAN of donee</t>
  </si>
  <si>
    <t>Pincode</t>
  </si>
  <si>
    <t>Name of Donee</t>
  </si>
  <si>
    <t>80GGA(2)(a)-Sum paid to Research Association or University, college or other institution for Scientific Research</t>
  </si>
  <si>
    <t>80GGA(2)(aa)-Sum paid to Research Association or University, college or other institution for Social science or Statistical Research</t>
  </si>
  <si>
    <t>80GGA(2)(b)-Sum paid to an association or institution for Rural Development</t>
  </si>
  <si>
    <t xml:space="preserve">80GGA(2)(bb)-Sum paid to PSU or Local Authority or  an association or institution approved by the National Committee for carrying out any eligible project </t>
  </si>
  <si>
    <t>80GGA(2)(c)-Sum paid to an association or institution for Conservation of Natural Resources or for afforestation</t>
  </si>
  <si>
    <t>80GGA(2)(cc)-Sum paid for Afforestation, to the funds, which are notified by Central Govt.</t>
  </si>
  <si>
    <t>80GGA(2)(d)-Sum paid for Rural Development to the funds, which are notified by Central Govt.</t>
  </si>
  <si>
    <t>80GGA(2)(e)-Sum paid to National Urban Poverty Eradication Fund as setup and notified by Central Govt.</t>
  </si>
  <si>
    <t>Whether you are Director in a company at any time during the previous year? 
If yes, please furnish following information -</t>
  </si>
  <si>
    <t>Owner of the property</t>
  </si>
  <si>
    <t>Self</t>
  </si>
  <si>
    <t>Minor</t>
  </si>
  <si>
    <t>Spouse</t>
  </si>
  <si>
    <t>Address Of Property (Note : Do not leave address blank )</t>
  </si>
  <si>
    <t>Owner of the Property
(Please specify if others is selected )</t>
  </si>
  <si>
    <t>Other exempt income, (including exempt income of minor child) (please specify)</t>
  </si>
  <si>
    <t>Amount of Income</t>
  </si>
  <si>
    <t>Country name &amp; code</t>
  </si>
  <si>
    <t>Head of Income</t>
  </si>
  <si>
    <t>Whether TRC obtained</t>
  </si>
  <si>
    <t>Total Income from DTAA not chargeable to tax</t>
  </si>
  <si>
    <t>A9a</t>
  </si>
  <si>
    <t>A9b</t>
  </si>
  <si>
    <t>A10</t>
  </si>
  <si>
    <t>B12</t>
  </si>
  <si>
    <t>B13a</t>
  </si>
  <si>
    <t>B13b</t>
  </si>
  <si>
    <t>B14</t>
  </si>
  <si>
    <t>Item No. A1 to A8 above in which included 
(3)</t>
  </si>
  <si>
    <t>`</t>
  </si>
  <si>
    <t>Total amount of LTCG chargeable to tax at special rates as per DTAA</t>
  </si>
  <si>
    <t>Set-off of current year capital losses with current year capital gains (excluding amounts included in A9a &amp; B13a which is not chargeable as per  DTAA)</t>
  </si>
  <si>
    <t>A8c</t>
  </si>
  <si>
    <t>Item No. B1 to B12 above in which included 
(3)</t>
  </si>
  <si>
    <t>115AD(iii)_Proviso</t>
  </si>
  <si>
    <t>112A</t>
  </si>
  <si>
    <t>STCG 30%</t>
  </si>
  <si>
    <t>115AD</t>
  </si>
  <si>
    <t>Applicable rate</t>
  </si>
  <si>
    <t>AR</t>
  </si>
  <si>
    <t>PTI10</t>
  </si>
  <si>
    <t>PTI15</t>
  </si>
  <si>
    <t>PTI20</t>
  </si>
  <si>
    <t>PTI30</t>
  </si>
  <si>
    <t>PTIAR</t>
  </si>
  <si>
    <t>115AD30</t>
  </si>
  <si>
    <t>Compensation due/received by an assessee from his employer or former employer in connection with the  termination of his employment or modification thereto</t>
  </si>
  <si>
    <t>Any payment due/received by an assessee from his employer or a former employer or from a provident or other fund, sum received under Keyman Insurance Policy including Bonus thereto</t>
  </si>
  <si>
    <t>Any amount due/received by assessee from any person before joining or after cessation of employment with that person</t>
  </si>
  <si>
    <t>Advance of salary</t>
  </si>
  <si>
    <t>Gratuity</t>
  </si>
  <si>
    <t>Annuity or pension</t>
  </si>
  <si>
    <t>Amount of  STCG included in A1-A8 but not chargeable to tax or chargeable at special rates in India as per DTAA</t>
  </si>
  <si>
    <t>In case of transfer of immovable property please furnish following details (See Note)</t>
  </si>
  <si>
    <t>Name of Buyer</t>
  </si>
  <si>
    <t>PAN of Buyer</t>
  </si>
  <si>
    <t>Address of Property</t>
  </si>
  <si>
    <t>In case of transfer of immovable property please furnish the following details (See Note)</t>
  </si>
  <si>
    <t>Number of blocks</t>
  </si>
  <si>
    <t>Block count STCG</t>
  </si>
  <si>
    <t>Block count LTCG</t>
  </si>
  <si>
    <t xml:space="preserve">Percentage share </t>
  </si>
  <si>
    <t xml:space="preserve">Amount </t>
  </si>
  <si>
    <t xml:space="preserve">Current year’s capital gains remaining after set off
      (9= 1-2-3-4-5-6-7-8)
</t>
  </si>
  <si>
    <t>Pass Through Income in the nature of Short Term Capital Gain chargeable @ 30%</t>
  </si>
  <si>
    <t>Pass Through Income in the nature of Long Term Capital Gain chargeable @ 20%</t>
  </si>
  <si>
    <t>Deduction u/s 16   (5a + 5b + 5c)</t>
  </si>
  <si>
    <t>Nature of salary</t>
  </si>
  <si>
    <t>Nature of  perquisites</t>
  </si>
  <si>
    <t>Nature of Profit in lieu of Salary</t>
  </si>
  <si>
    <t>Whether you are a Partner in a Firm?
If yes, please furnish following information -</t>
  </si>
  <si>
    <t>Name of Firm</t>
  </si>
  <si>
    <t>Gain (Loss) on account of  foreign exchange fluctuation u/s 43AA</t>
  </si>
  <si>
    <t>Profit on conversion of inventory into capital asset u/s 28(via) 
(Fair Market Value of inventory as on the date of conversion)</t>
  </si>
  <si>
    <t>14xii</t>
  </si>
  <si>
    <t>Total of credits to profit and loss account (13+14xii)</t>
  </si>
  <si>
    <t xml:space="preserve">Freight outward </t>
  </si>
  <si>
    <t>22i</t>
  </si>
  <si>
    <t>22ii</t>
  </si>
  <si>
    <t>22iv</t>
  </si>
  <si>
    <t>22v</t>
  </si>
  <si>
    <t>22vi</t>
  </si>
  <si>
    <t>22vii</t>
  </si>
  <si>
    <t>22viii</t>
  </si>
  <si>
    <t>22ix</t>
  </si>
  <si>
    <t>22x</t>
  </si>
  <si>
    <t>22xi</t>
  </si>
  <si>
    <t>Total compensation to employees 
(22i + 22ii + 22iii + 22iv + 22v + 22vi + 22vii + 22viii + 22ix + 22x)</t>
  </si>
  <si>
    <t>Whether any compensation, included in 22xi, paid to non-residents</t>
  </si>
  <si>
    <t>23i</t>
  </si>
  <si>
    <t>23ii</t>
  </si>
  <si>
    <t>23iv</t>
  </si>
  <si>
    <t>Total expenditure on insurance (23i+23ii+23iii+23iv)</t>
  </si>
  <si>
    <t>23v</t>
  </si>
  <si>
    <t>30iii</t>
  </si>
  <si>
    <t>31iii</t>
  </si>
  <si>
    <t>32iii</t>
  </si>
  <si>
    <t xml:space="preserve">Total rates and taxes paid or payable (44i+44ii+44iii+44iv+44v+ 44vi + 44vii + 44viii + 44ix)  </t>
  </si>
  <si>
    <t>44x</t>
  </si>
  <si>
    <t>44i</t>
  </si>
  <si>
    <t>44ii</t>
  </si>
  <si>
    <t>44iii</t>
  </si>
  <si>
    <t>44iv</t>
  </si>
  <si>
    <t>44v</t>
  </si>
  <si>
    <t>44vi</t>
  </si>
  <si>
    <t>44vii</t>
  </si>
  <si>
    <t>44viii</t>
  </si>
  <si>
    <t>44ix</t>
  </si>
  <si>
    <t>Schedule 80RA</t>
  </si>
  <si>
    <t>Details of donations to research associations etc. [deduction under sections 35(1)(ii) or 35(1)(iia) or 35(1)(iii) or 35(2AA)]</t>
  </si>
  <si>
    <t>INFORMATION REGARDING TURNOVER/GROSS RECEIPT REPORTED FOR GST</t>
  </si>
  <si>
    <t>GSTIN No(s).</t>
  </si>
  <si>
    <t>Annual value of outward supplies as per the GST return(s) filed</t>
  </si>
  <si>
    <t>(Please see Rule 12 of the Income Tax-Rules,1962)
(Please Refer instructions)</t>
  </si>
  <si>
    <t>Shares transferred during the year</t>
  </si>
  <si>
    <t>GST</t>
  </si>
  <si>
    <t>Details of donations to research associations etc.</t>
  </si>
  <si>
    <t>Manufacturing Account</t>
  </si>
  <si>
    <t>Trading Account</t>
  </si>
  <si>
    <t>NJBK</t>
  </si>
  <si>
    <t>SANT</t>
  </si>
  <si>
    <t>VCOB</t>
  </si>
  <si>
    <t>DBS BANK INDIA LIMITED</t>
  </si>
  <si>
    <t>IDFC First Bank Ltd</t>
  </si>
  <si>
    <t>NAV JEEVAN CO OP BANK LTD</t>
  </si>
  <si>
    <t>SANT SOPANKAKA SAHAKARI BANK LTD</t>
  </si>
  <si>
    <t>The Vijay Co Operative Bank Limited</t>
  </si>
  <si>
    <t>Total Bad Debt  (47i + 47ii + 47iii)</t>
  </si>
  <si>
    <t>47iv</t>
  </si>
  <si>
    <t>Profit before interest, depreciation and taxes[15 – (16 to 21 + 22xi + 23v + 24 to 29 + 30iii + 31iii + 32iii + 33 to 43 + 44x + 45 + 46 + 47iv + 48 + 49)]</t>
  </si>
  <si>
    <t>51iii</t>
  </si>
  <si>
    <t>Net Profit before taxes  (50 – 51iii – 52)</t>
  </si>
  <si>
    <t>Profit after tax (53 – 54 – 55)</t>
  </si>
  <si>
    <t>Amount available for appropriation (56+ 57)</t>
  </si>
  <si>
    <t>Balance carried to balance sheet in proprietor’s account (58– 59)</t>
  </si>
  <si>
    <t>44AD</t>
  </si>
  <si>
    <t>44ADA</t>
  </si>
  <si>
    <t>Name of the Business</t>
  </si>
  <si>
    <t>COMPUTATION OF PRESUMPTIVE BUSINESS INCOME UNDER SECTION 44AD</t>
  </si>
  <si>
    <t>Presumptive income under section 44AD(iia+iib)</t>
  </si>
  <si>
    <t>Any other mode</t>
  </si>
  <si>
    <t>Gross turnover/Gross receipts (ia+ib)</t>
  </si>
  <si>
    <t>Note: If income is less than  the above percentage  of Gross Receipts/Turnover, it is mandatory to maintain books of accounts and have a tax audit under 44AB</t>
  </si>
  <si>
    <t xml:space="preserve">COMPUTATION OF PRESUMPTIVE  INCOME FROM PROFESSIONS UNDER SECTION 44ADA </t>
  </si>
  <si>
    <t>COMPUTATION - PRESUMPTIVE INCOME</t>
  </si>
  <si>
    <t>Gross Receipts</t>
  </si>
  <si>
    <t xml:space="preserve">Note: If income is less than 50% of Gross Receipts, it is mandatory to maintain books of accounts and have a tax audit under 44AB </t>
  </si>
  <si>
    <t>COMPUTATION OF PRESUMPTIVE INCOME FROM GOODS CARRIAGES UNDER SECTION 44AE</t>
  </si>
  <si>
    <t>Serial number</t>
  </si>
  <si>
    <t>Registration No. of goods carriage</t>
  </si>
  <si>
    <t>Whether owned/leased/hired</t>
  </si>
  <si>
    <t>Tonnage Capacity of goods carriage(in MT)</t>
  </si>
  <si>
    <t>Number of months for which goods carriage was owned / leased / hired by assessee</t>
  </si>
  <si>
    <t>Note: If the profits are lower than prescribed under S.44AE or the number of goods carriage owned / leased / hired at any time during the year exceeds 10, then , it is mandatory to maintain books of accounts and have a tax audit under 44AB</t>
  </si>
  <si>
    <t>Gross receipts (a1 + a2)</t>
  </si>
  <si>
    <t>Turnover From Speculative Activity</t>
  </si>
  <si>
    <t>Gross Profit</t>
  </si>
  <si>
    <t>Expenditure, if any</t>
  </si>
  <si>
    <t>Net Income From Speculative Activity (65ii-65iii)</t>
  </si>
  <si>
    <t>Part A-P &amp;L</t>
  </si>
  <si>
    <t>Net profit or loss from speculative business included in 1 (enter –ve sign in case of loss) [Sl.no 65iv of Schedule P&amp;L]</t>
  </si>
  <si>
    <t>44AE</t>
  </si>
  <si>
    <t>44B</t>
  </si>
  <si>
    <t>44BB</t>
  </si>
  <si>
    <t>44BBA</t>
  </si>
  <si>
    <t>4f</t>
  </si>
  <si>
    <t>4g</t>
  </si>
  <si>
    <t>Sec 10(5)-Leave Travel concession/assistance</t>
  </si>
  <si>
    <t>Sec 10(10C)-Amount received/receivable on voluntary retirement or termination of service</t>
  </si>
  <si>
    <t>4ba</t>
  </si>
  <si>
    <t>4bb</t>
  </si>
  <si>
    <t>4bc</t>
  </si>
  <si>
    <t>4bd</t>
  </si>
  <si>
    <t>4be</t>
  </si>
  <si>
    <t>Balance (1– 2a – 2b – 3a - 3b – 3c - 3d -3e-3f – 4a-4b– 5d)</t>
  </si>
  <si>
    <t>Expenses debited to profit and loss account  which relate  to exempt income and disallowed u/s 14A (16 of Part A-OI)</t>
  </si>
  <si>
    <t xml:space="preserve">Other Information (mandatory if liable for audit under section 44AB, for other fill, if applicable). </t>
  </si>
  <si>
    <t>6s</t>
  </si>
  <si>
    <t>Total amount disallowable under section 36 (total of 6a to 6r)</t>
  </si>
  <si>
    <t>Marked to market loss or other expected loss as computed in accordance with the ICDS notified u/s 145(2) [36(1)(xviii)]</t>
  </si>
  <si>
    <t>Amount of Expenditure disallowed u/s 14A</t>
  </si>
  <si>
    <t>Total (7a + 7b + 7c + 7d + 7e +7f+ 8a+8b)</t>
  </si>
  <si>
    <t>Section 44AD (61(ii) of schedule P&amp;L)</t>
  </si>
  <si>
    <t>Section 44ADA (62(ii) of schedule P&amp;L)</t>
  </si>
  <si>
    <t>Section 44AE (63(ii) of schedule P&amp;L)</t>
  </si>
  <si>
    <t>Total (36i to 36vii)</t>
  </si>
  <si>
    <t>Net profit or loss from business or profession other than speculative and specified business
(35+36viii)</t>
  </si>
  <si>
    <t>Net Profit or loss from business or profession other than speculative business and specified business, after applying rule 7A,7B or 8, if applicable (if rule 7A, 7B or 8 is not applicable, enter same figure as in 37) (if loss take the figure to 2i of item E) (38a+ 38b + 38c + 38d + 38e + 38f)</t>
  </si>
  <si>
    <t>Chargeable income under Rule 7</t>
  </si>
  <si>
    <t>Deemed chargeable Income under Rule 7A</t>
  </si>
  <si>
    <t>Deemed chargeable Income under Rule 7B(1)</t>
  </si>
  <si>
    <t>Deemed chargeable Income under Rule 7B(1A)</t>
  </si>
  <si>
    <t>Deemed chargeable Income under Rule 8</t>
  </si>
  <si>
    <t>Income other than Rule7, 7A, 7B &amp; 8 (Item No. 37)</t>
  </si>
  <si>
    <t>38a</t>
  </si>
  <si>
    <t>38b</t>
  </si>
  <si>
    <t>38c</t>
  </si>
  <si>
    <t>38d</t>
  </si>
  <si>
    <t>38e</t>
  </si>
  <si>
    <t>38f</t>
  </si>
  <si>
    <t>B43</t>
  </si>
  <si>
    <t>C49</t>
  </si>
  <si>
    <t>Net profit or loss from speculative business as per profit or loss account (Item No.2a)</t>
  </si>
  <si>
    <t>Profit or loss from specified business (44+45-46)</t>
  </si>
  <si>
    <t>Income chargeable under the head ‘Profits and gains from Business or profession’ (A38+B43+C49)</t>
  </si>
  <si>
    <t xml:space="preserve"> Gross income chargeable to tax at normal applicable rates  (1a+ 1b+ 1c+ 1d + 1e)</t>
  </si>
  <si>
    <t>From Savings Bank</t>
  </si>
  <si>
    <t>others</t>
  </si>
  <si>
    <t>Income of the nature referred to in section 56(2)(x) which is chargeable to tax (di + dii + diii + div + dv)</t>
  </si>
  <si>
    <t>Any other income (please specify nature)</t>
  </si>
  <si>
    <t>Winnings from lotteries, crossword puzzles etc. chargeable u/s 115BB</t>
  </si>
  <si>
    <t>Income chargeable u/s 115BBE (bi + bii + biii + biv+ bv + bvi)</t>
  </si>
  <si>
    <t>Accumulated balance of recognised provident fund taxable u/s 111</t>
  </si>
  <si>
    <t>PTI_115A(1)(a)(i)-Dividends interest and income from units purchase in foreign currency</t>
  </si>
  <si>
    <t>PTI_115A(1)(a)(ii)-Interest received from govt/Indian Concerns received in Foreign Currency</t>
  </si>
  <si>
    <t>PTI_115A(1)(a)(iia)-Interest from Infrastructure Debt Fund</t>
  </si>
  <si>
    <t>PTI_115A(1)(a)(iiab)-Interest as per Sec. 194LD</t>
  </si>
  <si>
    <t>PTI_115A(1)(a)(iiac)-Interest as per Sec. 194LBA</t>
  </si>
  <si>
    <t>PTI_115A(1)(a)(iii)-Income received in respect of  units of UTI purchased in foreign currency</t>
  </si>
  <si>
    <t>PTI_115AD(1)(i)-Income received by an FII in respect of bonds or government securities as per Sec 194LD</t>
  </si>
  <si>
    <t>PTI_115ACA(1)(a)-Income from GDR purchased in foreign currency -resident</t>
  </si>
  <si>
    <t>PTI_115E(a)-Investment income</t>
  </si>
  <si>
    <t>PTI_115BB-Winnings from lotteries, crossword puzzles etc.</t>
  </si>
  <si>
    <t>PTI_115BBE-Tax on income under section 68, 69, 69A, 69B, 69C or 69D</t>
  </si>
  <si>
    <t>56(2)(iii)-Rental income from machinery, plants, buildings etc.,</t>
  </si>
  <si>
    <t xml:space="preserve">56(2)(x)-Income under section 56(2)(x) </t>
  </si>
  <si>
    <t>115A(1)(a)(i)-Dividends interest and income from units purchase in foreign currency</t>
  </si>
  <si>
    <t>115A(1)(a)(ii)-Interest received from govt/Indian Concerns recived in Foreign Currency</t>
  </si>
  <si>
    <t>115A(1)(a)(iia)-Interest from Infrastructure Debt Fund</t>
  </si>
  <si>
    <t>115A(1)(a)(iiab)-Interest as per Sec. 194LD</t>
  </si>
  <si>
    <t>115A(1)(a)(iiac)-Interest as per Sec. 194LBA</t>
  </si>
  <si>
    <t>115A(1)(a)(iii)-Income received in respect of units of UTI purchased in Foreign Currency</t>
  </si>
  <si>
    <t>115A(1)(b)(A)-Income from royalty &amp; technical services</t>
  </si>
  <si>
    <t>115AD(1)(i)-Income received by an FII in respect of bonds or government securities as per Sec 194LD</t>
  </si>
  <si>
    <t>115E(a)-Investment income</t>
  </si>
  <si>
    <t>115BB-Winnings from lotteries, crossword puzzles etc.</t>
  </si>
  <si>
    <t>111-Tax on accumulated balance of recognised PF</t>
  </si>
  <si>
    <t>OSDTAA_Section_NRI</t>
  </si>
  <si>
    <t>115ACA(1)(a)-Income from GDR purchased in foreign currency -resident</t>
  </si>
  <si>
    <t>OSDTAA_Section_RES</t>
  </si>
  <si>
    <t xml:space="preserve">
Amount included in 1 and 2 above, which is chargeable at special rates in India as per DTAA (total of column (2) of table below)</t>
  </si>
  <si>
    <t>Income from other sources (other than from owning race horses)(2+6)  (enter   6 as nil, if negative)</t>
  </si>
  <si>
    <t>Deductions under section 57 in relation to receipts at 8a only</t>
  </si>
  <si>
    <t>Income under the head “Income from other sources” (7 + 8e) (take 8e as nil if negative)</t>
  </si>
  <si>
    <t>PTI_5A1ai</t>
  </si>
  <si>
    <t>PTI_5A1aii</t>
  </si>
  <si>
    <t>PTI_5A1aiia</t>
  </si>
  <si>
    <t>PTI_5A1aiiaa</t>
  </si>
  <si>
    <t>PTI_5A1aiiab</t>
  </si>
  <si>
    <t>PTI_5A1aiiac</t>
  </si>
  <si>
    <t>PTI_5A1aiii</t>
  </si>
  <si>
    <t>PTI_5A1bA</t>
  </si>
  <si>
    <t>PTI_5A1bB</t>
  </si>
  <si>
    <t>PTI_5AD1i</t>
  </si>
  <si>
    <t>PTI_5AD1iP</t>
  </si>
  <si>
    <t>PTI_5ACA1a</t>
  </si>
  <si>
    <t>PTI_5BBA</t>
  </si>
  <si>
    <t>PTI_5BBC</t>
  </si>
  <si>
    <t>PTI_5BBDA</t>
  </si>
  <si>
    <t>PTI_5BBF</t>
  </si>
  <si>
    <t>PTI_5BBG</t>
  </si>
  <si>
    <t>PTI_5Ea</t>
  </si>
  <si>
    <t>PTI_5BB</t>
  </si>
  <si>
    <t>PTI_5BBE</t>
  </si>
  <si>
    <t>115BBE-Tax on income under S.68,69,69A,69B,69C,69D</t>
  </si>
  <si>
    <t>115E(a)-Investment income (NRI)</t>
  </si>
  <si>
    <t>PTI TABLE</t>
  </si>
  <si>
    <t>PTI_1</t>
  </si>
  <si>
    <t>56i</t>
  </si>
  <si>
    <t>112A (LTCG on sale of shares or units on which STT is paid)</t>
  </si>
  <si>
    <t>For 112A</t>
  </si>
  <si>
    <t xml:space="preserve">115AD(1)(iii)Proviso-Securities referred in section 112A read with section 115AD </t>
  </si>
  <si>
    <t xml:space="preserve">PTI - Income received by an FII in respect of bonds or government securities referred to in section 194LD </t>
  </si>
  <si>
    <t>DTAASTCG</t>
  </si>
  <si>
    <t>DTAALTCG</t>
  </si>
  <si>
    <t>PTI_STCG15P</t>
  </si>
  <si>
    <t>PTI_STCG30P</t>
  </si>
  <si>
    <t>PTI_LTCG10P</t>
  </si>
  <si>
    <t>PTI_LTCG20P</t>
  </si>
  <si>
    <t>RA</t>
  </si>
  <si>
    <t>Dearness Allowance</t>
  </si>
  <si>
    <t>Conveyance Allowance</t>
  </si>
  <si>
    <t>Children Education Allowance</t>
  </si>
  <si>
    <t>Other Allowance</t>
  </si>
  <si>
    <t>The contribution made  by the Employer  towards  pension scheme as referred u/s 80CCD</t>
  </si>
  <si>
    <t>Amount deemed to be income under rule 11 of Fourth Schedule</t>
  </si>
  <si>
    <t>Amount deemed to be income under rule 6 of Fourth Schedule</t>
  </si>
  <si>
    <t>Commuted Pension</t>
  </si>
  <si>
    <t>Fees/ commission</t>
  </si>
  <si>
    <t>Leave Encashment</t>
  </si>
  <si>
    <t>Cars / Other Automotive</t>
  </si>
  <si>
    <t>Sweeper, gardener, watchman or personal attendant</t>
  </si>
  <si>
    <t>Gas, electricity, water</t>
  </si>
  <si>
    <t>Interest free or concessional loans</t>
  </si>
  <si>
    <t>Holiday expenses</t>
  </si>
  <si>
    <t>Free or concessional travel</t>
  </si>
  <si>
    <t>Free education</t>
  </si>
  <si>
    <t>Gifts, vouchers, etc.</t>
  </si>
  <si>
    <t>Credit card expenses</t>
  </si>
  <si>
    <t>Use of movable assets by employees</t>
  </si>
  <si>
    <t>Transfer of assets to employee</t>
  </si>
  <si>
    <t>Value of any other benefit/amenity/service/privilege</t>
  </si>
  <si>
    <t>Other benefits or amenities</t>
  </si>
  <si>
    <t>Exempt Income</t>
  </si>
  <si>
    <t>Sec 10(6)-Remuneration received as an official, by whatever name called, of an embassy, high commission etc.</t>
  </si>
  <si>
    <t>Sec 10(10AA)-Earned leave encashment on Retirement</t>
  </si>
  <si>
    <t>Sec 10(14)(i)-Prescribed Allowances or benefits (not in a nature of perquisite) specifically granted to meet expenses wholly, necessarily and exclusively and to the extent actually incurred, in performance of duties of office or employment</t>
  </si>
  <si>
    <t xml:space="preserve">Sec 10(14)(ii)-Prescribed Allowances or benefits granted to meet personal expenses in performance of duties of office or employment or to compensate him for increased cost of living. </t>
  </si>
  <si>
    <t>Sec 10(10BC)-Any amount from the Central/State Govt./local authority by way of compensation on account of any disaster</t>
  </si>
  <si>
    <t>Sec 10(10D)- Any sum received under a life insurance policy, including the sum allocated by way of bonus on such policy except sum as mentioned in sub-clause (a) to (d) of Sec.10(10D)</t>
  </si>
  <si>
    <t>Sec 10(11)-Statutory Provident Fund received</t>
  </si>
  <si>
    <t>Sec 10(12)-Recognized Provident Fund received</t>
  </si>
  <si>
    <t>Sec 10(13)-Approved superannuation fund received</t>
  </si>
  <si>
    <t>Sec 10(16)-Scholarships granted to meet the cost of education</t>
  </si>
  <si>
    <t>Sec 10(17)-Allowance MP/MLA/MLC</t>
  </si>
  <si>
    <t>Sec 10(18)-Pension received by winner of  "Param Vir Chakra" or "Maha Vir Chakra" or "Vir Chakra" or such other gallantry award</t>
  </si>
  <si>
    <t>Sec 10(19)-Armed Forces Family pension in case of death during operational duty</t>
  </si>
  <si>
    <t>Sec 10(26)-Any income as referred to in section 10(26)</t>
  </si>
  <si>
    <t>Sec 10(26AAA)-Any income as referred to in section 10(26AAA)</t>
  </si>
  <si>
    <t>Any other</t>
  </si>
  <si>
    <t xml:space="preserve"> Quantitative details (mandatory  if liable for audit under section 44AB) (Note : Numeric values not filled will default to zero)  </t>
  </si>
  <si>
    <t>I am holding permanent account number .</t>
  </si>
  <si>
    <t>Nature of business/profession, if more than one business/profession indicate the three main activities/Products (OTHER THAN THOSE DECLARING INCOME UNDER SECTIONS 44AD, 44ADA AND 44AE)</t>
  </si>
  <si>
    <t>Health and Education Cess ,  on (1a+1b) above</t>
  </si>
  <si>
    <t>Income chargeable at special rates  (2a+ 2b+ 2c+ 2d + 2e+2f related to Sl.No. 1)</t>
  </si>
  <si>
    <t>Schedule RA</t>
  </si>
  <si>
    <t>56(2)(i)</t>
  </si>
  <si>
    <t>56(2)(iii)</t>
  </si>
  <si>
    <t>56(2)(x)</t>
  </si>
  <si>
    <t>PAN Of Other Person(If TDS credit related to other person)</t>
  </si>
  <si>
    <t>(Col 13)</t>
  </si>
  <si>
    <t xml:space="preserve">PAN </t>
  </si>
  <si>
    <t>TDS credit being claimed this Year (only if corresponding income is being offered for tax this year)</t>
  </si>
  <si>
    <t>PAN Of Other Person(If TDS Credit related to other person)</t>
  </si>
  <si>
    <t xml:space="preserve">TDS2 dropdown </t>
  </si>
  <si>
    <t>Income from House Property</t>
  </si>
  <si>
    <t>Income from Business &amp; Profession</t>
  </si>
  <si>
    <t>Income from Capital Gains</t>
  </si>
  <si>
    <t>Income from Other Sources</t>
  </si>
  <si>
    <t xml:space="preserve">TDS3 dropdown </t>
  </si>
  <si>
    <t>Schedule Verification</t>
  </si>
  <si>
    <t>Verification</t>
  </si>
  <si>
    <t xml:space="preserve">           Verification</t>
  </si>
  <si>
    <t>The Kerala State Co Operative Bank Ltd</t>
  </si>
  <si>
    <t>KSBK</t>
  </si>
  <si>
    <t>139(1)- On or Before due date</t>
  </si>
  <si>
    <t>139(4)- After due date</t>
  </si>
  <si>
    <t>139(5)- Revised Return</t>
  </si>
  <si>
    <t>92CD-Modified return</t>
  </si>
  <si>
    <t>139(9)</t>
  </si>
  <si>
    <t>142(1)</t>
  </si>
  <si>
    <t>153A</t>
  </si>
  <si>
    <t>153C</t>
  </si>
  <si>
    <t>119(2)(b)- after condonation of delay</t>
  </si>
  <si>
    <t>11-</t>
  </si>
  <si>
    <t>19-</t>
  </si>
  <si>
    <t>20-</t>
  </si>
  <si>
    <t>18-</t>
  </si>
  <si>
    <t>17-</t>
  </si>
  <si>
    <t>13-</t>
  </si>
  <si>
    <t>14-</t>
  </si>
  <si>
    <t>15-</t>
  </si>
  <si>
    <t>16-</t>
  </si>
  <si>
    <t>12-</t>
  </si>
  <si>
    <t xml:space="preserve">Filed in response to notice u/s  </t>
  </si>
  <si>
    <t xml:space="preserve">Filed u/s       </t>
  </si>
  <si>
    <t>Total (3i + 3ii + 3iii + 3iv) (enter nil if 3v is a loss)</t>
  </si>
  <si>
    <t>Short-term chargeable @ 15% (9ii of item E of schedule CG)</t>
  </si>
  <si>
    <t>Short-term chargeable @ 30% (9iii of item E of schedule CG)</t>
  </si>
  <si>
    <t>Short-term chargeable at applicable rate (9iv of item E of schedule CG)</t>
  </si>
  <si>
    <t>STCG chargeable at special rates as per DTAA (9v of item E of 
Schedule CG)</t>
  </si>
  <si>
    <t>Net Income from Other sources  chargeable to tax at Normal Applicable rates (6 of Schedule OS) (enter nil if loss)</t>
  </si>
  <si>
    <t>Income chargeable to tax at special rate (2 of Schedule OS)</t>
  </si>
  <si>
    <t>Income from the activity of owning &amp; maintaining race horses (8e of Schedule OS)(enter nil if loss)</t>
  </si>
  <si>
    <t>Total of Head Wise Income((1 + 2 +3v+4c +5d)</t>
  </si>
  <si>
    <t>Losses of current year to be set off against 6 (total of  2xvii, 3xvii and 4xvii of Schedule CYLA)</t>
  </si>
  <si>
    <t>Brought forward losses to be set off  against 8 (total of  2xvi, 3xvi and 4xvi of Schedule BFLA)</t>
  </si>
  <si>
    <t>Income chargeable to tax at special rate under section 111A, 112,112A etc. included in 10</t>
  </si>
  <si>
    <t xml:space="preserve">Deductions under Chapter VI-A </t>
  </si>
  <si>
    <t>Deemed income under section 115JC (3 of Schedule AMT)</t>
  </si>
  <si>
    <t xml:space="preserve">Surcharge on (a) (if applicable) </t>
  </si>
  <si>
    <r>
      <t>Aadhaar Number</t>
    </r>
    <r>
      <rPr>
        <sz val="10"/>
        <color indexed="8"/>
        <rFont val="Times New Roman"/>
        <family val="1"/>
      </rPr>
      <t xml:space="preserve"> 
[Please enter the Aadhaar Number. Applicable to Individual only]</t>
    </r>
  </si>
  <si>
    <t>Rate as per Treaty
(enter NIL, if not chargeable)</t>
  </si>
  <si>
    <t>Whether TRC obtained
(Y/N)</t>
  </si>
  <si>
    <t>SL.NO.</t>
  </si>
  <si>
    <t>Name of district along with pin code in which agricultural land is located 
                                                 a</t>
  </si>
  <si>
    <t>Part A-P &amp; L</t>
  </si>
  <si>
    <t>Part A -OI</t>
  </si>
  <si>
    <t>Part A-QD</t>
  </si>
  <si>
    <t>Income of specified persons(spouse, minor child etc.) includable in income of the assessee , Income chargeable to Income tax at special rates IB, Information regarding partnership firms in which you are partner</t>
  </si>
  <si>
    <t>Schedule TR, Schedule FA</t>
  </si>
  <si>
    <t>Residential Status in India</t>
  </si>
  <si>
    <t>Part B-TI, Part B-TTI</t>
  </si>
  <si>
    <t>2A</t>
  </si>
  <si>
    <t>5ADiiiP</t>
  </si>
  <si>
    <t>Name of the representative</t>
  </si>
  <si>
    <t>Address of the representative</t>
  </si>
  <si>
    <t>[For individuals and HUFs having income from  profits and gains business or profession]</t>
  </si>
  <si>
    <t>PAN / TAN of Tenant(s) (if TDS credit is claimed)</t>
  </si>
  <si>
    <t>Gross Rent received or receivable or letable value</t>
  </si>
  <si>
    <t>PTI_115A(1)(a)(i)- Dividends in the case of non-residents</t>
  </si>
  <si>
    <t>PTI_115A(1)(a)(ii)- Interest received in the case of non-residents</t>
  </si>
  <si>
    <t>PTI_115A(1)(a)(iiaa)- Income received by non-resident as referred in section 194LC</t>
  </si>
  <si>
    <t>PTI_115A(1)(a)(iiab)- Income received by non-resident as referred in section 194LD</t>
  </si>
  <si>
    <t>PTI_115A(1)(a)(iiac)- Income received by non-resident as referred in section 194LBA</t>
  </si>
  <si>
    <t>PTI_115A(1)(a)(iii)- Income from units purchased in foreign currency in the case of non-residents</t>
  </si>
  <si>
    <t>PTI_115ACA(1)(a )- Income from GDR purchased in foreign currency or long term capital gains arising from their transfer in case of a resident employee of an Indian company, engaged in knowledge based industry or service</t>
  </si>
  <si>
    <t xml:space="preserve">PTI_115BBC- Anonymous donations </t>
  </si>
  <si>
    <t>PTI_115BBDA- (Dividend income from domestic company exceeding Rs.10lakh</t>
  </si>
  <si>
    <t>PTI_115E(a)- Investment income of a non-resident Indian</t>
  </si>
  <si>
    <t>PTI_115BB- Winnings from lotteries, crosswords puzzles, races including horse races, card games and other games of any sort or gambling or betting of any form or nature whatsoever</t>
  </si>
  <si>
    <t>NOTE : This Schedule is not Applicable for NRI \(Non Resident Indians) as per Residential Status</t>
  </si>
  <si>
    <t>Peak Balance During the  Period  (in rupees)
9</t>
  </si>
  <si>
    <t>Nature of Amount
11a</t>
  </si>
  <si>
    <t xml:space="preserve">Gross amount paid/credited to the account during the period
</t>
  </si>
  <si>
    <t>Peak value of investment during the Period
9</t>
  </si>
  <si>
    <t>Amounts debited to the profit and loss account, to the extent 
disallowable under section 36 (6s of Part A-OI)</t>
  </si>
  <si>
    <t>Balance of income deemed to be from Agriculture, after applying Rule 7, 7A, 7B(1), 7B(1A) and Rule 8 for aggregation of income purposes as per Finance Act.</t>
  </si>
  <si>
    <t>normal5</t>
  </si>
  <si>
    <t xml:space="preserve">Net Income From Other sources chargeable at Normal Applicable rates </t>
  </si>
  <si>
    <t>Income from Other sources taxable at special rates in India as per DTAA rates</t>
  </si>
  <si>
    <t>Profit from activity of owning and maintaining race horse</t>
  </si>
  <si>
    <t>Net Income from Other sources income chargeable at Normal Applicable Rates</t>
  </si>
  <si>
    <t xml:space="preserve">Income from other sources income taxable at special rates in India as per DTAA </t>
  </si>
  <si>
    <t>Current year’s income remaining after set off  Total5i + 5ii + 5iii + 5iv+ 5v + 5vi + 5vii + 5viii + 5ix + 5x + 5xi +5xii + 5xiii+ 5xiv + 5xv)</t>
  </si>
  <si>
    <t>Total of brought forward loss set off (2ii + 2iii + 2iv + 2v + 2vi + 2vii + 2viii + 2ix + 2x + 2xi + 2xii + 2xiv)</t>
  </si>
  <si>
    <t>Income by way of winnings from lotteries, crossword puzzles, races, games, gambling, betting etc. referred to in section 2(24)(ix)</t>
  </si>
  <si>
    <t>Audit_Act Table</t>
  </si>
  <si>
    <t xml:space="preserve">6% of 61ia, or the amount claimed to have been earned, whichever is higher </t>
  </si>
  <si>
    <t>8% of 61ib, or the amount claimed to have been earned, whichever is higher</t>
  </si>
  <si>
    <t xml:space="preserve">Presumptive Income under section 44ADA (50% of 62i, or the amount claimed to have been earned, whichever is higher) </t>
  </si>
  <si>
    <t>Total presumptive income from goods carriage u/s 44AE [total of column (5) of table at Point 63(i)</t>
  </si>
  <si>
    <t>Income chargeable to tax at special rates (3e &amp; 3f of Schedule BP)</t>
  </si>
  <si>
    <t>Profit from activities covered under rule 7, 7A, 7B(1), 7B(1A) and 8</t>
  </si>
  <si>
    <t xml:space="preserve">Profit from activities covered under rule 7 </t>
  </si>
  <si>
    <t xml:space="preserve">Profit from activities covered under rule 7A </t>
  </si>
  <si>
    <t xml:space="preserve">Profit from activities covered under rule 7B(1) </t>
  </si>
  <si>
    <t>Profit from activities covered under rule 7B(1A)</t>
  </si>
  <si>
    <t>Profit from activities covered under rule 8</t>
  </si>
  <si>
    <t xml:space="preserve">Note:      
1. Submission date is the system date of e-Filing portal of Income Tax Department. The same is available in the Acknowledgement/ITR-V generated after submission of return.      
2. Verification Date is the date of e-Verification at e-Filing portal of Income Tax Department or the date of receipt of ITR-V at CPC, Bengaluru. The same will be available in View Returns/Forms option of e-Filing portal. In case of e-Verification, it is available in Acknowledgement.      
</t>
  </si>
  <si>
    <t>(STD code)</t>
  </si>
  <si>
    <t>If revised/defective/Modified, enter Receipt no</t>
  </si>
  <si>
    <r>
      <t xml:space="preserve">Aadhaar Enrolment Id 
</t>
    </r>
    <r>
      <rPr>
        <sz val="10"/>
        <color indexed="8"/>
        <rFont val="Times New Roman"/>
        <family val="1"/>
      </rPr>
      <t>[Note: If Aadhaar Number is not yet allotted, then Aadhaar Enrolment Id is required. All the digits in enrolment ID &amp; Date and time of enrolment to be entered continuously. For example Enrolment ID: 1234/12345/12345 &amp; Date/Time of enrolment: 01/12/2016 11:50:22 to be entered as 1234123451234501122016115022]</t>
    </r>
  </si>
  <si>
    <t xml:space="preserve">In case of non-resident, is there a permanent establishment (PE) in India? </t>
  </si>
  <si>
    <t>Sl.No.
1</t>
  </si>
  <si>
    <t>Sl.No.
1</t>
  </si>
  <si>
    <t>Sl.No.
1</t>
  </si>
  <si>
    <t xml:space="preserve">Income of specified persons (spouse, minor child etc.) includable in income of the assessee as per section 64 </t>
  </si>
  <si>
    <t>Head of Income in which included</t>
  </si>
  <si>
    <t xml:space="preserve">Depreciation and amortization debited to profit and loss account </t>
  </si>
  <si>
    <t>Unexplained expenditure etc. u/s 69C</t>
  </si>
  <si>
    <t>115A(1)(a)(ii)- Interest received from govt/Indian Concerns received in Foreign Currency</t>
  </si>
  <si>
    <t>Table B FA</t>
  </si>
  <si>
    <t>Business</t>
  </si>
  <si>
    <t>Other sources</t>
  </si>
  <si>
    <t>Table E FA</t>
  </si>
  <si>
    <t>Profit or loss included in 1, which is referred to in section 44AD/44ADA/44AE/44B/44BB/44BBA/44DA</t>
  </si>
  <si>
    <t>solemnly declare that to the best of my knowledge and belief, the information given in the return and the schedules thereto is correct and complete and is in accordance with the provisions of the Income-tax Act, 1961.</t>
  </si>
  <si>
    <t>I further declare that I am making returns in my capacity as</t>
  </si>
  <si>
    <t>and I am also competent to make this return and verify it.</t>
  </si>
  <si>
    <t>Number of firms in which you are partner</t>
  </si>
  <si>
    <t xml:space="preserve">Details of payments of Advance Tax and Self-Assessment Tax
</t>
  </si>
  <si>
    <t xml:space="preserve">Are you governed by Portuguese Civil Code as per section 5A ? (If “YES” please fill Schedule 5A)    </t>
  </si>
  <si>
    <t>Permanent Account Number (PAN) of the Representative</t>
  </si>
  <si>
    <t>Total loss
(4 of Schedule – HP)</t>
  </si>
  <si>
    <t>Total loss
(6  of Schedule-OS)</t>
  </si>
  <si>
    <t>1di</t>
  </si>
  <si>
    <t>1dii</t>
  </si>
  <si>
    <t>1diii</t>
  </si>
  <si>
    <t>1div</t>
  </si>
  <si>
    <t>1dv</t>
  </si>
  <si>
    <t>Income chargeable under the head “CAPITAL GAINS” (A10 + B14) (take B14 as nil, if loss)</t>
  </si>
  <si>
    <t xml:space="preserve">Please include the income of the specified persons (spouse, minor child, etc.)  referred to in Schedule SPI while computing the income under this head
</t>
  </si>
  <si>
    <t>562iii</t>
  </si>
  <si>
    <t>562x</t>
  </si>
  <si>
    <t>Liabilities in relation to Assets at (A + B + C)</t>
  </si>
  <si>
    <t>Note:</t>
  </si>
  <si>
    <t>18C1</t>
  </si>
  <si>
    <t>18C2</t>
  </si>
  <si>
    <t xml:space="preserve"> Details of Tax Deducted at Source (TDS) on Income [As per FORM 16A issued by Deductor(s)] </t>
  </si>
  <si>
    <t xml:space="preserve">TDS credit 
relating to Self/Other Person[Spouse as per section 5A/Other person as per Rule 37BA(2)] </t>
  </si>
  <si>
    <t xml:space="preserve">TDS credit relating to Self/Other Person[Spouse as per section 5A/Other person as per Rule 37BA(2)] </t>
  </si>
  <si>
    <t xml:space="preserve"> Please enter total of column (7) of TCS in 10c of Part B-TTI</t>
  </si>
  <si>
    <t>Gross profit transferred from Trading Account</t>
  </si>
  <si>
    <t>Total of other income (i + ii + iii + iv + v + vi + vii + viii + ix + x+ xi)</t>
  </si>
  <si>
    <t xml:space="preserve">Provision for Deferred Tax </t>
  </si>
  <si>
    <t xml:space="preserve">Presumptive income u/s 44AE for the goods carriage (Computed @ Rs.1000 per tone per month in case tonnage exceeds 12MT, or else @ Rs.7500 per month) or the amount claimed to have been earned, whichever is higher
</t>
  </si>
  <si>
    <t>Gross turnover/Gross receipts (a1+a2)</t>
  </si>
  <si>
    <t>Total Profit (64(i)d+ 64(ii)d)</t>
  </si>
  <si>
    <t>Whether the agricultural land is owned or held on lease
c</t>
  </si>
  <si>
    <t>Whether the agricultural land is irrigated or rain-fed
d</t>
  </si>
  <si>
    <t>99-STATE OUTSIDE INDIA</t>
  </si>
  <si>
    <t>2-Self or Dependent(Senior Citizen)</t>
  </si>
  <si>
    <t>Whether you have held unlisted equity shares at any time during the previous year? If yes, please furnish following information -</t>
  </si>
  <si>
    <t>Total income (10 - 12c - 13)</t>
  </si>
  <si>
    <t>Note:-Please furnish the information above for each GSTIN No. separately</t>
  </si>
  <si>
    <t>Loss to be disallowed, under section 94(7) or 94(8) for example if asset bought/acquired within 3 months prior to record date and dividend/income/bonus units are received, then loss arising out of sale of such asset to be ignored  (Enter positive values only)</t>
  </si>
  <si>
    <t>Short-term capital gains taxable at DTAA rates Enter value from item 5ix of schedule BFLA, if any.</t>
  </si>
  <si>
    <t>Long- term capital gains taxable at the rate of 10%  Enter value from item    5x  of schedule BFLA, if any.</t>
  </si>
  <si>
    <t>Long- term capital gains taxable at the rate of 20%  Enter value from item 5xi of schedule BFLA, if any.</t>
  </si>
  <si>
    <t>Long-term capital gains taxable at DTAA rates Enter value from item 5xii of schedule BFLA, if any.</t>
  </si>
  <si>
    <t>Note 1 : Furnishing of PAN is mandatory, if the tax is deduced under section 194-IA.
Note 2 : In case of more than one buyer, please indicate the respective percentage share and amount.</t>
  </si>
  <si>
    <t>Total (12a + 12b) [limited upto (10-11)]</t>
  </si>
  <si>
    <t>ibi</t>
  </si>
  <si>
    <t>ibii</t>
  </si>
  <si>
    <t>ibiii</t>
  </si>
  <si>
    <t>iibi</t>
  </si>
  <si>
    <t>iibii</t>
  </si>
  <si>
    <t>iibiii</t>
  </si>
  <si>
    <t>Salaries (6 of Schedule S)</t>
  </si>
  <si>
    <t>Total (5a + 5b + 5c)  (enter nil if loss)</t>
  </si>
  <si>
    <t>Total capital gains (4av + 4biv) (enter nil if loss)</t>
  </si>
  <si>
    <t>Cost of Goods Produced – transferred to Trading Account (1F-2)</t>
  </si>
  <si>
    <t>idiii</t>
  </si>
  <si>
    <t>Balance (4ia – ibiv)</t>
  </si>
  <si>
    <t>Balance (4iia –iibiv)</t>
  </si>
  <si>
    <t>Corresponding Receipt offered</t>
  </si>
  <si>
    <t>TDS Credit  being carried forward</t>
  </si>
  <si>
    <t>Indicate the account in which you prefer to get your refund credited</t>
  </si>
  <si>
    <t>a)Details of all Bank Accounts held in India at any time during the previous year (excluding dormant accounts)</t>
  </si>
  <si>
    <t>b)Non-residents, who are claiming income-tax refund and not having bank account in India may, at their option, furnish the details of one foreign bank account:</t>
  </si>
  <si>
    <t>Note:
1. Minimum one account should be selected for refund credit
2. In case of Refund, multiple accounts are selected for refund credit, then refund will be credited to one of the account decided by CPC after processing the return</t>
  </si>
  <si>
    <t>18017-Medical education</t>
  </si>
  <si>
    <t>18018-Medical research</t>
  </si>
  <si>
    <t>18019-Practice of other alternative medicine</t>
  </si>
  <si>
    <t>18020-Other healthcare services</t>
  </si>
  <si>
    <t>Sec 10(10B) Second proviso - Compensation under scheme approved by the Central Government</t>
  </si>
  <si>
    <t>Sec 10(10B) First proviso - Compensation limit notified by CG in the Official Gazette</t>
  </si>
  <si>
    <t>9998-Not Applicable (Not Resident in any Country)</t>
  </si>
  <si>
    <t>Audit Table</t>
  </si>
  <si>
    <t>Banking Regulation Act, 1949</t>
  </si>
  <si>
    <t>Central Excise Act,1944</t>
  </si>
  <si>
    <t>Central Sales Tax Act, 1956</t>
  </si>
  <si>
    <t>Charitable And Religious Trusts Act, 1920</t>
  </si>
  <si>
    <t>Companies Act, 2013</t>
  </si>
  <si>
    <t>Electricity Act, 2003</t>
  </si>
  <si>
    <t>Employees Provident Fund and Miscellaneous Provisions Act, 1952</t>
  </si>
  <si>
    <t>Foreign Exchange Management Act, 1999</t>
  </si>
  <si>
    <t>Government Superannuation Fund Act, 1956</t>
  </si>
  <si>
    <t>Indian Trusts Act, 1882</t>
  </si>
  <si>
    <t>Integrated Goods and Services Tax Act, 2017</t>
  </si>
  <si>
    <t>Limited Liability Partnership Act, 2008</t>
  </si>
  <si>
    <t>Payment of Gratuity Act, 1972</t>
  </si>
  <si>
    <t>SEBI Act, 1992</t>
  </si>
  <si>
    <t>Securities Contract (Regulation) Act, 1956</t>
  </si>
  <si>
    <t>State Goods and Services Tax Act, 2017</t>
  </si>
  <si>
    <t>Union Territories Goods and Services Tax Act, 2017</t>
  </si>
  <si>
    <t>Type of Company</t>
  </si>
  <si>
    <t>From sale of equity share in a company or unit of equity oriented fund or unit of a business trust on which STT is paid under section 112A</t>
  </si>
  <si>
    <t>Schedule 112A</t>
  </si>
  <si>
    <t>Name of the Share/Unit</t>
  </si>
  <si>
    <t>No. of Shares/Units</t>
  </si>
  <si>
    <t>Sale-price per Share/Unit</t>
  </si>
  <si>
    <t>Fair Market Value per share/unit as on 31st January,2018</t>
  </si>
  <si>
    <t>(Col 5)</t>
  </si>
  <si>
    <t>(Col 6)</t>
  </si>
  <si>
    <t>(Col 7)</t>
  </si>
  <si>
    <t>(Col 8)</t>
  </si>
  <si>
    <t>(Col 9)</t>
  </si>
  <si>
    <t>(Col 10)</t>
  </si>
  <si>
    <t>(Col 11)</t>
  </si>
  <si>
    <t>(Col 12)</t>
  </si>
  <si>
    <t>(Col 14)</t>
  </si>
  <si>
    <t>115AD(1)(iii) proviso</t>
  </si>
  <si>
    <t>Deduction under section 54EE (Specify details in item D below)</t>
  </si>
  <si>
    <t>1-Self and Family (Non Senior citizen)</t>
  </si>
  <si>
    <t>2-Self and Family (Including Senior citizen)</t>
  </si>
  <si>
    <t>INE305C01029</t>
  </si>
  <si>
    <t>INE315R01018</t>
  </si>
  <si>
    <t>INE315R01026</t>
  </si>
  <si>
    <t>INE315R01034</t>
  </si>
  <si>
    <t>INF223J010U8</t>
  </si>
  <si>
    <t>INF223J011U6</t>
  </si>
  <si>
    <t>INF223J012U4</t>
  </si>
  <si>
    <t>INF223J019T1</t>
  </si>
  <si>
    <t>INF903J01U93</t>
  </si>
  <si>
    <t>INF903J01V01</t>
  </si>
  <si>
    <t>INF903J01V27</t>
  </si>
  <si>
    <t>INF903J01V35</t>
  </si>
  <si>
    <t>INE397R01016</t>
  </si>
  <si>
    <t>INE399R01012</t>
  </si>
  <si>
    <t>INF247L01536</t>
  </si>
  <si>
    <t>INE100R01014</t>
  </si>
  <si>
    <t>INE461R01010</t>
  </si>
  <si>
    <t>INE900Q01019</t>
  </si>
  <si>
    <t>INF194KA1VV0</t>
  </si>
  <si>
    <t>INF194KA1VW8</t>
  </si>
  <si>
    <t>INF336L01JG4</t>
  </si>
  <si>
    <t>INF336L01JH2</t>
  </si>
  <si>
    <t>INF336L01JI0</t>
  </si>
  <si>
    <t>INF336L01JJ8</t>
  </si>
  <si>
    <t>INF903J01X09</t>
  </si>
  <si>
    <t>INF903J01X17</t>
  </si>
  <si>
    <t>INF903J01X25</t>
  </si>
  <si>
    <t>INF903J01X41</t>
  </si>
  <si>
    <t>INF903J01X58</t>
  </si>
  <si>
    <t>INE543R01015</t>
  </si>
  <si>
    <t>IN9466M01026</t>
  </si>
  <si>
    <t>INE383R01016</t>
  </si>
  <si>
    <t>INE430R01015</t>
  </si>
  <si>
    <t>INE531R01010</t>
  </si>
  <si>
    <t>INE532R01018</t>
  </si>
  <si>
    <t>INE534R01014</t>
  </si>
  <si>
    <t>INE537R01017</t>
  </si>
  <si>
    <t>INE539R01013</t>
  </si>
  <si>
    <t>INE540R01011</t>
  </si>
  <si>
    <t>INE541R01019</t>
  </si>
  <si>
    <t>INE542R01017</t>
  </si>
  <si>
    <t>INF789FA13R7</t>
  </si>
  <si>
    <t>INF789FA13S5</t>
  </si>
  <si>
    <t>INF789FA13T3</t>
  </si>
  <si>
    <t>INF789FA14Q7</t>
  </si>
  <si>
    <t>INF789FA14S3</t>
  </si>
  <si>
    <t>INF789FA15Q4</t>
  </si>
  <si>
    <t>INF789FA15R2</t>
  </si>
  <si>
    <t>INF789FA15S0</t>
  </si>
  <si>
    <t>INF789FA16R0</t>
  </si>
  <si>
    <t>INF789FA16S8</t>
  </si>
  <si>
    <t>INF789FA17Q0</t>
  </si>
  <si>
    <t>INF789FA17R8</t>
  </si>
  <si>
    <t>INF789FA17S6</t>
  </si>
  <si>
    <t>INF789FA18Q8</t>
  </si>
  <si>
    <t>INF789FA18R6</t>
  </si>
  <si>
    <t>INF789FA18S4</t>
  </si>
  <si>
    <t>INF789FA19Q6</t>
  </si>
  <si>
    <t>INF789FA19R4</t>
  </si>
  <si>
    <t>INF789FA19S2</t>
  </si>
  <si>
    <t>INE535D01029</t>
  </si>
  <si>
    <t>INE639R01011</t>
  </si>
  <si>
    <t>INE646R01016</t>
  </si>
  <si>
    <t>INE647R01014</t>
  </si>
  <si>
    <t>INE648R01012</t>
  </si>
  <si>
    <t>INE659R01019</t>
  </si>
  <si>
    <t>INE660R01017</t>
  </si>
  <si>
    <t>INE662R01013</t>
  </si>
  <si>
    <t>INE663R01011</t>
  </si>
  <si>
    <t>INF205K01Q59</t>
  </si>
  <si>
    <t>INF205K01Q75</t>
  </si>
  <si>
    <t>INF205K01Q83</t>
  </si>
  <si>
    <t>INF205K01Q91</t>
  </si>
  <si>
    <t>INF205K01R09</t>
  </si>
  <si>
    <t>INF205K01R17</t>
  </si>
  <si>
    <t>INF205K01R25</t>
  </si>
  <si>
    <t>INE090A01021</t>
  </si>
  <si>
    <t>INF109K01VH0</t>
  </si>
  <si>
    <t>INF178L01095</t>
  </si>
  <si>
    <t>INF109K01VR9</t>
  </si>
  <si>
    <t>INF109K01WW7</t>
  </si>
  <si>
    <t>INF109K01589</t>
  </si>
  <si>
    <t>INF109K01AX1</t>
  </si>
  <si>
    <t>INF109K01RW7</t>
  </si>
  <si>
    <t>INF109K01SH6</t>
  </si>
  <si>
    <t>INF109K01SL8</t>
  </si>
  <si>
    <t>INF109K01SR5</t>
  </si>
  <si>
    <t>INF761K01CE5</t>
  </si>
  <si>
    <t>INF223J01P77</t>
  </si>
  <si>
    <t>INF223J01P85</t>
  </si>
  <si>
    <t>INF223J01P93</t>
  </si>
  <si>
    <t>INE301E01024</t>
  </si>
  <si>
    <t>INE344N01025</t>
  </si>
  <si>
    <t>INF174K01BP9</t>
  </si>
  <si>
    <t>INF174K01BW5</t>
  </si>
  <si>
    <t>INF174K01CG6</t>
  </si>
  <si>
    <t>INF174K01EP3</t>
  </si>
  <si>
    <t>INF174K01FA2</t>
  </si>
  <si>
    <t>INF174K01FG9</t>
  </si>
  <si>
    <t>INF174K01FP0</t>
  </si>
  <si>
    <t>INF174K01245</t>
  </si>
  <si>
    <t>INF174K01393</t>
  </si>
  <si>
    <t>INE002Q01014</t>
  </si>
  <si>
    <t>INE023Q01010</t>
  </si>
  <si>
    <t>INE024Q01018</t>
  </si>
  <si>
    <t>INE027Q01011</t>
  </si>
  <si>
    <t>INE028Q01019</t>
  </si>
  <si>
    <t>INE029Q01017</t>
  </si>
  <si>
    <t>INF663L01DZ4</t>
  </si>
  <si>
    <t>INF663L01EA5</t>
  </si>
  <si>
    <t>INF663L01DV3</t>
  </si>
  <si>
    <t>INF663L01DW1</t>
  </si>
  <si>
    <t>INF663L01DX9</t>
  </si>
  <si>
    <t>INF663L01EB3</t>
  </si>
  <si>
    <t>INF663L01EC1</t>
  </si>
  <si>
    <t>INE955P01015</t>
  </si>
  <si>
    <t>INE956P01013</t>
  </si>
  <si>
    <t>INE947P01012</t>
  </si>
  <si>
    <t>INE951P01014</t>
  </si>
  <si>
    <t>INE963P01019</t>
  </si>
  <si>
    <t>INE964P01017</t>
  </si>
  <si>
    <t>INE372P01013</t>
  </si>
  <si>
    <t>INE450L01024</t>
  </si>
  <si>
    <t>INE499P01014</t>
  </si>
  <si>
    <t>INE600P01017</t>
  </si>
  <si>
    <t>INE601P01015</t>
  </si>
  <si>
    <t>INF205K01F29</t>
  </si>
  <si>
    <t>INF205K01F78</t>
  </si>
  <si>
    <t>INF205K01F86</t>
  </si>
  <si>
    <t>INF205K01G02</t>
  </si>
  <si>
    <t>INF205K01G10</t>
  </si>
  <si>
    <t>INF205K01G28</t>
  </si>
  <si>
    <t>INF205K01G36</t>
  </si>
  <si>
    <t>INF205K01G44</t>
  </si>
  <si>
    <t>INF205K01G51</t>
  </si>
  <si>
    <t>INF205K01G69</t>
  </si>
  <si>
    <t>INF205K01G85</t>
  </si>
  <si>
    <t>INF205K01G93</t>
  </si>
  <si>
    <t>INF205K01H35</t>
  </si>
  <si>
    <t>INF205K01H43</t>
  </si>
  <si>
    <t>INF917K01OD0</t>
  </si>
  <si>
    <t>INF917K01OE8</t>
  </si>
  <si>
    <t>INF917K01OF5</t>
  </si>
  <si>
    <t>INF917K01OG3</t>
  </si>
  <si>
    <t>INF917K01OH1</t>
  </si>
  <si>
    <t>INF917K01OI9</t>
  </si>
  <si>
    <t>INF917K01NZ5</t>
  </si>
  <si>
    <t>INF917K01OA6</t>
  </si>
  <si>
    <t>INF917K01OB4</t>
  </si>
  <si>
    <t>INF917K01OC2</t>
  </si>
  <si>
    <t>INF209KA1GX0</t>
  </si>
  <si>
    <t>INF209KA1GZ5</t>
  </si>
  <si>
    <t>INF209KA1HA6</t>
  </si>
  <si>
    <t>INF789F016Q3</t>
  </si>
  <si>
    <t>INF789F017P3</t>
  </si>
  <si>
    <t>INE195Y01010</t>
  </si>
  <si>
    <t>INE976P01011</t>
  </si>
  <si>
    <t>INE981P01011</t>
  </si>
  <si>
    <t>INE987P01018</t>
  </si>
  <si>
    <t>INF209KA1656</t>
  </si>
  <si>
    <t>INF209KA1664</t>
  </si>
  <si>
    <t>INF209KA1680</t>
  </si>
  <si>
    <t>INF209KA1698</t>
  </si>
  <si>
    <t>INF209KA1714</t>
  </si>
  <si>
    <t>INF209KA1722</t>
  </si>
  <si>
    <t>INF204KA1PZ1</t>
  </si>
  <si>
    <t>INF204KA1QA2</t>
  </si>
  <si>
    <t>INF204KA1QB0</t>
  </si>
  <si>
    <t>INF204KA1QC8</t>
  </si>
  <si>
    <t>INF204KA1QD6</t>
  </si>
  <si>
    <t>INF204KA1QE4</t>
  </si>
  <si>
    <t>INF204KA1QG9</t>
  </si>
  <si>
    <t>INF204KA1QH7</t>
  </si>
  <si>
    <t>INF204KA1QI5</t>
  </si>
  <si>
    <t>INF843K01FZ9</t>
  </si>
  <si>
    <t>INF917K01KW8</t>
  </si>
  <si>
    <t>INF917K01KX6</t>
  </si>
  <si>
    <t>INF917K01KY4</t>
  </si>
  <si>
    <t>INF917K01KZ1</t>
  </si>
  <si>
    <t>INF917K01LA2</t>
  </si>
  <si>
    <t>INF917K01LB0</t>
  </si>
  <si>
    <t>INF917K01LC8</t>
  </si>
  <si>
    <t>INF917K01LD6</t>
  </si>
  <si>
    <t>INF917K01LE4</t>
  </si>
  <si>
    <t>INF789FA1LF2</t>
  </si>
  <si>
    <t>INF789FA1LG0</t>
  </si>
  <si>
    <t>INF789FA1LH8</t>
  </si>
  <si>
    <t>INF789FA1LI6</t>
  </si>
  <si>
    <t>INF789FA1LJ4</t>
  </si>
  <si>
    <t>INF789FA1LK2</t>
  </si>
  <si>
    <t>INF789FA1LM8</t>
  </si>
  <si>
    <t>IN9757M01010</t>
  </si>
  <si>
    <t>INF843K01IU4</t>
  </si>
  <si>
    <t>INE714Q01014</t>
  </si>
  <si>
    <t>INF789FA1KA5</t>
  </si>
  <si>
    <t>INF789FA1KB3</t>
  </si>
  <si>
    <t>INF789FA1KC1</t>
  </si>
  <si>
    <t>INF789FA1KH0</t>
  </si>
  <si>
    <t>INF789FA1KI8</t>
  </si>
  <si>
    <t>INF789FA1KJ6</t>
  </si>
  <si>
    <t>INF789FA1KK4</t>
  </si>
  <si>
    <t>INF789FA1KL2</t>
  </si>
  <si>
    <t>INF789FA1KM0</t>
  </si>
  <si>
    <t>INF789FA1KP3</t>
  </si>
  <si>
    <t>INE391N01018</t>
  </si>
  <si>
    <t>INE504P01011</t>
  </si>
  <si>
    <t>INE098R01010</t>
  </si>
  <si>
    <t>INE120R01012</t>
  </si>
  <si>
    <t>INE121R01010</t>
  </si>
  <si>
    <t>INE121R01028</t>
  </si>
  <si>
    <t>INE121R01036</t>
  </si>
  <si>
    <t>INF109KA1A17</t>
  </si>
  <si>
    <t>INF109KA1ZY9</t>
  </si>
  <si>
    <t>INF109KA1ZZ6</t>
  </si>
  <si>
    <t>INF174K01YT3</t>
  </si>
  <si>
    <t>INF174K01YU1</t>
  </si>
  <si>
    <t>INF174K01YW7</t>
  </si>
  <si>
    <t>INF174K01YY3</t>
  </si>
  <si>
    <t>INF174K01ZA0</t>
  </si>
  <si>
    <t>INF174K01ZC6</t>
  </si>
  <si>
    <t>INF174K01ZE2</t>
  </si>
  <si>
    <t>INF174K01ZG7</t>
  </si>
  <si>
    <t>INF174K01ZI3</t>
  </si>
  <si>
    <t>INF194KA1QS6</t>
  </si>
  <si>
    <t>INE155R01018</t>
  </si>
  <si>
    <t>INE168R01011</t>
  </si>
  <si>
    <t>INE196R01012</t>
  </si>
  <si>
    <t>INE221R01018</t>
  </si>
  <si>
    <t>INF109KA1P36</t>
  </si>
  <si>
    <t>INF109KA1P51</t>
  </si>
  <si>
    <t>INF740K011F8</t>
  </si>
  <si>
    <t>INF740K011G6</t>
  </si>
  <si>
    <t>INF740K012E9</t>
  </si>
  <si>
    <t>INF740K013H0</t>
  </si>
  <si>
    <t>INF740K014G0</t>
  </si>
  <si>
    <t>INF740K015E2</t>
  </si>
  <si>
    <t>INE324R01010</t>
  </si>
  <si>
    <t>INE327R01013</t>
  </si>
  <si>
    <t>INF179KA1YP5</t>
  </si>
  <si>
    <t>INF204KA1VA2</t>
  </si>
  <si>
    <t>INF204KA1VB0</t>
  </si>
  <si>
    <t>INF204KA1VC8</t>
  </si>
  <si>
    <t>INF204KA1VD6</t>
  </si>
  <si>
    <t>INF789FA1J09</t>
  </si>
  <si>
    <t>INF109KA1Y84</t>
  </si>
  <si>
    <t>INF109KA1Y92</t>
  </si>
  <si>
    <t>INF109KA1Z00</t>
  </si>
  <si>
    <t>INF109KA1Z18</t>
  </si>
  <si>
    <t>INF109KA1Z26</t>
  </si>
  <si>
    <t>INF109KA1Z42</t>
  </si>
  <si>
    <t>INF109KA1Z67</t>
  </si>
  <si>
    <t>INF109KA1Z83</t>
  </si>
  <si>
    <t>INE405R01017</t>
  </si>
  <si>
    <t>INE406R01015</t>
  </si>
  <si>
    <t>INE407R01013</t>
  </si>
  <si>
    <t>INE408R01011</t>
  </si>
  <si>
    <t>INE409R01019</t>
  </si>
  <si>
    <t>INE410R01017</t>
  </si>
  <si>
    <t>INE400R01018</t>
  </si>
  <si>
    <t>INE466R01019</t>
  </si>
  <si>
    <t>INE467R01017</t>
  </si>
  <si>
    <t>INE469R01013</t>
  </si>
  <si>
    <t>INE470R01011</t>
  </si>
  <si>
    <t>INE524L01026</t>
  </si>
  <si>
    <t>INF194KA1WA2</t>
  </si>
  <si>
    <t>INF194KA1WB0</t>
  </si>
  <si>
    <t>INF204KA1WT0</t>
  </si>
  <si>
    <t>INF204KA1WU8</t>
  </si>
  <si>
    <t>INF204KA1WV6</t>
  </si>
  <si>
    <t>INF209KA1TA1</t>
  </si>
  <si>
    <t>INF209KA1TB9</t>
  </si>
  <si>
    <t>INF209KA1TD5</t>
  </si>
  <si>
    <t>INF209KA1TK0</t>
  </si>
  <si>
    <t>INF277K01J85</t>
  </si>
  <si>
    <t>INF789FA10H4</t>
  </si>
  <si>
    <t>INF789FA10J0</t>
  </si>
  <si>
    <t>INF789FA11H2</t>
  </si>
  <si>
    <t>INF789FA11J8</t>
  </si>
  <si>
    <t>INE549R01012</t>
  </si>
  <si>
    <t>INE550R01010</t>
  </si>
  <si>
    <t>INF090I01LE4</t>
  </si>
  <si>
    <t>INF090I01LF1</t>
  </si>
  <si>
    <t>INF090I01LG9</t>
  </si>
  <si>
    <t>INF090I01LH7</t>
  </si>
  <si>
    <t>INF090I01LJ3</t>
  </si>
  <si>
    <t>INF109KA10G7</t>
  </si>
  <si>
    <t>INF109KA11G5</t>
  </si>
  <si>
    <t>INF109KA12G3</t>
  </si>
  <si>
    <t>INF109KA13F3</t>
  </si>
  <si>
    <t>INF109KA13G1</t>
  </si>
  <si>
    <t>INF109KA18F2</t>
  </si>
  <si>
    <t>INF174K01E92</t>
  </si>
  <si>
    <t>INF174K01F00</t>
  </si>
  <si>
    <t>INF174K01F18</t>
  </si>
  <si>
    <t>INF174K01F26</t>
  </si>
  <si>
    <t>INF174K01F42</t>
  </si>
  <si>
    <t>INF209KA1TP9</t>
  </si>
  <si>
    <t>INF209KA1TQ7</t>
  </si>
  <si>
    <t>INF209KA1TS3</t>
  </si>
  <si>
    <t>INF209KA1TT1</t>
  </si>
  <si>
    <t>INF209KA1TU9</t>
  </si>
  <si>
    <t>INF209KA1TV7</t>
  </si>
  <si>
    <t>INF209KA1TW5</t>
  </si>
  <si>
    <t>INF209KA1TX3</t>
  </si>
  <si>
    <t>INF209KA1TY1</t>
  </si>
  <si>
    <t>INE123R01016</t>
  </si>
  <si>
    <t>INE435M01023</t>
  </si>
  <si>
    <t>INE501O01036</t>
  </si>
  <si>
    <t>INE527R01018</t>
  </si>
  <si>
    <t>INE535R01011</t>
  </si>
  <si>
    <t>INE544R01013</t>
  </si>
  <si>
    <t>INE597R01011</t>
  </si>
  <si>
    <t>INE600R01013</t>
  </si>
  <si>
    <t>INE608R01016</t>
  </si>
  <si>
    <t>INE610R01012</t>
  </si>
  <si>
    <t>INE611R01010</t>
  </si>
  <si>
    <t>INE613R01016</t>
  </si>
  <si>
    <t>INE666R01014</t>
  </si>
  <si>
    <t>INE667R01012</t>
  </si>
  <si>
    <t>INE668R01010</t>
  </si>
  <si>
    <t>INE897P01019</t>
  </si>
  <si>
    <t>INF767K01MT9</t>
  </si>
  <si>
    <t>INF917K01TD9</t>
  </si>
  <si>
    <t>INF917K01TF4</t>
  </si>
  <si>
    <t>INE439Q01018</t>
  </si>
  <si>
    <t>INE111Q01013</t>
  </si>
  <si>
    <t>INE170Q01019</t>
  </si>
  <si>
    <t>INE171Q01017</t>
  </si>
  <si>
    <t>INE172Q01015</t>
  </si>
  <si>
    <t>INE173Q01013</t>
  </si>
  <si>
    <t>INE168Q01013</t>
  </si>
  <si>
    <t>INE169Q01011</t>
  </si>
  <si>
    <t>INF209K01ZB2</t>
  </si>
  <si>
    <t>INF209K01ZC0</t>
  </si>
  <si>
    <t>INF209K01XA9</t>
  </si>
  <si>
    <t>INF209K01XW3</t>
  </si>
  <si>
    <t>INF209K01XU7</t>
  </si>
  <si>
    <t>INF209K01XV5</t>
  </si>
  <si>
    <t>INF209K01XY9</t>
  </si>
  <si>
    <t>INF209K01YW1</t>
  </si>
  <si>
    <t>INF209K01XM4</t>
  </si>
  <si>
    <t>INF209K01XN2</t>
  </si>
  <si>
    <t>INF209K01XP7</t>
  </si>
  <si>
    <t>INF209K01XQ5</t>
  </si>
  <si>
    <t>INF209K01XR3</t>
  </si>
  <si>
    <t>INF209K01XS1</t>
  </si>
  <si>
    <t>INF209K01XT9</t>
  </si>
  <si>
    <t>INF209K01YT7</t>
  </si>
  <si>
    <t>INF209K01YK6</t>
  </si>
  <si>
    <t>INF761K01BI8</t>
  </si>
  <si>
    <t>INF761K01BJ6</t>
  </si>
  <si>
    <t>INF761K01BK4</t>
  </si>
  <si>
    <t>INF846K01JY7</t>
  </si>
  <si>
    <t>INE203N01015</t>
  </si>
  <si>
    <t>INE441Q01014</t>
  </si>
  <si>
    <t>INE442Q01012</t>
  </si>
  <si>
    <t>INF109KA1HK6</t>
  </si>
  <si>
    <t>INF109KA1HL4</t>
  </si>
  <si>
    <t>INF109KA1HM2</t>
  </si>
  <si>
    <t>INE861P01015</t>
  </si>
  <si>
    <t>INE862P01013</t>
  </si>
  <si>
    <t>INE867P01012</t>
  </si>
  <si>
    <t>INE868P01010</t>
  </si>
  <si>
    <t>INF205K01A57</t>
  </si>
  <si>
    <t>INF209K012W5</t>
  </si>
  <si>
    <t>INF209K013W3</t>
  </si>
  <si>
    <t>INF209K014W1</t>
  </si>
  <si>
    <t>INF209K015W8</t>
  </si>
  <si>
    <t>INF209K016V8</t>
  </si>
  <si>
    <t>INF209K017V6</t>
  </si>
  <si>
    <t>INE975X01017</t>
  </si>
  <si>
    <t>INE251Q01017</t>
  </si>
  <si>
    <t>INF179KA1GC0</t>
  </si>
  <si>
    <t>INF179KA1GD8</t>
  </si>
  <si>
    <t>INF179KA1GE6</t>
  </si>
  <si>
    <t>INF179KA1FZ3</t>
  </si>
  <si>
    <t>INF179KA1GA4</t>
  </si>
  <si>
    <t>INF179KA1GB2</t>
  </si>
  <si>
    <t>INF109KA1OU1</t>
  </si>
  <si>
    <t>INF109KA1OW7</t>
  </si>
  <si>
    <t>INF109KA1OS5</t>
  </si>
  <si>
    <t>INF109KA1OY3</t>
  </si>
  <si>
    <t>INF209K011L0</t>
  </si>
  <si>
    <t>INF209K012L8</t>
  </si>
  <si>
    <t>INF209K013L6</t>
  </si>
  <si>
    <t>INF209K014L4</t>
  </si>
  <si>
    <t>INF209K015L1</t>
  </si>
  <si>
    <t>INF740K01E14</t>
  </si>
  <si>
    <t>INF740K01E22</t>
  </si>
  <si>
    <t>INF789F017Q1</t>
  </si>
  <si>
    <t>INF789F018P1</t>
  </si>
  <si>
    <t>INF789F018Q9</t>
  </si>
  <si>
    <t>INF789F019P9</t>
  </si>
  <si>
    <t>INF209KA1DA5</t>
  </si>
  <si>
    <t>INF209KA1DB3</t>
  </si>
  <si>
    <t>INF209KA1DD9</t>
  </si>
  <si>
    <t>INF209KA1DE7</t>
  </si>
  <si>
    <t>INF209K01WZ8</t>
  </si>
  <si>
    <t>INF209K01VX5</t>
  </si>
  <si>
    <t>INF209K01VZ0</t>
  </si>
  <si>
    <t>INF209K01VY3</t>
  </si>
  <si>
    <t>INF209K01WD5</t>
  </si>
  <si>
    <t>INF209K01VS5</t>
  </si>
  <si>
    <t>INF209K01WG8</t>
  </si>
  <si>
    <t>INF209K01WI4</t>
  </si>
  <si>
    <t>INF209K01WH6</t>
  </si>
  <si>
    <t>INF209K01WT1</t>
  </si>
  <si>
    <t>INF209K01WV7</t>
  </si>
  <si>
    <t>INF209K01WU9</t>
  </si>
  <si>
    <t>INF397L01FV3</t>
  </si>
  <si>
    <t>INF397L01FR1</t>
  </si>
  <si>
    <t>INF397L01FW1</t>
  </si>
  <si>
    <t>INF397L01FX9</t>
  </si>
  <si>
    <t>INF397L01FY7</t>
  </si>
  <si>
    <t>INF397L01FZ4</t>
  </si>
  <si>
    <t>INF397L01GB3</t>
  </si>
  <si>
    <t>INF397L01GC1</t>
  </si>
  <si>
    <t>INF397L01GD9</t>
  </si>
  <si>
    <t>INF397L01GE7</t>
  </si>
  <si>
    <t>INF397L01GF4</t>
  </si>
  <si>
    <t>INF397L01GG2</t>
  </si>
  <si>
    <t>INF397L01GH0</t>
  </si>
  <si>
    <t>INE159Q01012</t>
  </si>
  <si>
    <t>INE159Q01046</t>
  </si>
  <si>
    <t>INE159Q01020</t>
  </si>
  <si>
    <t>INE990J01023</t>
  </si>
  <si>
    <t>INE812K01027</t>
  </si>
  <si>
    <t>INF109KA1CO9</t>
  </si>
  <si>
    <t>INF109KA1DC2</t>
  </si>
  <si>
    <t>INF109KA1CM3</t>
  </si>
  <si>
    <t>INF109KA1DE8</t>
  </si>
  <si>
    <t>INF789FA1LN6</t>
  </si>
  <si>
    <t>INF789FA1LO4</t>
  </si>
  <si>
    <t>INF789FA1LR7</t>
  </si>
  <si>
    <t>INF789FA1LP1</t>
  </si>
  <si>
    <t>INF789FA1LQ9</t>
  </si>
  <si>
    <t>INF789FA1LS5</t>
  </si>
  <si>
    <t>INF789FA1LU1</t>
  </si>
  <si>
    <t>INF789FA1LV9</t>
  </si>
  <si>
    <t>INF174K01TS5</t>
  </si>
  <si>
    <t>INF174K01TP1</t>
  </si>
  <si>
    <t>INF174K01TQ9</t>
  </si>
  <si>
    <t>INF174K01TR7</t>
  </si>
  <si>
    <t>INE429P01011</t>
  </si>
  <si>
    <t>INE434P01011</t>
  </si>
  <si>
    <t>INE436P01016</t>
  </si>
  <si>
    <t>INE437P01014</t>
  </si>
  <si>
    <t>INE438P01012</t>
  </si>
  <si>
    <t>INF209K011O4</t>
  </si>
  <si>
    <t>INF209K016N5</t>
  </si>
  <si>
    <t>INE510P01018</t>
  </si>
  <si>
    <t>INE503P01013</t>
  </si>
  <si>
    <t>INE530N01029</t>
  </si>
  <si>
    <t>INE567D01022</t>
  </si>
  <si>
    <t>INF109KA1FB9</t>
  </si>
  <si>
    <t>INF109KA1FC7</t>
  </si>
  <si>
    <t>INE681K01026</t>
  </si>
  <si>
    <t>INE832Q01014</t>
  </si>
  <si>
    <t>INE833Q01012</t>
  </si>
  <si>
    <t>INE834Q01010</t>
  </si>
  <si>
    <t>INF843K01IY6</t>
  </si>
  <si>
    <t>INF843K01IZ3</t>
  </si>
  <si>
    <t>INF789FA1QX4</t>
  </si>
  <si>
    <t>INF789FA1QI5</t>
  </si>
  <si>
    <t>INF789FA1RF9</t>
  </si>
  <si>
    <t>INF789FA1QG9</t>
  </si>
  <si>
    <t>INF789FA1QV8</t>
  </si>
  <si>
    <t>INE844Q01019</t>
  </si>
  <si>
    <t>INF789FA1QL9</t>
  </si>
  <si>
    <t>INF789FA1QO3</t>
  </si>
  <si>
    <t>INF789FA1RE2</t>
  </si>
  <si>
    <t>INF789FA1RB8</t>
  </si>
  <si>
    <t>INE847Q01012</t>
  </si>
  <si>
    <t>INF194KA1QU2</t>
  </si>
  <si>
    <t>INF194KA1QX6</t>
  </si>
  <si>
    <t>INE067R01015</t>
  </si>
  <si>
    <t>INE129R01013</t>
  </si>
  <si>
    <t>INE130R01011</t>
  </si>
  <si>
    <t>INE132R01017</t>
  </si>
  <si>
    <t>INF109KA1A82</t>
  </si>
  <si>
    <t>INF109KA1A90</t>
  </si>
  <si>
    <t>INF192K01GZ9</t>
  </si>
  <si>
    <t>INF192K01HB8</t>
  </si>
  <si>
    <t>INE264Y01014</t>
  </si>
  <si>
    <t>INF740K015F9</t>
  </si>
  <si>
    <t>INF740K017G3</t>
  </si>
  <si>
    <t>INF740K018E6</t>
  </si>
  <si>
    <t>INF740K019E4</t>
  </si>
  <si>
    <t>INF740K019G9</t>
  </si>
  <si>
    <t>INF789FA1D47</t>
  </si>
  <si>
    <t>INF789FA1D54</t>
  </si>
  <si>
    <t>INF789FA1D62</t>
  </si>
  <si>
    <t>INF789FA1D70</t>
  </si>
  <si>
    <t>INF846K01QK1</t>
  </si>
  <si>
    <t>INE222R01016</t>
  </si>
  <si>
    <t>INE246D01015</t>
  </si>
  <si>
    <t>INE128Y01011</t>
  </si>
  <si>
    <t>INF789FA1J17</t>
  </si>
  <si>
    <t>INF789FA1J25</t>
  </si>
  <si>
    <t>INF789FA1J33</t>
  </si>
  <si>
    <t>INF789FA1J41</t>
  </si>
  <si>
    <t>INF789FA1J58</t>
  </si>
  <si>
    <t>INF789FA1J66</t>
  </si>
  <si>
    <t>INF789FA1J74</t>
  </si>
  <si>
    <t>INF789FA1J90</t>
  </si>
  <si>
    <t>INF789FA1K06</t>
  </si>
  <si>
    <t>INF789FA1K14</t>
  </si>
  <si>
    <t>INF789FA1K30</t>
  </si>
  <si>
    <t>INF789FA1K48</t>
  </si>
  <si>
    <t>INF789FA1K55</t>
  </si>
  <si>
    <t>INF789FA1K63</t>
  </si>
  <si>
    <t>INF789FA1K89</t>
  </si>
  <si>
    <t>INF789FA1K97</t>
  </si>
  <si>
    <t>INF789FA1L05</t>
  </si>
  <si>
    <t>INF789FA1L13</t>
  </si>
  <si>
    <t>INF789FA1L21</t>
  </si>
  <si>
    <t>INF789FA1L39</t>
  </si>
  <si>
    <t>INF789FA1L47</t>
  </si>
  <si>
    <t>INF789FA1L54</t>
  </si>
  <si>
    <t>INF789FA1L70</t>
  </si>
  <si>
    <t>INF789FA1L88</t>
  </si>
  <si>
    <t>INF789FA1L96</t>
  </si>
  <si>
    <t>INF789FA1M04</t>
  </si>
  <si>
    <t>INF789FA1M12</t>
  </si>
  <si>
    <t>INF789FA1M20</t>
  </si>
  <si>
    <t>INF789FA1M38</t>
  </si>
  <si>
    <t>INF789FA1M46</t>
  </si>
  <si>
    <t>INF789FA1M61</t>
  </si>
  <si>
    <t>INF789FA1M79</t>
  </si>
  <si>
    <t>INF789FA1M87</t>
  </si>
  <si>
    <t>INF789FA1M95</t>
  </si>
  <si>
    <t>INF789FA1N03</t>
  </si>
  <si>
    <t>INF789FA1N11</t>
  </si>
  <si>
    <t>INF789FA1N29</t>
  </si>
  <si>
    <t>INF789FA1N37</t>
  </si>
  <si>
    <t>INF789FA1N52</t>
  </si>
  <si>
    <t>INF789FA1N60</t>
  </si>
  <si>
    <t>INF789FA1N86</t>
  </si>
  <si>
    <t>INF789FA1N94</t>
  </si>
  <si>
    <t>INF789FA1O02</t>
  </si>
  <si>
    <t>INF789FA1O10</t>
  </si>
  <si>
    <t>INF789FA1O28</t>
  </si>
  <si>
    <t>INF789FA1O36</t>
  </si>
  <si>
    <t>INF789FA1O51</t>
  </si>
  <si>
    <t>INF789FA1O69</t>
  </si>
  <si>
    <t>INF789FA1O77</t>
  </si>
  <si>
    <t>INF789FA1O85</t>
  </si>
  <si>
    <t>INF789FA1P01</t>
  </si>
  <si>
    <t>INF789FA1P19</t>
  </si>
  <si>
    <t>INF789FA1P27</t>
  </si>
  <si>
    <t>INF789FA1P35</t>
  </si>
  <si>
    <t>INF789FA1P50</t>
  </si>
  <si>
    <t>INF789FA1P68</t>
  </si>
  <si>
    <t>INF789FA1P76</t>
  </si>
  <si>
    <t>INF789FA1P84</t>
  </si>
  <si>
    <t>INF789FA1P92</t>
  </si>
  <si>
    <t>INF789FA1Q00</t>
  </si>
  <si>
    <t>INF789FA1Q18</t>
  </si>
  <si>
    <t>INF789FA1Q26</t>
  </si>
  <si>
    <t>INF789FA1Q59</t>
  </si>
  <si>
    <t>INF789FA1Q67</t>
  </si>
  <si>
    <t>INF789FA1Q75</t>
  </si>
  <si>
    <t>INF789FA1Q83</t>
  </si>
  <si>
    <t>INF789FA1Q91</t>
  </si>
  <si>
    <t>INF789FA1R09</t>
  </si>
  <si>
    <t>INF789FA1R17</t>
  </si>
  <si>
    <t>INF789FA1R25</t>
  </si>
  <si>
    <t>INE416R01014</t>
  </si>
  <si>
    <t>INE419R01018</t>
  </si>
  <si>
    <t>INE420R01016</t>
  </si>
  <si>
    <t>INE421R01014</t>
  </si>
  <si>
    <t>INE422R01012</t>
  </si>
  <si>
    <t>INE426R01013</t>
  </si>
  <si>
    <t>INE500L01026</t>
  </si>
  <si>
    <t>INF789FA12I8</t>
  </si>
  <si>
    <t>INF789FA12J6</t>
  </si>
  <si>
    <t>INF789FA13G0</t>
  </si>
  <si>
    <t>INF789FA13H8</t>
  </si>
  <si>
    <t>INF789FA13I6</t>
  </si>
  <si>
    <t>INF789FA13J4</t>
  </si>
  <si>
    <t>INF789FA14G8</t>
  </si>
  <si>
    <t>INF789FA14H6</t>
  </si>
  <si>
    <t>INF789FA14I4</t>
  </si>
  <si>
    <t>INF789FA14J2</t>
  </si>
  <si>
    <t>INF789FA15G5</t>
  </si>
  <si>
    <t>INF789FA15I1</t>
  </si>
  <si>
    <t>INF789FA15J9</t>
  </si>
  <si>
    <t>INF789FA16G3</t>
  </si>
  <si>
    <t>INF789FA16H1</t>
  </si>
  <si>
    <t>INF789FA16I9</t>
  </si>
  <si>
    <t>INF789FA16J7</t>
  </si>
  <si>
    <t>INF789FA17I7</t>
  </si>
  <si>
    <t>INF789FA17J5</t>
  </si>
  <si>
    <t>INF789FA18G9</t>
  </si>
  <si>
    <t>INF789FA18I5</t>
  </si>
  <si>
    <t>INF789FA19G7</t>
  </si>
  <si>
    <t>INE168O01026</t>
  </si>
  <si>
    <t>INF179KA1D09</t>
  </si>
  <si>
    <t>INF761K01CY3</t>
  </si>
  <si>
    <t>INF789FA10N2</t>
  </si>
  <si>
    <t>INF789FA10O0</t>
  </si>
  <si>
    <t>INF789FA11N0</t>
  </si>
  <si>
    <t>INF789FA11O8</t>
  </si>
  <si>
    <t>INF789FA12N8</t>
  </si>
  <si>
    <t>INF789FA12O6</t>
  </si>
  <si>
    <t>INF789FA13N6</t>
  </si>
  <si>
    <t>INF789FA14N4</t>
  </si>
  <si>
    <t>INF789FA14O2</t>
  </si>
  <si>
    <t>INF789FA15N1</t>
  </si>
  <si>
    <t>INF789FA16N9</t>
  </si>
  <si>
    <t>INF789FA17N7</t>
  </si>
  <si>
    <t>INF789FA18N5</t>
  </si>
  <si>
    <t>INF789FA19N3</t>
  </si>
  <si>
    <t>INF223JA1065</t>
  </si>
  <si>
    <t>INF223JA1081</t>
  </si>
  <si>
    <t>INE557R01015</t>
  </si>
  <si>
    <t>INE561R01017</t>
  </si>
  <si>
    <t>INE730K01039</t>
  </si>
  <si>
    <t>INE910K01011</t>
  </si>
  <si>
    <t>INF109KA13H9</t>
  </si>
  <si>
    <t>INF109KA14H7</t>
  </si>
  <si>
    <t>INF109KA15H4</t>
  </si>
  <si>
    <t>INF903J01Z07</t>
  </si>
  <si>
    <t>INF903J01Z15</t>
  </si>
  <si>
    <t>INF903J01Z23</t>
  </si>
  <si>
    <t>INF903J01Z31</t>
  </si>
  <si>
    <t>INE558R01013</t>
  </si>
  <si>
    <t>INE516Q01013</t>
  </si>
  <si>
    <t>INE673R01010</t>
  </si>
  <si>
    <t>INE675R01015</t>
  </si>
  <si>
    <t>INE679R01017</t>
  </si>
  <si>
    <t>INE680R01015</t>
  </si>
  <si>
    <t>INE683R01019</t>
  </si>
  <si>
    <t>INE684R01017</t>
  </si>
  <si>
    <t>INE685R01014</t>
  </si>
  <si>
    <t>INE686R01012</t>
  </si>
  <si>
    <t>INE687R01010</t>
  </si>
  <si>
    <t>INF192K01HL7</t>
  </si>
  <si>
    <t>INF192K01HM5</t>
  </si>
  <si>
    <t>INF192K01HO1</t>
  </si>
  <si>
    <t>INF192K01HP8</t>
  </si>
  <si>
    <t>INF192K01HQ6</t>
  </si>
  <si>
    <t>INF192K01HR4</t>
  </si>
  <si>
    <t>INF192K01HS2</t>
  </si>
  <si>
    <t>INF192K01HT0</t>
  </si>
  <si>
    <t>INF192K01HV6</t>
  </si>
  <si>
    <t>INF205K01ZF1</t>
  </si>
  <si>
    <t>INF205K01ZG9</t>
  </si>
  <si>
    <t>INF205K01ZH7</t>
  </si>
  <si>
    <t>INF205K01ZI5</t>
  </si>
  <si>
    <t>INF209KA1CQ3</t>
  </si>
  <si>
    <t>INF209KA1CR1</t>
  </si>
  <si>
    <t>INF209KA1CS9</t>
  </si>
  <si>
    <t>INF209KA1CT7</t>
  </si>
  <si>
    <t>INF209KA1CU5</t>
  </si>
  <si>
    <t>INF209KA1CV3</t>
  </si>
  <si>
    <t>INF209KA1CX9</t>
  </si>
  <si>
    <t>INF209KA1CY7</t>
  </si>
  <si>
    <t>INF204KA1KU3</t>
  </si>
  <si>
    <t>INF251K01MT4</t>
  </si>
  <si>
    <t>INF251K01MU2</t>
  </si>
  <si>
    <t>INF740K01R92</t>
  </si>
  <si>
    <t>INF397L01HC9</t>
  </si>
  <si>
    <t>INF397L01HD7</t>
  </si>
  <si>
    <t>INF843K01IB4</t>
  </si>
  <si>
    <t>INF843K01HX0</t>
  </si>
  <si>
    <t>INF843K01HY8</t>
  </si>
  <si>
    <t>INF843K01HZ5</t>
  </si>
  <si>
    <t>INF843K01HV4</t>
  </si>
  <si>
    <t>INF843K01HW2</t>
  </si>
  <si>
    <t>INF761K01BV1</t>
  </si>
  <si>
    <t>INF761K01BS7</t>
  </si>
  <si>
    <t>INF903J01YG4</t>
  </si>
  <si>
    <t>INE732P01018</t>
  </si>
  <si>
    <t>INE843P01013</t>
  </si>
  <si>
    <t>INE846P01016</t>
  </si>
  <si>
    <t>INE852P01014</t>
  </si>
  <si>
    <t>INE895P01013</t>
  </si>
  <si>
    <t>INE901P01019</t>
  </si>
  <si>
    <t>INE912P01016</t>
  </si>
  <si>
    <t>INE914P01012</t>
  </si>
  <si>
    <t>INF109KA1JV9</t>
  </si>
  <si>
    <t>INF109KA1JW7</t>
  </si>
  <si>
    <t>INF109KA1JX5</t>
  </si>
  <si>
    <t>INF109KA1JY3</t>
  </si>
  <si>
    <t>INF109KA1KB9</t>
  </si>
  <si>
    <t>INF109KA1KC7</t>
  </si>
  <si>
    <t>INF903J01GW8</t>
  </si>
  <si>
    <t>INF903J01HC8</t>
  </si>
  <si>
    <t>INF789F01893</t>
  </si>
  <si>
    <t>INF789F01950</t>
  </si>
  <si>
    <t>INF903J01DT1</t>
  </si>
  <si>
    <t>INF903J01EE1</t>
  </si>
  <si>
    <t>INF903J01IH5</t>
  </si>
  <si>
    <t>INF769K01614</t>
  </si>
  <si>
    <t>INF769K01275</t>
  </si>
  <si>
    <t>INF769K01366</t>
  </si>
  <si>
    <t>INF179KA1DK0</t>
  </si>
  <si>
    <t>INF179KA1DL8</t>
  </si>
  <si>
    <t>INF179KA1DM6</t>
  </si>
  <si>
    <t>INF179KA1DO2</t>
  </si>
  <si>
    <t>INF179KA1DP9</t>
  </si>
  <si>
    <t>INF179KA1DQ7</t>
  </si>
  <si>
    <t>INF789FA1560</t>
  </si>
  <si>
    <t>INF789FA1578</t>
  </si>
  <si>
    <t>INF209K018V4</t>
  </si>
  <si>
    <t>INF209K019V2</t>
  </si>
  <si>
    <t>INF789F010N3</t>
  </si>
  <si>
    <t>INF789F011N1</t>
  </si>
  <si>
    <t>INF789F012N9</t>
  </si>
  <si>
    <t>INF789F013N7</t>
  </si>
  <si>
    <t>INF789F014M7</t>
  </si>
  <si>
    <t>INF789F014N5</t>
  </si>
  <si>
    <t>INF789F015M4</t>
  </si>
  <si>
    <t>INF789F015N2</t>
  </si>
  <si>
    <t>INF789F016M2</t>
  </si>
  <si>
    <t>INF109KA1SE6</t>
  </si>
  <si>
    <t>INF843K01401</t>
  </si>
  <si>
    <t>INF761K01BU3</t>
  </si>
  <si>
    <t>INF789FA1DD4</t>
  </si>
  <si>
    <t>INF223J01G86</t>
  </si>
  <si>
    <t>INF223J01H02</t>
  </si>
  <si>
    <t>INF223J01H44</t>
  </si>
  <si>
    <t>INF223J01H51</t>
  </si>
  <si>
    <t>INF223J01H69</t>
  </si>
  <si>
    <t>INF223J01H77</t>
  </si>
  <si>
    <t>INF223J01H85</t>
  </si>
  <si>
    <t>INF223J01I27</t>
  </si>
  <si>
    <t>INF740K01M22</t>
  </si>
  <si>
    <t>INF789FA1040</t>
  </si>
  <si>
    <t>INF789FA1057</t>
  </si>
  <si>
    <t>INF789FA1065</t>
  </si>
  <si>
    <t>INF209KA1GH3</t>
  </si>
  <si>
    <t>INF209KA1GI1</t>
  </si>
  <si>
    <t>INF209KA1EL0</t>
  </si>
  <si>
    <t>INF397L01HE5</t>
  </si>
  <si>
    <t>INF397L01HF2</t>
  </si>
  <si>
    <t>INF397L01HG0</t>
  </si>
  <si>
    <t>INF397L01HH8</t>
  </si>
  <si>
    <t>INF397L01HI6</t>
  </si>
  <si>
    <t>INF204KA1GG0</t>
  </si>
  <si>
    <t>INF204KA1GI6</t>
  </si>
  <si>
    <t>INF277K01WO9</t>
  </si>
  <si>
    <t>INF277K01WL5</t>
  </si>
  <si>
    <t>INF277K01WM3</t>
  </si>
  <si>
    <t>INF277K01WN1</t>
  </si>
  <si>
    <t>INF903J01XZ6</t>
  </si>
  <si>
    <t>INF903J01YA7</t>
  </si>
  <si>
    <t>INF903J01YB5</t>
  </si>
  <si>
    <t>INF903J01YC3</t>
  </si>
  <si>
    <t>INF903J01YD1</t>
  </si>
  <si>
    <t>INF903J01YE9</t>
  </si>
  <si>
    <t>INF209K017N3</t>
  </si>
  <si>
    <t>INF209K018N1</t>
  </si>
  <si>
    <t>INF209K019N9</t>
  </si>
  <si>
    <t>INF903J01XB7</t>
  </si>
  <si>
    <t>INF903J01XD3</t>
  </si>
  <si>
    <t>INF903J01XE1</t>
  </si>
  <si>
    <t>INF903J01XF8</t>
  </si>
  <si>
    <t>INF955L01CZ6</t>
  </si>
  <si>
    <t>INF955L01DA7</t>
  </si>
  <si>
    <t>INF955L01DB5</t>
  </si>
  <si>
    <t>INF955L01DC3</t>
  </si>
  <si>
    <t>INF955L01DD1</t>
  </si>
  <si>
    <t>INF955L01DE9</t>
  </si>
  <si>
    <t>INF955L01DF6</t>
  </si>
  <si>
    <t>INF955L01DG4</t>
  </si>
  <si>
    <t>INF109KA1LE1</t>
  </si>
  <si>
    <t>INF109KA1LH4</t>
  </si>
  <si>
    <t>INF109KA1LI2</t>
  </si>
  <si>
    <t>INF754K01DL3</t>
  </si>
  <si>
    <t>INF754K01DM1</t>
  </si>
  <si>
    <t>INF754K01DN9</t>
  </si>
  <si>
    <t>INF754K01DI9</t>
  </si>
  <si>
    <t>INF754K01DJ7</t>
  </si>
  <si>
    <t>INE725Q01010</t>
  </si>
  <si>
    <t>INF109KA1VE0</t>
  </si>
  <si>
    <t>INE476P01012</t>
  </si>
  <si>
    <t>INE498P01016</t>
  </si>
  <si>
    <t>INE146Y01013</t>
  </si>
  <si>
    <t>INF109KA1EU2</t>
  </si>
  <si>
    <t>INF109KA1WS8</t>
  </si>
  <si>
    <t>INF109KA1WT6</t>
  </si>
  <si>
    <t>INF109KA1WU4</t>
  </si>
  <si>
    <t>INF109KA1UQ6</t>
  </si>
  <si>
    <t>INF109KA1UR4</t>
  </si>
  <si>
    <t>INF109KA1US2</t>
  </si>
  <si>
    <t>INF109KA1UM5</t>
  </si>
  <si>
    <t>INF109KA1UZ7</t>
  </si>
  <si>
    <t>INF109KA1VA8</t>
  </si>
  <si>
    <t>INF090I01KX6</t>
  </si>
  <si>
    <t>INF090I01KY4</t>
  </si>
  <si>
    <t>INF090I01KU2</t>
  </si>
  <si>
    <t>INF090I01KV0</t>
  </si>
  <si>
    <t>INF582M01BX3</t>
  </si>
  <si>
    <t>INF582M01BY1</t>
  </si>
  <si>
    <t>INF582M01BZ8</t>
  </si>
  <si>
    <t>INF582M01CA9</t>
  </si>
  <si>
    <t>INF582M01CB7</t>
  </si>
  <si>
    <t>INF582M01BU9</t>
  </si>
  <si>
    <t>INF582M01BW5</t>
  </si>
  <si>
    <t>INF205K01J82</t>
  </si>
  <si>
    <t>INF205K01J90</t>
  </si>
  <si>
    <t>INF205K01J33</t>
  </si>
  <si>
    <t>INF205K01J41</t>
  </si>
  <si>
    <t>INF205K01J58</t>
  </si>
  <si>
    <t>INF205K01K30</t>
  </si>
  <si>
    <t>INF205K01K48</t>
  </si>
  <si>
    <t>INF205K01K55</t>
  </si>
  <si>
    <t>INF205K01K63</t>
  </si>
  <si>
    <t>INF205K01K06</t>
  </si>
  <si>
    <t>INF205K01K14</t>
  </si>
  <si>
    <t>INF205K01K22</t>
  </si>
  <si>
    <t>INF205K01K71</t>
  </si>
  <si>
    <t>INF205K01K97</t>
  </si>
  <si>
    <t>INE245Y01013</t>
  </si>
  <si>
    <t>INF789FA1RD4</t>
  </si>
  <si>
    <t>INF789FA1QH7</t>
  </si>
  <si>
    <t>INF789FA1QW6</t>
  </si>
  <si>
    <t>INF789FA1QY2</t>
  </si>
  <si>
    <t>INF789FA1QN5</t>
  </si>
  <si>
    <t>INF789FA1RG7</t>
  </si>
  <si>
    <t>INF789FA1QQ8</t>
  </si>
  <si>
    <t>INE850Q01016</t>
  </si>
  <si>
    <t>INF789FA1RI3</t>
  </si>
  <si>
    <t>INF789FA1QE4</t>
  </si>
  <si>
    <t>INE848Q01010</t>
  </si>
  <si>
    <t>INE846Q01014</t>
  </si>
  <si>
    <t>INF767K01LB9</t>
  </si>
  <si>
    <t>INF789FA1QJ3</t>
  </si>
  <si>
    <t>INF789FA1QP0</t>
  </si>
  <si>
    <t>INF789FA1QS4</t>
  </si>
  <si>
    <t>INF789FA1RA0</t>
  </si>
  <si>
    <t>INF789FA1QT2</t>
  </si>
  <si>
    <t>INF789FA1QF1</t>
  </si>
  <si>
    <t>INF789FA1QU0</t>
  </si>
  <si>
    <t>INF789FA1RC6</t>
  </si>
  <si>
    <t>INF789FA1QM7</t>
  </si>
  <si>
    <t>INF789FA1QK1</t>
  </si>
  <si>
    <t>INE077F01035</t>
  </si>
  <si>
    <t>INF903J01P90</t>
  </si>
  <si>
    <t>INF903J01Q08</t>
  </si>
  <si>
    <t>INF903J01Q24</t>
  </si>
  <si>
    <t>INF903J01Q32</t>
  </si>
  <si>
    <t>INE041R01010</t>
  </si>
  <si>
    <t>INE042R01018</t>
  </si>
  <si>
    <t>INE152R01015</t>
  </si>
  <si>
    <t>INE153R01013</t>
  </si>
  <si>
    <t>INE322Q01016</t>
  </si>
  <si>
    <t>INE736P01019</t>
  </si>
  <si>
    <t>INE834I01025</t>
  </si>
  <si>
    <t>INF209KA1NG1</t>
  </si>
  <si>
    <t>INF179KA1XF8</t>
  </si>
  <si>
    <t>INF179KA1XG6</t>
  </si>
  <si>
    <t>INF194KA1RN5</t>
  </si>
  <si>
    <t>INF194KA1RO3</t>
  </si>
  <si>
    <t>INF209KA1OS4</t>
  </si>
  <si>
    <t>INF209KA1OT2</t>
  </si>
  <si>
    <t>INF209KA1OV8</t>
  </si>
  <si>
    <t>INF209KA1OW6</t>
  </si>
  <si>
    <t>INF789FA1D96</t>
  </si>
  <si>
    <t>INF789FA1E04</t>
  </si>
  <si>
    <t>INF789FA1E12</t>
  </si>
  <si>
    <t>INF789FA1E20</t>
  </si>
  <si>
    <t>INF789FA1E46</t>
  </si>
  <si>
    <t>INF789FA1E53</t>
  </si>
  <si>
    <t>INF789FA1E61</t>
  </si>
  <si>
    <t>INF789FA1E87</t>
  </si>
  <si>
    <t>INF789FA1E95</t>
  </si>
  <si>
    <t>INF789FA1F03</t>
  </si>
  <si>
    <t>INF789FA1F29</t>
  </si>
  <si>
    <t>INF789FA1F37</t>
  </si>
  <si>
    <t>INE124Y01010</t>
  </si>
  <si>
    <t>INF789FA1R33</t>
  </si>
  <si>
    <t>INF789FA1R41</t>
  </si>
  <si>
    <t>INF789FA1R66</t>
  </si>
  <si>
    <t>INF789FA1R74</t>
  </si>
  <si>
    <t>INF789FA1R82</t>
  </si>
  <si>
    <t>INF789FA1R90</t>
  </si>
  <si>
    <t>INF789FA1S08</t>
  </si>
  <si>
    <t>INF789FA1S16</t>
  </si>
  <si>
    <t>INF789FA1S24</t>
  </si>
  <si>
    <t>INF789FA1S32</t>
  </si>
  <si>
    <t>INF789FA1S57</t>
  </si>
  <si>
    <t>INF789FA1S65</t>
  </si>
  <si>
    <t>INF789FA1S73</t>
  </si>
  <si>
    <t>INF789FA1S81</t>
  </si>
  <si>
    <t>INF789FA1S99</t>
  </si>
  <si>
    <t>INF789FA1T07</t>
  </si>
  <si>
    <t>INF789FA1T15</t>
  </si>
  <si>
    <t>INF789FA1T23</t>
  </si>
  <si>
    <t>INF789FA1T49</t>
  </si>
  <si>
    <t>INF789FA1T56</t>
  </si>
  <si>
    <t>INF789FA1T64</t>
  </si>
  <si>
    <t>INF789FA1T72</t>
  </si>
  <si>
    <t>INF789FA1T80</t>
  </si>
  <si>
    <t>INF789FA1T98</t>
  </si>
  <si>
    <t>INF789FA1U04</t>
  </si>
  <si>
    <t>INF789FA1U20</t>
  </si>
  <si>
    <t>INF789FA1U38</t>
  </si>
  <si>
    <t>INF789FA1U46</t>
  </si>
  <si>
    <t>INF789FA1U53</t>
  </si>
  <si>
    <t>INF789FA1U61</t>
  </si>
  <si>
    <t>INF789FA1U79</t>
  </si>
  <si>
    <t>INF789FA1U87</t>
  </si>
  <si>
    <t>INF789FA1U95</t>
  </si>
  <si>
    <t>INF789FA1V11</t>
  </si>
  <si>
    <t>INF789FA1V29</t>
  </si>
  <si>
    <t>INF789FA1V37</t>
  </si>
  <si>
    <t>INF789FA1V45</t>
  </si>
  <si>
    <t>INF789FA1V52</t>
  </si>
  <si>
    <t>INF789FA1V78</t>
  </si>
  <si>
    <t>INF789FA1V86</t>
  </si>
  <si>
    <t>INF789FA1V94</t>
  </si>
  <si>
    <t>INF789FA1W10</t>
  </si>
  <si>
    <t>INF789FA1W28</t>
  </si>
  <si>
    <t>INF789FA1W36</t>
  </si>
  <si>
    <t>INF789FA1W44</t>
  </si>
  <si>
    <t>INF789FA1W51</t>
  </si>
  <si>
    <t>INF789FA1W69</t>
  </si>
  <si>
    <t>INF789FA1W77</t>
  </si>
  <si>
    <t>INF789FA1W85</t>
  </si>
  <si>
    <t>INF789FA1X01</t>
  </si>
  <si>
    <t>INF789FA1X27</t>
  </si>
  <si>
    <t>INF789FA1X35</t>
  </si>
  <si>
    <t>INF789FA1X50</t>
  </si>
  <si>
    <t>INF789FA1X68</t>
  </si>
  <si>
    <t>INF789FA1Y00</t>
  </si>
  <si>
    <t>INF789FA1Y18</t>
  </si>
  <si>
    <t>INF789FA1Y26</t>
  </si>
  <si>
    <t>INF789FA1Y34</t>
  </si>
  <si>
    <t>INF789FA1Y42</t>
  </si>
  <si>
    <t>INF789FA1Y59</t>
  </si>
  <si>
    <t>INF789FA1Y67</t>
  </si>
  <si>
    <t>INF789FA1Y83</t>
  </si>
  <si>
    <t>INF789FA1Z17</t>
  </si>
  <si>
    <t>INF789FA1Z25</t>
  </si>
  <si>
    <t>INF789FA1Z33</t>
  </si>
  <si>
    <t>INF789FA1Z41</t>
  </si>
  <si>
    <t>INF789FA1Z58</t>
  </si>
  <si>
    <t>INF179KA1D17</t>
  </si>
  <si>
    <t>INF179KA1D25</t>
  </si>
  <si>
    <t>INF179KA1D33</t>
  </si>
  <si>
    <t>INF179KA1D41</t>
  </si>
  <si>
    <t>INF179KA1D58</t>
  </si>
  <si>
    <t>INF179KA1D66</t>
  </si>
  <si>
    <t>INF179KA1D74</t>
  </si>
  <si>
    <t>INF179KA1D82</t>
  </si>
  <si>
    <t>INF179KA1D90</t>
  </si>
  <si>
    <t>INF179KA1E08</t>
  </si>
  <si>
    <t>INF179KA1E16</t>
  </si>
  <si>
    <t>INE483R01014</t>
  </si>
  <si>
    <t>INE486R01017</t>
  </si>
  <si>
    <t>INE637H01024</t>
  </si>
  <si>
    <t>INF917K01RB7</t>
  </si>
  <si>
    <t>INF917K01RD3</t>
  </si>
  <si>
    <t>INE229R01011</t>
  </si>
  <si>
    <t>INE265R01015</t>
  </si>
  <si>
    <t>INE266R01013</t>
  </si>
  <si>
    <t>INE267R01011</t>
  </si>
  <si>
    <t>INE268R01019</t>
  </si>
  <si>
    <t>INE269R01017</t>
  </si>
  <si>
    <t>INE271R01013</t>
  </si>
  <si>
    <t>INE206R01019</t>
  </si>
  <si>
    <t>INE207R01017</t>
  </si>
  <si>
    <t>INE208R01015</t>
  </si>
  <si>
    <t>INE210R01011</t>
  </si>
  <si>
    <t>INE213R01015</t>
  </si>
  <si>
    <t>INE214R01013</t>
  </si>
  <si>
    <t>INE215R01010</t>
  </si>
  <si>
    <t>INE062Y01012</t>
  </si>
  <si>
    <t>INE635Q01029</t>
  </si>
  <si>
    <t>INE761Q01015</t>
  </si>
  <si>
    <t>INE779Q01017</t>
  </si>
  <si>
    <t>INE862Q01011</t>
  </si>
  <si>
    <t>INE864Q01017</t>
  </si>
  <si>
    <t>INE866Q01012</t>
  </si>
  <si>
    <t>INE867Q01010</t>
  </si>
  <si>
    <t>INF192K01HX2</t>
  </si>
  <si>
    <t>INF192K01HZ7</t>
  </si>
  <si>
    <t>INF192K01IB6</t>
  </si>
  <si>
    <t>INF192K01ID2</t>
  </si>
  <si>
    <t>INF903J01YH2</t>
  </si>
  <si>
    <t>INF903J01YI0</t>
  </si>
  <si>
    <t>INF903J01YJ8</t>
  </si>
  <si>
    <t>INF903J01G83</t>
  </si>
  <si>
    <t>INF903J01G91</t>
  </si>
  <si>
    <t>INF903J01H09</t>
  </si>
  <si>
    <t>INF903J01H25</t>
  </si>
  <si>
    <t>INF903J01H33</t>
  </si>
  <si>
    <t>INE648C01022</t>
  </si>
  <si>
    <t>INF174K01WU5</t>
  </si>
  <si>
    <t>INF174K01WV3</t>
  </si>
  <si>
    <t>INF192K01GH7</t>
  </si>
  <si>
    <t>INF223J01R83</t>
  </si>
  <si>
    <t>INF223J01R91</t>
  </si>
  <si>
    <t>INF223J01S17</t>
  </si>
  <si>
    <t>INF223J01S25</t>
  </si>
  <si>
    <t>115AD(1)(iii)Proviso</t>
  </si>
  <si>
    <t>Schedule 115AD(1)(iii)Proviso</t>
  </si>
  <si>
    <t>PANAMA PETROCHEM LIMITED EQ NEW FV RS. 2/-</t>
  </si>
  <si>
    <t>SHIVAM MEGASTRUCTURES PVT LTD EQ CLASS A</t>
  </si>
  <si>
    <t>SHIVAM MEGASTRUCTURES PVT LTD EQ CLASS B</t>
  </si>
  <si>
    <t>SHIVAM MEGASTRUCTURES PVT LTD EQ CLASS C</t>
  </si>
  <si>
    <t>DEUTSCHE MUTUAL FUND FMP SERIES 36 REGULAR PLAN GROWTH 27SP16</t>
  </si>
  <si>
    <t>DEUTSCHE MUTUAL FUND FMP SERIES 36 DIRECT PLAN DIVI PAY 27SP16</t>
  </si>
  <si>
    <t>DEUTSCHE MUTUAL FUND FMP SERIES 36 DIRECT PLAN GROWTH 27SP16</t>
  </si>
  <si>
    <t>DEUTSCHE MUTUAL FUND FMP SERIES 36 REGULAR PLAN DIVI PAY 27SP16</t>
  </si>
  <si>
    <t>SUNDARAM MUTUAL FUND FTP DW REGULAR PLAN QTLRY DIVI PAY 28SP16</t>
  </si>
  <si>
    <t>SUNDARAM MUTUAL FUND FTP DW REGULAR PLAN HLF YRLY DIVI PAY 28SP16</t>
  </si>
  <si>
    <t>SUNDARAM MUTUAL FUND FTP DW DIRECT PLAN QTLRY DIVI PAY 28SP16</t>
  </si>
  <si>
    <t>SUNDARAM MUTUAL FUND FTP DW DIRECT PLAN HLF YRLY DIVI PAY 28SP16</t>
  </si>
  <si>
    <t>BAJAJ RESOURCES LIMITED EQ</t>
  </si>
  <si>
    <t>RUJUVALIKA INVESTMENTS LIMITED EQ</t>
  </si>
  <si>
    <t>MOTILAL OSWAL MUTUAL FUND MOSt SHARES 50 ETF GROWTH OPT OPEN ENDED</t>
  </si>
  <si>
    <t>ANUJ BUILDCON PRIVATE LIMITED EQ</t>
  </si>
  <si>
    <t>YEDESHI AURANGABAD TOLLWAY PRIVATE LIMITED EQ</t>
  </si>
  <si>
    <t>LIFELONG STEEL AND ALLOYS PRIVATE LIMITED EQ</t>
  </si>
  <si>
    <t>IDFC MUTUAL FUND FTP SR 44 REGULAR PLAN QTRLY DIVI PAY 24OT16</t>
  </si>
  <si>
    <t>IDFC MUTUAL FUND FTP SR 44 REGULAR PLAN HLF YRLY DIVPAY 24OT16</t>
  </si>
  <si>
    <t>HSBC MUTUAL FUND FUND FIXED TERM SERIES 98 DIR DIVI PAY 26OT16</t>
  </si>
  <si>
    <t>HSBC MUTUAL FUND FUND FIXED TERM SERIES 98 DIR GROWTH 26OT16</t>
  </si>
  <si>
    <t>HSBC MUTUAL FUND FUND FIXED TERM SERIES 98 REG DIVI PAY 26OT16</t>
  </si>
  <si>
    <t>HSBC MUTUAL FUND FUND FIXED TERM SERIES 98 REG GROWTH 26OT16</t>
  </si>
  <si>
    <t>SUNDARAM MUTUAL FUND HYBRID FD SR L REGULAR PLAN GROWTH 10NV19</t>
  </si>
  <si>
    <t>SUNDARAM MUTUAL FUND HYBRID FD SR L REG PL HLF YRLY DIVIPAY 10NV19</t>
  </si>
  <si>
    <t>SUNDARAM MUTUAL FUND HYBRID FD SR L REG PLAN YRLY DIVI PAY 10NV19</t>
  </si>
  <si>
    <t>SUNDARAM MUTUAL FUND HYBRID FD SR L DIR PL HLF YRLY DIVIPAY 10NV19</t>
  </si>
  <si>
    <t>SUNDARAM MUTUAL FUND HYBRID FD SR L DIR PLAN YRLY DIVI PAY 10NV19</t>
  </si>
  <si>
    <t>ROMANO BUILDTECH PRIVATE LIMITED EQ</t>
  </si>
  <si>
    <t>BHUVEE STENOVATE PRIVATE LIMITED EQ PP RS.8/-</t>
  </si>
  <si>
    <t>PATWA INVESTMENT AND FINANCE LIMITED EQ</t>
  </si>
  <si>
    <t>AAYUSH FOOD AND HERBS LIMITED EQ</t>
  </si>
  <si>
    <t>MEGATHERM TRANSMISSION &amp; DISTRIBUTION PRIVATE LIMITED EQ</t>
  </si>
  <si>
    <t>MEP HIGHWAY SOLUTIONS PRIVATE LIMITED EQ</t>
  </si>
  <si>
    <t>MIDASTOUCH POWER PRIVATE LIMITED EQ</t>
  </si>
  <si>
    <t>SANCHAYA POWER PRIVATE LIMITED EQ</t>
  </si>
  <si>
    <t>INDIGENOUS POWER PRIVATE LIMITED EQ</t>
  </si>
  <si>
    <t>SAIBLISS POWER PRIVATE LIMITED EQ</t>
  </si>
  <si>
    <t>FILTRA CONSULTANTS AND ENGINEERS LIMITED EQ</t>
  </si>
  <si>
    <t>PARINEE REALTORS PRIVATE LIMITED EQ</t>
  </si>
  <si>
    <t>UTI MUTUAL FUND FTIF SR XX XI (1100D) REG FLEXI DIVREI 06DC17</t>
  </si>
  <si>
    <t>UTI MUTUAL FUND FTIF SR XX XII (1103D) DIR MAT DIV PAY 18DC17</t>
  </si>
  <si>
    <t>UTI MUTUAL FUND FTIF SR XX XII (1103D) REG QTLY DIVREI 18DC17</t>
  </si>
  <si>
    <t>UTI MUTUAL FUND FTIF SR XX XI (1100D) DIR FLEXI DIVPAY 06DC17</t>
  </si>
  <si>
    <t>UTI MUTUAL FUND FTIF SR XX XII (1103D) DIR QTLY DIVPAY 18DC17</t>
  </si>
  <si>
    <t>UTI MUTUAL FUND FTIF SR XX XI (1100D) DIR FLEXI DIVREI 06DC17</t>
  </si>
  <si>
    <t>UTI MUTUAL FUND FTIF SR XX XI (1100D) REG MAT DIVI PAY 06DC17</t>
  </si>
  <si>
    <t>UTI MUTUAL FUND FTIF SR XX XII (1103D) DIR QTLY DIVREI 18DC17</t>
  </si>
  <si>
    <t>UTI MUTUAL FUND FTIF SR XX XI (1100D) REG QTLY DIV PAY 06DC17</t>
  </si>
  <si>
    <t>UTI MUTUAL FUND FTIF SR XX XII (1103D) REG ANNL DIVPAY 18DC17</t>
  </si>
  <si>
    <t>UTI MUTUAL FUND FTIF SR XX XI (1100D) DIR MAT DIVI PAY 06DC17</t>
  </si>
  <si>
    <t>UTI MUTUAL FUND FTIF SR XX XI (1100D) REG QTLY DIV REI 06DC17</t>
  </si>
  <si>
    <t>UTI MUTUAL FUND FTIF SR XX XII (1103D) REG ANNL DIVREI 18DC17</t>
  </si>
  <si>
    <t>UTI MUTUAL FUND FTIF SR XX XI (1100D) DIR QTRY DIV PAY 06DC17</t>
  </si>
  <si>
    <t>UTI MUTUAL FUND FTIF SR XX XII (1103D) DIR ANNL DIVPAY 18DC17</t>
  </si>
  <si>
    <t>UTI MUTUAL FUND FTIF SR XX XII (1103D) REG FLEXI DIVPA 18DC17</t>
  </si>
  <si>
    <t>UTI MUTUAL FUND FTIF SR XX XI (1100D) DIR QTRLY DIVREI 06DC17</t>
  </si>
  <si>
    <t>UTI MUTUAL FUND FTIF SR XX XII (1103D) DIR ANNL DIVREI 18DC17</t>
  </si>
  <si>
    <t>UTI MUTUAL FUND FTIF SR XX XII (1103D) REG FLEXI DIVRE 18DC17</t>
  </si>
  <si>
    <t>ROTO PUMPS LIMITED EQ NEW FV RS. 2/-</t>
  </si>
  <si>
    <t>NATURE INDIA COMMUNIQUE LTD EQ</t>
  </si>
  <si>
    <t>SKYROCK ENGINEERS PRIVATE LIMITED EQ</t>
  </si>
  <si>
    <t>STELLAR SPRING PROJECTS PRIVATE LIMITED EQ</t>
  </si>
  <si>
    <t>STELLAR CONSTELLATION PROJECTS PRIVATE LIMITED EQ</t>
  </si>
  <si>
    <t>ANI TECHNOLOGIES PRIVATE LIMITED EQ</t>
  </si>
  <si>
    <t>MEP IRDP SOLAPUR TOLL ROAD PRIVATE LIMITED EQ</t>
  </si>
  <si>
    <t>PIRAMAL RESIDENCES PRIVATE LIMITED EQ</t>
  </si>
  <si>
    <t>PJPA REALITY PRIVATE LIMITED EQ</t>
  </si>
  <si>
    <t>INVESCO MUTUAL FUND FMP SERIES-XXI PLAN E REG DIVI PAY 29NV16</t>
  </si>
  <si>
    <t>INVESCO MUTUAL FUND FMP SERIES-XXI PLAN E DIRECT DIVI PAY 29NV16</t>
  </si>
  <si>
    <t>INVESCO MUTUAL FUND FMP SERIES-XXI PLAN E DIRECT GROWTH 29NV16</t>
  </si>
  <si>
    <t>INVESCO MUTUAL FUND FMP SERIES-22 PLAN A REG DIVI PAY 08DC16</t>
  </si>
  <si>
    <t>INVESCO MUTUAL FUND FMP SERIES-22 PLAN A REG GROWTH 08DC16</t>
  </si>
  <si>
    <t>INVESCO MUTUAL FUND FMP SERIES-22 PLAN A DIRECT DIVI PAY 08DC16</t>
  </si>
  <si>
    <t>INVESCO MUTUAL FUND FMP SERIES-22 PLAN A DIRECT GROWTH 08DC16</t>
  </si>
  <si>
    <t>ICICI BANK LIMITED EQ NEW FV RS. 2/-</t>
  </si>
  <si>
    <t>ICICI PRUDENTIAL MUTUAL FUND LIQUID FUND INSTTION I GROWTH</t>
  </si>
  <si>
    <t>KOTAK MAHINDRA MUTUAL FUND INFRA &amp; ECO. REFORM STANDARD GROWTH OPEN END</t>
  </si>
  <si>
    <t>ICICI PRUDENTIAL MUTUAL FUND LIQUID FUND MTHLY DIVI REINV</t>
  </si>
  <si>
    <t>ICICI PRUDENTIAL MUTUAL FUND BANKING &amp; PSU DEBT FD RETAIL DLY DIVI PAY OP</t>
  </si>
  <si>
    <t>ICICI PRUDENTIAL MUTUAL FUND MONTHLY INCOME PL GROWTH HLF YRLY AEP</t>
  </si>
  <si>
    <t>ICICI PRUDENTIAL MUTUAL FUND FLOATING INTEREST FD GROWTH</t>
  </si>
  <si>
    <t>ICICI PRUDENTIAL MUTUAL FUND DYN BD FU PREMIUM PLUS GROWTH OPEN ENDED</t>
  </si>
  <si>
    <t>ICICI PRUDENTIAL MUTUAL FUND CORPORATE BD FD PREMIUM FORTNIGHTLY DIV PAY</t>
  </si>
  <si>
    <t>ICICI PRUDENTIAL MUTUAL FUND CORPORATE BD FD WEEKLY DIVI PAY</t>
  </si>
  <si>
    <t>ICICI PRUDENTIAL MUTUAL FUND CORPORATE BD FD SUPER PREM FORTNTLY DIVIPAY</t>
  </si>
  <si>
    <t>BOI AXA MUTUAL FUND FMP SERIES 15 (366D) DIR DIVI PAY 13MY15</t>
  </si>
  <si>
    <t>DEUTSCHE MUTUAL FUND FMP SERIES 54 DIRECT PLAN REG DIVI PAY 07AP15</t>
  </si>
  <si>
    <t>DEUTSCHE MUTUAL FUND FMP SERIES 54 DIR PLAN QTRLY DIVI PAY 07AP15</t>
  </si>
  <si>
    <t>DEUTSCHE MUTUAL FUND FMP SERIES 54 DIR PLAN ANNL DIVI PAY 07AP15</t>
  </si>
  <si>
    <t>ROCKWOOL (INDIA) PRIVATE LIMITED EQ NEW FV RS. 10/-</t>
  </si>
  <si>
    <t>EAST INDIA PETROLEUM PRIVATE LIMITED EQ NEW FV RS. 10/-</t>
  </si>
  <si>
    <t>KOTAK MAHINDRA MUTUAL FUND QTRLY INTV PL SR 3 DIVIPY INTERVAL SCHEME</t>
  </si>
  <si>
    <t>KOTAK MAHINDRA MUTUAL FUND QTRLY INTV PL SR 5 DIVIREINV INTERVAL SCHEME</t>
  </si>
  <si>
    <t>KOTAK MAHINDRA MUTUAL FUND QTRLY INTV PL SR 9 GROWTH INTERVAL SCHEME</t>
  </si>
  <si>
    <t>KOTAK MAHINDRA MUTUAL FUND BOND REGULAR ANNUAL DIVREINV</t>
  </si>
  <si>
    <t>KOTAK MAHINDRA MUTUAL FUND DYNAMIC BOND FD REG GROWTH</t>
  </si>
  <si>
    <t>KOTAK MAHINDRA MUTUAL FUND TREASURY ADV FD WEEKLY DIV  PAYOUT OPEN END</t>
  </si>
  <si>
    <t>KOTAK MAHINDRA MUTUAL FUND BANKING AND PSU DEBT FUND MTHLY DIV REINV OP</t>
  </si>
  <si>
    <t>KOTAK MAHINDRA MUTUAL FUND INDIA EQ CONTRA FD DIRECT GROWTH</t>
  </si>
  <si>
    <t>KOTAK MAHINDRA MUTUAL FUND DEBT HYBRID REGULAR GROWTH</t>
  </si>
  <si>
    <t>HORIZON PACKS PVT LTD EQ</t>
  </si>
  <si>
    <t>RITIKA PRIVATE LIMITED EQ</t>
  </si>
  <si>
    <t>ISSL SETTLEMENT &amp; TRANSACTION SERVICES LTD. EQ</t>
  </si>
  <si>
    <t>MONICA REALATORS &amp; INVESTMENTS PRIVATE LTD. EQ</t>
  </si>
  <si>
    <t>GVR NAGAUR BIKANER TOLLWAY PRIVATE LIMITED EQ</t>
  </si>
  <si>
    <t>BAHETI METAL AND FERRO ALLOYS LIMITED EQ</t>
  </si>
  <si>
    <t>DHFL PRAMERICA MUTUAL FUND MIDCAP OPPORTUNITIES FUND REGULAR GROWTH OPEN</t>
  </si>
  <si>
    <t>DHFL PRAMERICA MUTUAL FUND MIDCAP OPPORTUNITIES FUND REGULAR DIVI PAY OP</t>
  </si>
  <si>
    <t>DHFL PRAMERICA MUTUAL FUND MIDCAP OPPORTUNITIES FUND DIRECT GROWTH OPEN</t>
  </si>
  <si>
    <t>DHFL PRAMERICA MUTUAL FUND MIDCAP OPPORTUNITIES FUND DIRECT DIVI PAY OP</t>
  </si>
  <si>
    <t>DHFL PRAMERICA MUTUAL FUND MIDCAP OPPORTUNITIES FUND DIRECT DIVI REIN OP</t>
  </si>
  <si>
    <t>DHFL PRAMERICA MUTUAL FUND MIDCAP OPPORTUNITIES FUND REGULAR DIVI REI OP</t>
  </si>
  <si>
    <t>DHFL PRAMERICA MUTUAL FUND MIDCAP OPPORTUNITIES FUND REGULAR DIV TRAF OP</t>
  </si>
  <si>
    <t>DYNAMIX TRADING TECHNOLOGIES LIMITED EQ</t>
  </si>
  <si>
    <t>CHOWRINGHEE RESIDENCY PRIVATE LIMITED EQ</t>
  </si>
  <si>
    <t>GRACEWORKS REALTY &amp; LEISURE PRIVATE LIMITED EQ</t>
  </si>
  <si>
    <t>MAHINDRA CONVEYOR SYSTEMS PRIVATE LIMITED EQ</t>
  </si>
  <si>
    <t>IDFC TRUSTEE COMPANY LIMITED EQ</t>
  </si>
  <si>
    <t>IDFC PROJECTS LIMITED EQ</t>
  </si>
  <si>
    <t>R. K. INFRATEL LIMITED EQ</t>
  </si>
  <si>
    <t>CENTRON INDUSTRIAL ALLIANCE LIMITED EQ NEW FV Re. 1/-</t>
  </si>
  <si>
    <t>ABHIJEET FERROTECH LIMITED EQ</t>
  </si>
  <si>
    <t>GUJARAT INTERNATIONAL FINANCE TEC-CITY CO LTD EQ</t>
  </si>
  <si>
    <t>DUET INDIA HOTELS (BENGALURU CYBERCITY) PRIVATE LIMITED EQ</t>
  </si>
  <si>
    <t>INVESCO MUTUAL FUND FMP SR 23 I DIRECT GROWTH 28AP15</t>
  </si>
  <si>
    <t>INVESCO MUTUAL FUND FMP SR 23 K REGULAR DIVI PAY 12MY15</t>
  </si>
  <si>
    <t>INVESCO MUTUAL FUND FMP SR 23 K REGULAR GROWTH 12MY15</t>
  </si>
  <si>
    <t>INVESCO MUTUAL FUND FMP SR 23 K DIRECT GROWTH 12MY15</t>
  </si>
  <si>
    <t>INVESCO MUTUAL FUND FMP SR 23 L REGULAR DIVI PAY 04MY15</t>
  </si>
  <si>
    <t>INVESCO MUTUAL FUND FMP SR 23 L REGULAR GROWTH 04MY15</t>
  </si>
  <si>
    <t>INVESCO MUTUAL FUND FMP SR 23 L DIRECT DIVI PAY 04MY15</t>
  </si>
  <si>
    <t>INVESCO MUTUAL FUND FMP SR 23 L DIRECT GROWTH 04MY15</t>
  </si>
  <si>
    <t>INVESCO MUTUAL FUND FMP SR 23 M REGULAR DIVI PAY 26MY15</t>
  </si>
  <si>
    <t>INVESCO MUTUAL FUND FMP SR 23 M REGULAR GROWTH 26MY15</t>
  </si>
  <si>
    <t>INVESCO MUTUAL FUND FMP SR 23 M DIRECT GROWTH 26MY15</t>
  </si>
  <si>
    <t>INVESCO MUTUAL FUND FMP SR 23 N REGULAR DIVI PAY 19JU15</t>
  </si>
  <si>
    <t>INVESCO MUTUAL FUND FMP SR 23 O REGULAR DIVI PAY 08JL15</t>
  </si>
  <si>
    <t>INVESCO MUTUAL FUND FMP SR 23 O REGULAR GROWTH 08JL15</t>
  </si>
  <si>
    <t>L &amp; T MUTUAL FUND FMP SR X PLAN J DIR DIVIDEND PAYOUT 19FB15</t>
  </si>
  <si>
    <t>L &amp; T MUTUAL FUND FMP SR X PLAN J DIR GROWTH 19FB15</t>
  </si>
  <si>
    <t>L &amp; T MUTUAL FUND FMP SR X PLAN J  DIVIDEND PAY 19FB15</t>
  </si>
  <si>
    <t>L &amp; T MUTUAL FUND FMP SR X PLAN J  GROWTH 19FB15</t>
  </si>
  <si>
    <t>L &amp; T MUTUAL FUND FMP SR X PLAN K DIR DIVIDEND PAYOUT 19MY14</t>
  </si>
  <si>
    <t>L &amp; T MUTUAL FUND FMP SR X PLAN K DIR GROWTH 19MY14</t>
  </si>
  <si>
    <t>L &amp; T MUTUAL FUND FMP SR X PLAN I DIR DIVIDEND PAYOUT 16FB15</t>
  </si>
  <si>
    <t>L &amp; T MUTUAL FUND FMP SR X PLAN I DIR GROWTH 16FB15</t>
  </si>
  <si>
    <t>L &amp; T MUTUAL FUND FMP SR X PLAN I  DIVIDEND PAY 16FB15</t>
  </si>
  <si>
    <t>L &amp; T MUTUAL FUND FMP SR X PLAN I  GROWTH 16FB15</t>
  </si>
  <si>
    <t>ADITYA BIRLA SUN LIFE MUTUAL FUND FTP SR LD(730D) REGULAR QTRLY DIVPAY 13AP16</t>
  </si>
  <si>
    <t>ADITYA BIRLA SUN LIFE MUTUAL FUND FTP SR LD(730D) DIRECT NORM DIVI PAY 13AP16</t>
  </si>
  <si>
    <t>ADITYA BIRLA SUN LIFE MUTUAL FUND FTP SR LD(730D) DIRECT QTRLY DIV PAY 13AP16</t>
  </si>
  <si>
    <t>UTI MUTUAL FUND FTI SR XVII-IV (531D) DIR ANL DIVPAY 08JU15</t>
  </si>
  <si>
    <t>UTI MUTUAL FUND FTI SR XVII-IV (531D) REG QTLYDIVREN 08JU15</t>
  </si>
  <si>
    <t>SECUR CREDENTIALS LTD EQ</t>
  </si>
  <si>
    <t>MICRO CLINIC INDIA PRIVATE LIMITED EQ</t>
  </si>
  <si>
    <t>IDFC ALTERNATIVES LIMITED EQ</t>
  </si>
  <si>
    <t>OPGS POWER GUJARAT PRIVATE LIMITED EQ CLASS B</t>
  </si>
  <si>
    <t>ADITYA BIRLA SUN LIFE MUTUAL FUND FTP CORP BOND SR B (1168D) DIR GROWTH 12AP17</t>
  </si>
  <si>
    <t>ADITYA BIRLA SUN LIFE MUTUAL FUND FTP CORP BOND SR B (1168D) DIR DIVIPAY 12AP17</t>
  </si>
  <si>
    <t>ADITYA BIRLA SUN LIFE MUTUAL FUND FTP SR JU (369D) REGULAR NORM DIV PAY 27JN15</t>
  </si>
  <si>
    <t>ADITYA BIRLA SUN LIFE MUTUAL FUND FTP SR JU (369D) REGULAR QTRLY DIVPAY 27JN15</t>
  </si>
  <si>
    <t>ADITYA BIRLA SUN LIFE MUTUAL FUND FTP SR JU (369D) DIRECT NORM DIVI PAY 27JN15</t>
  </si>
  <si>
    <t>ADITYA BIRLA SUN LIFE MUTUAL FUND FTP SR JU (369D) DIRECT QTRLY DIV PAY 27JN15</t>
  </si>
  <si>
    <t>RELIANCE MUTUAL FUND CLASSIC BOND FUND GROWTH</t>
  </si>
  <si>
    <t>RELIANCE MUTUAL FUND CLASSIC BOND FUND BONUS</t>
  </si>
  <si>
    <t>RELIANCE MUTUAL FUND CLASSIC BOND FUND DIV PAY</t>
  </si>
  <si>
    <t>RELIANCE MUTUAL FUND CLASSIC BOND FUND QTLY DIV PAY</t>
  </si>
  <si>
    <t>RELIANCE MUTUAL FUND CLASSIC BOND FUND DIV REI</t>
  </si>
  <si>
    <t>RELIANCE MUTUAL FUND CLASSIC BOND FUND QTLY DIV REI</t>
  </si>
  <si>
    <t>RELIANCE MUTUAL FUND CLASSIC BOND FUND DIR BONUS</t>
  </si>
  <si>
    <t>RELIANCE MUTUAL FUND CLASSIC BOND FUND DIR DIV PAY</t>
  </si>
  <si>
    <t>RELIANCE MUTUAL FUND CLASSIC BOND FUND DIR QTLY DIV PAY</t>
  </si>
  <si>
    <t>EDELWEISS MUTUAL FUND INDIA FMP SR 28 REGULAR PLAN DIVI PAY 01OT14</t>
  </si>
  <si>
    <t>L &amp; T MUTUAL FUND DYNAMIC EQ FD DIVI PAY OPEN</t>
  </si>
  <si>
    <t>L &amp; T MUTUAL FUND DYNAMIC EQ FD DIVI REINV OPEN</t>
  </si>
  <si>
    <t>L &amp; T MUTUAL FUND DYNAMIC EQ FD GROWTH OPEN</t>
  </si>
  <si>
    <t>L &amp; T MUTUAL FUND HYBRID EQUITY FUND DIVI PAY</t>
  </si>
  <si>
    <t>L &amp; T MUTUAL FUND HYBRID EQUITY FUND DIV REINV</t>
  </si>
  <si>
    <t>L &amp; T MUTUAL FUND HYBRID EQUITY FUND GROWTH</t>
  </si>
  <si>
    <t>L &amp; T MUTUAL FUND INDIA PRUDENCE FUND DIRECT PLAN DIVI PAY OPEN</t>
  </si>
  <si>
    <t>L &amp; T MUTUAL FUND HYBRID EQUITY FUND DIR DIVI REINV</t>
  </si>
  <si>
    <t>L &amp; T MUTUAL FUND HYBRID EQUITY FUND DIR GROWTH</t>
  </si>
  <si>
    <t>UTI MUTUAL FUND FTI SR XVIII-XIII(366D) REG FLEXIDIVRE 28MY15</t>
  </si>
  <si>
    <t>UTI MUTUAL FUND FTI SR XVIII-XIV (368D) DIR QTLYDIVPAY 01JU15</t>
  </si>
  <si>
    <t>UTI MUTUAL FUND FTI SR XVIII-XIV (368D) DIR QTLYDIVREN 01JU15</t>
  </si>
  <si>
    <t>UTI MUTUAL FUND FTI SR XVIII-XIV (368D) DIR ANL DIVPAY 01JU15</t>
  </si>
  <si>
    <t>UTI MUTUAL FUND FTI SR XVIII-XIV (368D) DIR ANL DIVREN 01JU15</t>
  </si>
  <si>
    <t>UTI MUTUAL FUND FTI SR XVIII-XIV (368D) DIR MTRYDIVPAY 01JU15</t>
  </si>
  <si>
    <t>UTI MUTUAL FUND FTI SR XVIII-XIV (368D) DIR FLEXIDIVPA 01JU15</t>
  </si>
  <si>
    <t>ALPHION INDIA PRIVATE LIMITED EQ PP RS. 2/-</t>
  </si>
  <si>
    <t>EDELWEISS MUTUAL FUND INDIA TOP 100 FD DIRECT PLAN DIVI REI OP</t>
  </si>
  <si>
    <t>CHPL INDUSTRIES LIMITED EQ</t>
  </si>
  <si>
    <t>UTI MUTUAL FUND FTI SR XVIII-XII (366D) DIR QTLYDIVPAY 20MY15</t>
  </si>
  <si>
    <t>UTI MUTUAL FUND FTI SR XVIII-XII (366D) DIR QTLYDIVREN 20MY15</t>
  </si>
  <si>
    <t>UTI MUTUAL FUND FTI SR XVIII-XII (366D) DIR ANL DIVPAY 20MY15</t>
  </si>
  <si>
    <t>UTI MUTUAL FUND FTI SR XVIII-XII(366D) DIR FLEXI DIVRE 20MY15</t>
  </si>
  <si>
    <t>UTI MUTUAL FUND FTI SR XVIII-XII (366D) REG QTLYDIVPAY 20MY15</t>
  </si>
  <si>
    <t>UTI MUTUAL FUND FTI SR XVIII-XII (366D) REG QTLYDIVREN 20MY15</t>
  </si>
  <si>
    <t>UTI MUTUAL FUND FTI SR XVIII-XII (366D) REG ANL DIVPAY 20MY15</t>
  </si>
  <si>
    <t>UTI MUTUAL FUND FTI SR XVIII-XII (366D) REG ANL DIVREN 20MY15</t>
  </si>
  <si>
    <t>UTI MUTUAL FUND FTI SR XVIII-XII (366D) REG MTRYDIVPAY 20MY15</t>
  </si>
  <si>
    <t>UTI MUTUAL FUND FTI SR XVIII-XII(366D) REG FLEXI DIVRE 20MY15</t>
  </si>
  <si>
    <t>STERLITE GRID 1 LIMITED EQ</t>
  </si>
  <si>
    <t>EDELWEISS INSURANCE BROKERS LIMITED EQ</t>
  </si>
  <si>
    <t>MEDIA.NET SOFTWARE SERVICES (INDIA) PRIVATE LIMITED EQ</t>
  </si>
  <si>
    <t>ZUARI SUGAR AND POWER LIMITED  EQ</t>
  </si>
  <si>
    <t>AMAGI MEDIA LABS PRIVATE LIMITED EQ CLASS A</t>
  </si>
  <si>
    <t>AMAGI MEDIA LABS PRIVATE LIMITED EQ CLASS B</t>
  </si>
  <si>
    <t>AMAGI MEDIA LABS PRIVATE LIMITED EQ CLASS C</t>
  </si>
  <si>
    <t>ICICI PRUDENTIAL MUTUAL FUND FMP SR 68 369D PL K DIVI PAY 23AG16</t>
  </si>
  <si>
    <t>ICICI PRUDENTIAL MUTUAL FUND FMP SR 68 369D PL K DIRECT CUMULATIVE 23AG16</t>
  </si>
  <si>
    <t>ICICI PRUDENTIAL MUTUAL FUND FMP SR 68 369D PL K DIRECT DIVI PAY 23AG16</t>
  </si>
  <si>
    <t>KOTAK MAHINDRA MUTUAL FUND FMP SR 99 (18 MONTHS) REGULAR GROWTH 10FB16</t>
  </si>
  <si>
    <t>KOTAK MAHINDRA MUTUAL FUND FMP SR 99 (18 MONTHS) REGULAR DIVI PAY 10FB16</t>
  </si>
  <si>
    <t>KOTAK MAHINDRA MUTUAL FUND FMP SR 99 (18 MONTHS) DIRECT DIVI PAY 10FB16</t>
  </si>
  <si>
    <t>KOTAK MAHINDRA MUTUAL FUND FMP SR 105 (370D) NON DIRECT DIVI PAY 03AG16</t>
  </si>
  <si>
    <t>KOTAK MAHINDRA MUTUAL FUND FMP SR 105 (370 DAYS) DIRECT DIVI PAY 03AG16</t>
  </si>
  <si>
    <t>KOTAK MAHINDRA MUTUAL FUND FMP SR 106 (370D) NON DIRECT DIVI PAY 04AG16</t>
  </si>
  <si>
    <t>KOTAK MAHINDRA MUTUAL FUND FMP SR 106 (370 DAYS) DIRECT DIVI PAY 04AG16</t>
  </si>
  <si>
    <t>KOTAK MAHINDRA MUTUAL FUND FMP SR 107 (370D) NON DIRECT DIVI PAY 08AG16</t>
  </si>
  <si>
    <t>KOTAK MAHINDRA MUTUAL FUND FMP SR 107 (370 DAYS) DIRECT DIVI PAY 08AG16</t>
  </si>
  <si>
    <t>IDFC MUTUAL FUND FTP SR 24 REGULAR PLAN HLF YRLY DIVPAY 02AG16</t>
  </si>
  <si>
    <t>JET INFRAVENTURE LIMITED EQ</t>
  </si>
  <si>
    <t>ALLIANCE INFRASTRUCTURE PROJECTS PRIVATE LIMITED EQ</t>
  </si>
  <si>
    <t>MAJESTIC RESEARCH SERVICES AND SOLUTIONS LIMITED EQ</t>
  </si>
  <si>
    <t>SERENE ESTATES PRIVATE LIMITED EQ</t>
  </si>
  <si>
    <t>ICICI PRUDENTIAL MUTUAL FUND FMP SR 69 369D PL J DIRECT DIVI PAY 28SP16</t>
  </si>
  <si>
    <t>ICICI PRUDENTIAL MUTUAL FUND FMP SR 69 369D PL J DIVI PAY 28SP16</t>
  </si>
  <si>
    <t>DSP MUTUAL FUND FMP SR115-12M REGDIVI REG PA(MAT29SP16)29SP16</t>
  </si>
  <si>
    <t>DSP MUTUAL FUND FMP SR117-12M DIRDIVI QTLYPA(MAT29SP16)29SP16</t>
  </si>
  <si>
    <t>DSP MUTUAL FUND FMP SR111-12M DIRDIVI REGPAY(MAT29SP16)29SP16</t>
  </si>
  <si>
    <t>DSP MUTUAL FUND FMP SR119-12M DIRDIVI QTLYPA(MAT29SP16)29SP16</t>
  </si>
  <si>
    <t>DSP MUTUAL FUND FMP SR118-12M REGDIVI QTLYPA(MAT29SP16)29SP16</t>
  </si>
  <si>
    <t>DSP MUTUAL FUND FMP SR113-12M REGDIVI REG PA(MAT29SP16)29SP16</t>
  </si>
  <si>
    <t>SAPL INDUSTRIES PRIVATE LIMITED  EQ</t>
  </si>
  <si>
    <t>NDTV WORLDWIDE LIMITED EQ</t>
  </si>
  <si>
    <t>HDFC MUTUAL FUND FMP 1128D SEP2014(1)SR 32 DIR NORDIVPY 26OT17</t>
  </si>
  <si>
    <t>RELIANCE MUTUAL FUND INTERVAL FUND III SR 1 DIV PAY OP</t>
  </si>
  <si>
    <t>RELIANCE MUTUAL FUND INTERVAL FUND III SR 1 GROWTH OP</t>
  </si>
  <si>
    <t>RELIANCE MUTUAL FUND INTERVAL FUND III SR 1 DIR PL  DIV PAY OP</t>
  </si>
  <si>
    <t>RELIANCE MUTUAL FUND INTERVAL FUND III SR 1 DIR PL  GROWTH OP</t>
  </si>
  <si>
    <t>UTI MUTUAL FUND LIQUID CASH PL INST PL FRTNTLY DIV PAY OPTION</t>
  </si>
  <si>
    <t>ICICI PRUDENTIAL MUTUAL FUND FMP SR 70 367D PL N DIRECT CUMULATIVE 18OT16</t>
  </si>
  <si>
    <t>ICICI PRUDENTIAL MUTUAL FUND FMP SR 70 367D PL N DIRECT DIVI PAY 18OT16</t>
  </si>
  <si>
    <t>ICICI PRUDENTIAL MUTUAL FUND FMP SR 70 367D PL N DIVI PAY 18OT16</t>
  </si>
  <si>
    <t>ICICI PRUDENTIAL MUTUAL FUND FMP SR 70 368D PL M DIRECT CUMULATIVE 18OT16</t>
  </si>
  <si>
    <t>ICICI PRUDENTIAL MUTUAL FUND FMP SR 70 368D PL M DIRECT DIVI PAY 18OT16</t>
  </si>
  <si>
    <t>ICICI PRUDENTIAL MUTUAL FUND FMP SR 70 368D PL M DIVI PAY 18OT16</t>
  </si>
  <si>
    <t>ICICI PRUDENTIAL MUTUAL FUND FMP SR 70 372D PL L DIRECT DIVI PAY 18OT16</t>
  </si>
  <si>
    <t>ICICI PRUDENTIAL MUTUAL FUND FMP SR 70 372D PL L DIVI PAY 18OT16</t>
  </si>
  <si>
    <t>VENUS GARMENTS (INDIA) LIMITED EQ</t>
  </si>
  <si>
    <t>RANJI SOLAR ENERGY PRIVATE LIMITED EQ</t>
  </si>
  <si>
    <t>ACME MUMBAI POWER PRIVATE LIMITED EQ</t>
  </si>
  <si>
    <t>MEDHA ENERGY PRIVATE LIMITED EQ</t>
  </si>
  <si>
    <t>ACME RAJDHANI POWER PRIVATE LIMITED EQ</t>
  </si>
  <si>
    <t>ACME GURGAON POWER PRIVATE LIMITED EQ</t>
  </si>
  <si>
    <t>SABRIMALA INDUSTRIES INDIA LIMITED EQ</t>
  </si>
  <si>
    <t>SISPARA RENEWABLE POWER PRIVATE LIMITED EQ</t>
  </si>
  <si>
    <t>KALSUBAI POWER PRIVATE LIMITED EQ</t>
  </si>
  <si>
    <t>ACTAVIS PHARMA DEVELOPMENT CENTRE PRIVATE LIMITED EQ</t>
  </si>
  <si>
    <t>INDIAIDEAS. COM LIMITED EQ</t>
  </si>
  <si>
    <t>KRIDHAN INFRA LIMITED EQ NEW FV RS. 2/-</t>
  </si>
  <si>
    <t>IDFC MUTUAL FUND DYNAMIC EQ FD REG PL  DIVIDEND SWEEP</t>
  </si>
  <si>
    <t>IDFC MUTUAL FUND DYNAMIC EQ FD DIR PL  DIVIDEND SWEEP</t>
  </si>
  <si>
    <t>RELIANCE MUTUAL FUND CRD RSK FD DIV PAYOUT</t>
  </si>
  <si>
    <t>RELIANCE MUTUAL FUND CRD RSK FD DIR DIV REINV</t>
  </si>
  <si>
    <t>RELIANCE MUTUAL FUND CRD RSK FD DIR DIV PAYOUT</t>
  </si>
  <si>
    <t>ADITYA BIRLA SUN LIFE MUTUAL FUND FTP SR MD(1099D) REGULAR NORM DIV PAY 15NV17</t>
  </si>
  <si>
    <t>ADITYA BIRLA SUN LIFE MUTUAL FUND FTP SR MD(1099D) REGULAR QTRLY DIVPAY 15NV17</t>
  </si>
  <si>
    <t>ADITYA BIRLA SUN LIFE MUTUAL FUND FTP SR MD(1099D) DIRECT NORM DIVI PAY 15NV17</t>
  </si>
  <si>
    <t>ADITYA BIRLA SUN LIFE MUTUAL FUND FTP SR MD(1099D) DIRECT QTRLY DIV PAY 15NV17</t>
  </si>
  <si>
    <t>TATA MUTUAL FUND DUAL ADV FD SR 2 SCH B DIR DIVI PAY 07DC17</t>
  </si>
  <si>
    <t>UTI MUTUAL FUND FTI SR XX-VII (1103D) REG QTLYDIVPAY 20NV17</t>
  </si>
  <si>
    <t>UTI MUTUAL FUND FTI SR XVI-IX(745D) DIR QTLYDIVPAY 10NV16</t>
  </si>
  <si>
    <t>UTI MUTUAL FUND FTI SR XX-VII (1103D) REG QTLYDIVREN 20NV17</t>
  </si>
  <si>
    <t>UTI MUTUAL FUND FTI SR XVI-IX(745D) DIR QTLYDIVREN 10NV16</t>
  </si>
  <si>
    <t>MTL INSTRUMENTS PRIVATE LIMITED EQ</t>
  </si>
  <si>
    <t>LEONE INFRASTRUCTURE LIMITED EQ</t>
  </si>
  <si>
    <t>FRANKLIN TEMPLETON ASSET MANAGEMENT (INDIA) PRIVATE LIMITED INDIA MULTI ASSET SOLUTION FD GROWTH OP</t>
  </si>
  <si>
    <t>FRANKLIN TEMPLETON ASSET MANAGEMENT (INDIA) PRIVATE LIMITED INDIA MULTI ASSET SOLUTION FD DIVI PAY OP</t>
  </si>
  <si>
    <t>FRANKLIN TEMPLETON ASSET MANAGEMENT (INDIA) PRIVATE LIMITED INDIA MULTI ASSET SOLUTION FD DIVI REINV OP</t>
  </si>
  <si>
    <t>FRANKLIN TEMPLETON ASSET MANAGEMENT (INDIA) PRIVATE LIMITED INDIA MULTI ASSET SOLUTION FD DIR GROWTH OP</t>
  </si>
  <si>
    <t>FRANKLIN TEMPLETON ASSET MANAGEMENT (INDIA) PRIVATE LIMITED INDIA MULTI ASSET SOLUTION FD DIR DIV REIN OP</t>
  </si>
  <si>
    <t>ICICI PRUDENTIAL MUTUAL FUND MED TERM BD FD DIRECT ANNL DIVI PAY</t>
  </si>
  <si>
    <t>ICICI PRUDENTIAL MUTUAL FUND MED TERM BD FD DIRECT ANNL DIVI REINV</t>
  </si>
  <si>
    <t>ICICI PRUDENTIAL MUTUAL FUND MED TERM BD FD ANNL DIVI PAY</t>
  </si>
  <si>
    <t>ICICI PRUDENTIAL MUTUAL FUND FMP SR 75 1100D T DIR HLF YRLY DIV PAY 23NV17</t>
  </si>
  <si>
    <t>ICICI PRUDENTIAL MUTUAL FUND MED TERM BD FD ANNL DIVI REINV</t>
  </si>
  <si>
    <t>ICICI PRUDENTIAL MUTUAL FUND MTPL YLD FD SR8 1103D C DIR CUMULATIVE 04DC17</t>
  </si>
  <si>
    <t>KOTAK MAHINDRA MUTUAL FUND EQUITY HYBRID REG GROWTH</t>
  </si>
  <si>
    <t>KOTAK MAHINDRA MUTUAL FUND EQUITY HYBRID DIR GROWTH</t>
  </si>
  <si>
    <t>KOTAK MAHINDRA MUTUAL FUND EQUITY ARBITRAGE FD NON DIR BIMNTLY DIVPAY OP</t>
  </si>
  <si>
    <t>KOTAK MAHINDRA MUTUAL FUND EQUITY ARBITRAGE FD DIR BIMONTHLY DIVI PAY OP</t>
  </si>
  <si>
    <t>KOTAK MAHINDRA MUTUAL FUND EQUITY ARBITRAGE FD DIR BIMONTHLY DIVI REI OP</t>
  </si>
  <si>
    <t>ADITYA BIRLA SUN LIFE MUTUAL FUND EQUITY SAVINGS FUND DIRECT GROWTH OP</t>
  </si>
  <si>
    <t>ADITYA BIRLA SUN LIFE MUTUAL FUND EQUITY SAVINGS FUND DIRECT DIVI PAY OP</t>
  </si>
  <si>
    <t>ADITYA BIRLA SUN LIFE MUTUAL FUND EQUITY SAVINGS FUND REGULAR GROWTH OP</t>
  </si>
  <si>
    <t>ADITYA BIRLA SUN LIFE MUTUAL FUND EQUITY SAVINGS FUND REGULAR DIVI PAY OP</t>
  </si>
  <si>
    <t>ADITYA BIRLA SUN LIFE MUTUAL FUND EQUITY SAVINGS FUND REGULAR DIVI REINV OP</t>
  </si>
  <si>
    <t>ADITYA BIRLA SUN LIFE MUTUAL FUND DYNAMIC BOND FD REGULAR DIVIDEND PAYOUT OP</t>
  </si>
  <si>
    <t>ADITYA BIRLA SUN LIFE MUTUAL FUND DYNAMIC BOND FD REGULAR DIVIDEND REINV OP</t>
  </si>
  <si>
    <t>ADITYA BIRLA SUN LIFE MUTUAL FUND DYNAMIC BOND FD DIRECT DIVIDEND PAYOUT OP</t>
  </si>
  <si>
    <t>ADITYA BIRLA SUN LIFE MUTUAL FUND DYNAMIC BOND FD DIRECT DIVIDEND REINV OP</t>
  </si>
  <si>
    <t>LOTUS GREENS CONSTRUCTIONS PRIVATE LIMITED EQ</t>
  </si>
  <si>
    <t>RABIRUN VINIMAY (P) LTD. EQ NEW  FV RS. 10/-</t>
  </si>
  <si>
    <t>EXCEL CASTRONICS LIMITED EQ NEW FV RS. 2/-</t>
  </si>
  <si>
    <t>ALORA TRADING COMPANY LIMITED EQ</t>
  </si>
  <si>
    <t>SAAMI TRADESTAR LOGISTICS LIMITED EQ</t>
  </si>
  <si>
    <t>GREENLAM INDUSTRIES LIMITED EQ</t>
  </si>
  <si>
    <t>TRIF REAL ESTATE AND DEVELOPMENT LIMITED EQ</t>
  </si>
  <si>
    <t>SAMRIDHI INFRA SQUARE PRIVATE LIMITED EQ</t>
  </si>
  <si>
    <t>RENEW WIND ENERGY (AP3) PRIVATE LIMITED EQ</t>
  </si>
  <si>
    <t>RENEW SOLAR ENERGY PRIVATE LIMITED EQ</t>
  </si>
  <si>
    <t>RISHIRAJ ENTERPRISES PRIVATE LIMITED   EQ</t>
  </si>
  <si>
    <t>NETMAGIC IT SERVICES PRIVATE LIMITED EQ</t>
  </si>
  <si>
    <t>BRIO SYSTEMS PRIVATE LIMITED EQ</t>
  </si>
  <si>
    <t>RENEW SOLAR ENERGY (TN) PRIVATE LIMITED EQ</t>
  </si>
  <si>
    <t>PALLADIUM CONSTRUCTIONS PRIVATE LIMITED EQ</t>
  </si>
  <si>
    <t>ENERGON POWER RESOURCES PRIVATE LIMITED EQ</t>
  </si>
  <si>
    <t>LIC MUTUAL FUND  FMP SERIES 92 DIRECT PLAN DIVI PAY 13DC17</t>
  </si>
  <si>
    <t>L &amp; T MUTUAL FUND FMP IX PLAN G(1112D) DIR DIVI PAY 13DC16</t>
  </si>
  <si>
    <t>L &amp; T MUTUAL FUND FMP IX PLAN G(1112D) DIVI PAY 13DC16</t>
  </si>
  <si>
    <t>BCIL ZED RIA PROPERTIES PRIVATE LIMITED EQ</t>
  </si>
  <si>
    <t>PDS MULTINATIONAL FASHIONS LIMITED EQ</t>
  </si>
  <si>
    <t>YES CAPITAL VENTURE PRIVATE LIMITED EQ</t>
  </si>
  <si>
    <t>TRINITY ACADEMY FOR CORPORATE TRAINING LTD. EQ</t>
  </si>
  <si>
    <t>ACME ODISHA SOLAR POWER PRIVATE LIMITED EQ</t>
  </si>
  <si>
    <t>DWARKA REALTIES PRIVATE LIMITED EQ</t>
  </si>
  <si>
    <t>GLOBAL MEDIA VENTURES INDIA PRIVATE LIMITED EQ</t>
  </si>
  <si>
    <t>KKR INDIA ASSET FINANCE PRIVATE LIMITED EQ</t>
  </si>
  <si>
    <t>ADITYA BIRLA SUN LIFE MUTUAL FUND EQ HYBRID 95 FD DIR DIVI REINV</t>
  </si>
  <si>
    <t>ADITYA BIRLA SUN LIFE MUTUAL FUND EQ HYBRID 95 FD DIR GROWTH</t>
  </si>
  <si>
    <t>ADITYA BIRLA SUN LIFE MUTUAL FUND MEDIUM TERM PLAN DIRECT GROWTH</t>
  </si>
  <si>
    <t>ADITYA BIRLA SUN LIFE MUTUAL FUND LOW DURATION FD DIRECT DAILY DIVI REINV</t>
  </si>
  <si>
    <t>ADITYA BIRLA SUN LIFE MUTUAL FUND LOW DURATION FD DIRECT GROWTH</t>
  </si>
  <si>
    <t>ADITYA BIRLA SUN LIFE MUTUAL FUND LOW DURATION FD DIRECT WKLY DIVI REINV</t>
  </si>
  <si>
    <t>ADITYA BIRLA SUN LIFE MUTUAL FUND EQUITY FUND DIRECT DIVI REINV</t>
  </si>
  <si>
    <t>ADITYA BIRLA SUN LIFE MUTUAL FUND FRONTLINE EQUITY FUND DIRECT DIVI REINV</t>
  </si>
  <si>
    <t>ADITYA BIRLA SUN LIFE MUTUAL FUND GILT PLUS LIQUID DIRECT GROWTH</t>
  </si>
  <si>
    <t>ADITYA BIRLA SUN LIFE MUTUAL FUND GILT PLUS LIQUID DIRECT QTRLY DIVI REINV</t>
  </si>
  <si>
    <t>ADITYA BIRLA SUN LIFE MUTUAL FUND GSEC FD DIR GROWTH</t>
  </si>
  <si>
    <t>ADITYA BIRLA SUN LIFE MUTUAL FUND GSEC FD DIR GROWTH INSANT GAIN</t>
  </si>
  <si>
    <t>ADITYA BIRLA SUN LIFE MUTUAL FUND GSEC FD DIR QTRLY DIVI REINV</t>
  </si>
  <si>
    <t>ADITYA BIRLA SUN LIFE MUTUAL FUND GILT PLUS REGULAR DIRECT GROWTH</t>
  </si>
  <si>
    <t>ADITYA BIRLA SUN LIFE MUTUAL FUND CNSTNT MAT 10YR GLTFD DIRECT QTRLY DIVI REINV</t>
  </si>
  <si>
    <t>ADITYA BIRLA SUN LIFE MUTUAL FUND GOLD FUND DIRECT DIVI PAY</t>
  </si>
  <si>
    <t>ADITYA BIRLA SUN LIFE MUTUAL FUND BANKING &amp; PSU DEBT FD DR HLF YRLY DVP</t>
  </si>
  <si>
    <t>BOI AXA MUTUAL FUND FMP SERIES 11(368D) REG PLAN GROWTH 23FB15</t>
  </si>
  <si>
    <t>BOI AXA MUTUAL FUND FMP SERIES 11 (368D) REG PL DIVI PAY 23FB15</t>
  </si>
  <si>
    <t>BOI AXA MUTUAL FUND FMP SERIES 11 (368D) DIR PLAN GROWTH 23FB15</t>
  </si>
  <si>
    <t>AXIS MUTUAL FUND FTP SR 52 (428D) REGULAR DIVI PAY 16AP15</t>
  </si>
  <si>
    <t>SHYAMKAMAL INVESTMENTS LIMITED EQ</t>
  </si>
  <si>
    <t>SOLAPUR YEDESHI TOLLWAY PRIVATE LIMITED EQ</t>
  </si>
  <si>
    <t>BETUL WIND FARMS LIMITED EQ</t>
  </si>
  <si>
    <t>ICICI PRUDENTIAL MUTUAL FUND FMP SR 71 369D PL E DIVI PAY 01DC14</t>
  </si>
  <si>
    <t>ICICI PRUDENTIAL MUTUAL FUND FMP SR 71 369D PL E DIRECT CUMULATIVE 01DC14</t>
  </si>
  <si>
    <t>ICICI PRUDENTIAL MUTUAL FUND FMP SR 71 369D PL E DIR DIVI PAY 01DC14</t>
  </si>
  <si>
    <t>GIRISHAN TRADERS PRIVATE LIMITED EQ</t>
  </si>
  <si>
    <t>INDRAPRASTHA METROPOLITAN DEVELOPMENT LIMITED EQ</t>
  </si>
  <si>
    <t>INDIAN AGRO AND FOOD INDUSTRIES LIMITED EQ</t>
  </si>
  <si>
    <t>OPUL CONSTRUCTIONS PRIVATE LIMITED EQ</t>
  </si>
  <si>
    <t>INVESCO MUTUAL FUND ASIA CONSUMER DEMAND FUND REGULAR GROWTH OP</t>
  </si>
  <si>
    <t>ADITYA BIRLA SUN LIFE MUTUAL FUND BANKING &amp; FINANCIAL SERVICES FD REG DIVREI OP</t>
  </si>
  <si>
    <t>ADITYA BIRLA SUN LIFE MUTUAL FUND BANKING &amp; FINANCIAL SERVICES FD DIR DIVPAY OP</t>
  </si>
  <si>
    <t>ADITYA BIRLA SUN LIFE MUTUAL FUND BANKING &amp; FINANCIAL SERVICES FD DIR GROWTH OP</t>
  </si>
  <si>
    <t>ADITYA BIRLA SUN LIFE MUTUAL FUND BANKING &amp; FINANCIAL SERVICES FD DIR DIVREI OP</t>
  </si>
  <si>
    <t>ADITYA BIRLA SUN LIFE MUTUAL FUND FTP SR JE (368D) REGULAR QTRLY DIVPAY 08DC14</t>
  </si>
  <si>
    <t>ADITYA BIRLA SUN LIFE MUTUAL FUND FTP SR JE (368D) DIRECT GROWTH 08DC14</t>
  </si>
  <si>
    <t>SANRAJ HOTELS AND RESORTS PRIVATE LIMITED EQ</t>
  </si>
  <si>
    <t>BOOSTMETRIC SOLUTIONS LIMITED EQ</t>
  </si>
  <si>
    <t>HDFC MUTUAL FUND CR RISK DBT FD REG GROWTH OP</t>
  </si>
  <si>
    <t>HDFC MUTUAL FUND CR RISK DBT FD REG QTRLY DIVI PAY</t>
  </si>
  <si>
    <t>HDFC MUTUAL FUND CR RISK DBT FD REG QTRLY DIVI REI OP</t>
  </si>
  <si>
    <t>HDFC MUTUAL FUND CR RISK DBT FD DIR GROWTH OP</t>
  </si>
  <si>
    <t>HDFC MUTUAL FUND CR RISK DBT FD DIR QTRLY DIVI PAY OP</t>
  </si>
  <si>
    <t>HDFC MUTUAL FUND CR RISK DBT FD DIR QTRLYDIVI REI OP</t>
  </si>
  <si>
    <t>ICICI PRUDENTIAL MUTUAL FUND FMP SR73 392D PL F DIR HLFYRLY DIVPA 06AP15</t>
  </si>
  <si>
    <t>ICICI PRUDENTIAL MUTUAL FUND FMP SR73 1140D PL E HLFYRLY DIVPA 02MY17</t>
  </si>
  <si>
    <t>ICICI PRUDENTIAL MUTUAL FUND FMP SR73 392D PL F HLFYRLY DIVPA 06AP15</t>
  </si>
  <si>
    <t>ICICI PRUDENTIAL MUTUAL FUND FMP SR73 1140D PL E DIR HLFYRLY DIVPA 02MY17</t>
  </si>
  <si>
    <t>ADITYA BIRLA SUN LIFE MUTUAL FUND FTP SR IO (368D) REGULAR NORM DIV PAY 20OT14</t>
  </si>
  <si>
    <t>ADITYA BIRLA SUN LIFE MUTUAL FUND FTP SR IO (368D) REGULAR QTRLY DIVPAY 20OT14</t>
  </si>
  <si>
    <t>ADITYA BIRLA SUN LIFE MUTUAL FUND FTP SR IO (368D) DIRECT GROWTH 20OT14</t>
  </si>
  <si>
    <t>ADITYA BIRLA SUN LIFE MUTUAL FUND FTP SR IO (368D) DIRECT NORM DIVI PAY 20OT14</t>
  </si>
  <si>
    <t>ADITYA BIRLA SUN LIFE MUTUAL FUND FTP SR IO (368D) DIRECT QTRLY DIV PAY 20OT14</t>
  </si>
  <si>
    <t>DSP MUTUAL FUND DUAL ADVANTAGE SR 19-36M DIR GROWTH 08NV16</t>
  </si>
  <si>
    <t>DSP MUTUAL FUND DUAL ADVANTAGE SR 19-36M DIR DIVI PAY 08NV16</t>
  </si>
  <si>
    <t>UTI MUTUAL FUND FTI SR XVII-IV (531D) DIR ANL DIVREN 08JU15</t>
  </si>
  <si>
    <t>UTI MUTUAL FUND FTI SR XVII-IV (531D) REG ANL DIVPAY 08JU15</t>
  </si>
  <si>
    <t>UTI MUTUAL FUND FTI SR XVII-IV (531D) DIR MTRYDIVPAY 08JU15</t>
  </si>
  <si>
    <t>UTI MUTUAL FUND FTI SR XVII-IV (531D) REG ANL DIVREN 08JU15</t>
  </si>
  <si>
    <t>ADITYA BIRLA SUN LIFE MUTUAL FUND FTP SR KM(368D) REGULAR NORM DIV PAY 09MR15</t>
  </si>
  <si>
    <t>ADITYA BIRLA SUN LIFE MUTUAL FUND FTP SR KM(368D) REGULAR QTRLY DIVPAY 09MR15</t>
  </si>
  <si>
    <t>ADITYA BIRLA SUN LIFE MUTUAL FUND FTP SR KM(368D) DIRECT NORM DIVI PAY 09MR15</t>
  </si>
  <si>
    <t>ADITYA BIRLA SUN LIFE MUTUAL FUND FTP SR KM(368D) DIRECT QTRLY DIV PAY 09MR15</t>
  </si>
  <si>
    <t>ADITYA BIRLA SUN LIFE MUTUAL FUND INCOME FUND DIRECT QTRLY DIVI REINV</t>
  </si>
  <si>
    <t>ADITYA BIRLA SUN LIFE MUTUAL FUND INDEX FUND DIRECT DIVI PAY</t>
  </si>
  <si>
    <t>ADITYA BIRLA SUN LIFE MUTUAL FUND INDEX FUND DIRECT DIVIDEND REINVESTMENT</t>
  </si>
  <si>
    <t>ADITYA BIRLA SUN LIFE MUTUAL FUND INDEX FUND DIRECT GROWTH</t>
  </si>
  <si>
    <t>ADITYA BIRLA SUN LIFE MUTUAL FUND INDIA GENNEXT FUND DIRECT DIVI REINV</t>
  </si>
  <si>
    <t>ADITYA BIRLA SUN LIFE MUTUAL FUND INDIA OPPORTUNITIES FUND DIRECT DIVI REINV</t>
  </si>
  <si>
    <t>ADITYA BIRLA SUN LIFE MUTUAL FUND INFRASTRUCTURE FUND DIRECT DIVI PAY</t>
  </si>
  <si>
    <t>ADITYA BIRLA SUN LIFE MUTUAL FUND INFRASTRUCTURE FUND DIRECT DIVI REINV</t>
  </si>
  <si>
    <t>ADITYA BIRLA SUN LIFE MUTUAL FUND INFRASTRUCTURE FUND DIRECT GROWTH</t>
  </si>
  <si>
    <t>ADITYA BIRLA SUN LIFE MUTUAL FUND INTERNATIONAL EQUITY PLAN A DIRECT DIVI REINV</t>
  </si>
  <si>
    <t>ADITYA BIRLA SUN LIFE MUTUAL FUND INTERNATIONAL EQUITY PLAN B DIRECT DIVI REINV</t>
  </si>
  <si>
    <t>ADITYA BIRLA SUN LIFE MUTUAL FUND INTERNATIONAL EQUITY PLAN B DIRECT GROWTH</t>
  </si>
  <si>
    <t>IDBI MUTUAL FUND CREDIT RISK FD REG PL QTLY DIVREIN</t>
  </si>
  <si>
    <t>IDBI MUTUAL FUND FMP SR IV 368D (FEB2014) C REG DIVPAY 16FB15</t>
  </si>
  <si>
    <t>IDBI MUTUAL FUND CREDIT RISK FD REG PL QTLY DIVSWEP</t>
  </si>
  <si>
    <t>IDBI MUTUAL FUND CREDIT RISK FD REG PL ANNL DIV PAY</t>
  </si>
  <si>
    <t>IDBI MUTUAL FUND CREDIT RISK FD REG PL ANNL DIVREIN</t>
  </si>
  <si>
    <t>IDBI MUTUAL FUND CREDIT RISK FD REG PL ANNL DIVSWEP</t>
  </si>
  <si>
    <t>IDBI MUTUAL FUND CREDIT RISK FD DIR PL QTLY DIVREIN</t>
  </si>
  <si>
    <t>IDBI MUTUAL FUND CREDIT RISK FD DIR PL QTLY DIVSWEP</t>
  </si>
  <si>
    <t>IDBI MUTUAL FUND CREDIT RISK FD DIR PL ANL DIVPAY</t>
  </si>
  <si>
    <t>IDBI MUTUAL FUND CREDIT RISK FD DIR PL ANL DIVREINV</t>
  </si>
  <si>
    <t>IDBI MUTUAL FUND CREDIT RISK FD DIR PL ANNL DIVSWEP</t>
  </si>
  <si>
    <t>IDBI MUTUAL FUND CREDIT RISK FD DIR PL GROWTH</t>
  </si>
  <si>
    <t>IDBI MUTUAL FUND CREDIT RISK FD REG PL GROWTH</t>
  </si>
  <si>
    <t>NAIKNAVARE HOUSING DEVELOPMENTS PVT LIMITED EQ CLASS A</t>
  </si>
  <si>
    <t>NAIKNAVARE HOUSING DEVELOPMENTS PVT LIMITED EQ CLASS D</t>
  </si>
  <si>
    <t>NAIKNAVARE HOUSING DEVELOPMENTS PVT LIMITED EQ CLASS B</t>
  </si>
  <si>
    <t>WARMOND TRUSTEES &amp; EXECUTORS PRIVATE LTD EQ CLASS B</t>
  </si>
  <si>
    <t>NYSSA CORPORATION LIMITED EQ NEW FV Re. 1/-</t>
  </si>
  <si>
    <t>ICICI PRUDENTIAL MUTUAL FUND FMP SR 70 745D PL A HLFYRLY DIVPAY 24SP15</t>
  </si>
  <si>
    <t>ICICI PRUDENTIAL MUTUAL FUND FMP SR 70 366D PL B DIRECT DIVI PAY 11SP14</t>
  </si>
  <si>
    <t>ICICI PRUDENTIAL MUTUAL FUND FMP SR 70 745D PL A DIR HLFYRLY DIVPAY 24SP15</t>
  </si>
  <si>
    <t>ICICI PRUDENTIAL MUTUAL FUND FMP SR 70 366D PL B DIVI PAY 11SP14</t>
  </si>
  <si>
    <t>UTI MUTUAL FUND FTI SR XVIII-XIV (368D) DIR FLEXIDIVRE 01JU15</t>
  </si>
  <si>
    <t>UTI MUTUAL FUND FTI SR XVIII-XIV (368D) REG QTLYDIVPAY 01JU15</t>
  </si>
  <si>
    <t>UTI MUTUAL FUND FTI SR XVIII-XIV (368D) REG ANL DIVREN 01JU15</t>
  </si>
  <si>
    <t>UTI MUTUAL FUND FTI SR XVIII-XIV (368D) REG QTLYDIVREN 01JU15</t>
  </si>
  <si>
    <t>UTI MUTUAL FUND FTI SR XVIII-XIV (368D) REG ANL DIVPAY 01JU15</t>
  </si>
  <si>
    <t>UTI MUTUAL FUND FTI SR XVIII-XIV (368D) REG MTRYDIVPAY 01JU15</t>
  </si>
  <si>
    <t>UTI MUTUAL FUND FTI SR XVIII-XIV (368D) REG FLEXIDIVPA 01JU15</t>
  </si>
  <si>
    <t>UTI MUTUAL FUND FTI SR XVIII-XIV(368D) REG FLEXI DIVRE 01JU15</t>
  </si>
  <si>
    <t>KOTAK MAHINDRA MUTUAL FUND FMP SR 134 (480 DAYS) DIRECT DIVI PAY 25MY15</t>
  </si>
  <si>
    <t>KOTAK MAHINDRA MUTUAL FUND FMP SR 134 (480D) REGULAR GROWTH 25MY15</t>
  </si>
  <si>
    <t>KOTAK MAHINDRA MUTUAL FUND FMP SR 134 (480D) REGULAR DIVI PAY 25MY15</t>
  </si>
  <si>
    <t>KOTAK MAHINDRA MUTUAL FUND FMP SR 134 (480 DAYS) DIRECT GROWTH 25MY15</t>
  </si>
  <si>
    <t>ESSEL VIDYUT VITARAN (UJJAIN) PRIVATE LIMITED EQ</t>
  </si>
  <si>
    <t>INDIABULLS ESTATE LIMITED EQ</t>
  </si>
  <si>
    <t>GOLDENBEAM POWER PRIVATE LIMITED EQ</t>
  </si>
  <si>
    <t>SURYATAAP ENERGIES AND INFRASTRUCTURE PVT LTD EQ</t>
  </si>
  <si>
    <t>SUNNYDAY GREEN ENERGY PRIVATE LIMITED EQ</t>
  </si>
  <si>
    <t>ADITYA BIRLA SUN LIFE MUTUAL FUND FTP SR IM (367D) DIRECT QTRLY DIV PAY 16OT14</t>
  </si>
  <si>
    <t>ADITYA BIRLA SUN LIFE MUTUAL FUND FTP SR IM (367D) REGULAR GROWTH 16OT14</t>
  </si>
  <si>
    <t>ARMAN HOLDINGS LIMITED EQ</t>
  </si>
  <si>
    <t>EDELCAP SECURITIES LIMITED EQ</t>
  </si>
  <si>
    <t>MARICO CONSUMER CARE LIMITED EQ NEW FV RS. 10/-</t>
  </si>
  <si>
    <t>TRINITY TRADELINK LIMITED EQ NEW FV Re.1/-</t>
  </si>
  <si>
    <t>ICICI PRUDENTIAL MUTUAL FUND FMP SR 70 368D PL M DIRECT CUMULATIVE 07OT14</t>
  </si>
  <si>
    <t>ICICI PRUDENTIAL MUTUAL FUND FMP SR 70 368D PL M DIRECT DIVI PAY 07OT14</t>
  </si>
  <si>
    <t>JYOTHI INFRAVENTURES LIMITED EQ NEW FV RS. 10/-</t>
  </si>
  <si>
    <t>SRIKANTH ENERGY PRIVATE LIMITED EQ</t>
  </si>
  <si>
    <t>MITTAL SECTIONS LIMITED EQ</t>
  </si>
  <si>
    <t>PARMAZ ESTATES PRIVATE LIMITED EQ</t>
  </si>
  <si>
    <t>EDELWEISS MUTUAL FUND EMER MARKETS OPP EQ OFFSHORE FD REG GROWTH OP</t>
  </si>
  <si>
    <t>EDELWEISS MUTUAL FUND EMER MARKETS OPP EQ OFFSHORE FD DIR GROWTH OP</t>
  </si>
  <si>
    <t>UTI MUTUAL FUND FTI SR XIX-VIII (368D) DIR ANL DIVREN 29JU15</t>
  </si>
  <si>
    <t>UTI MUTUAL FUND FTI SR XIX-VII (1095D) DIR MTRYDIVPAY 03JL17</t>
  </si>
  <si>
    <t>UTI MUTUAL FUND FTI SR XIX-VIII (368D) REG ANL DIVREN 29JU15</t>
  </si>
  <si>
    <t>UTI MUTUAL FUND FTI SR XIX-VII (1095D) DIR ANL DIVPAY 03JL17</t>
  </si>
  <si>
    <t>UTI MUTUAL FUND FTI SR XIX-VIII (368D) DIR QTLYDIVREN 29JU15</t>
  </si>
  <si>
    <t>INTEGRATED CAPS PRIVATE LIMITED EQ</t>
  </si>
  <si>
    <t>UTI MUTUAL FUND FTI SR XIX-VII (1095D) DIR FLEXI DIVRE 03JL17</t>
  </si>
  <si>
    <t>UTI MUTUAL FUND FTI SR XIX-VII (1095D) REG ANL DIVPAY 03JL17</t>
  </si>
  <si>
    <t>UTI MUTUAL FUND FTI SR XIX-VIII (368D) REG ANL DIVPAY 29JU15</t>
  </si>
  <si>
    <t>UTI MUTUAL FUND FTI SR XIX-VIII (368D) DIR FLEXI DIVRE 29JU15</t>
  </si>
  <si>
    <t>PATEL PATRON PRIVATE LIMITED EQ</t>
  </si>
  <si>
    <t>IDFC MUTUAL FUND FTP SR 24 DIRECT PLAN PERIODIC DIVIPAY 02AG16</t>
  </si>
  <si>
    <t>IDFC MUTUAL FUND FTP SR 24 REGULAR PLAN PERIODIC DIVPAY 02AG16</t>
  </si>
  <si>
    <t>ADHIRAJ DISTRIBUTORS LIMITED EQ</t>
  </si>
  <si>
    <t>SAI SRUSHTI DEVELOPERS PRIVATE LIMITED EQ</t>
  </si>
  <si>
    <t>SAI SRUSHTI INFRASTRUCTURE PVT LIMITED EQ</t>
  </si>
  <si>
    <t>BASIL COMMUNICATIONS PRIVATE LIMITED EQ</t>
  </si>
  <si>
    <t>ICICI PRUDENTIAL MUTUAL FUND CPOF SR VI 1100D PL F DIR CUMULATIVE 28AG17</t>
  </si>
  <si>
    <t>ICICI PRUDENTIAL MUTUAL FUND CPOF SR VI 1100D PL F DIR DIVPA 28AG17</t>
  </si>
  <si>
    <t>JM FINANCIAL MUTUAL FUND EQ HYBRID FD ANNUAL BONUS OP PRINCIPAL UNITS</t>
  </si>
  <si>
    <t>JM FINANCIAL MUTUAL FUND EQ HYBRID FD (DIR) ANNLBONUS OP PRINCIPLUNITS</t>
  </si>
  <si>
    <t>WELSPUN FINANCIAL SERVICES LIMITED EQ</t>
  </si>
  <si>
    <t>DSP MUTUAL FUND FMP SR115-12M DIRDIVI QTLYPA(MAT29SP16)29SP16</t>
  </si>
  <si>
    <t>DSP MUTUAL FUND FMP SR118-12M DIRDIVI QTLYPA(MAT29SP16)29SP16</t>
  </si>
  <si>
    <t>DSP MUTUAL FUND FMP SR113-12M DIRDIVI REGPAY(MAT29SP16)29SP16</t>
  </si>
  <si>
    <t>DSP MUTUAL FUND FMP SR113-12M DIRDIVI QTLYPA(MAT29SP16)29SP16</t>
  </si>
  <si>
    <t>DSP MUTUAL FUND FMP SR119-12M REGDIVI REG PA(MAT29SP16)29SP16</t>
  </si>
  <si>
    <t>UTI MUTUAL FUND FTI SR XVI-I REG FLEXI DIVPAY 29AG16</t>
  </si>
  <si>
    <t>UTI MUTUAL FUND FTI SR XVI-I REG FLEXI DIVREN 29AG16</t>
  </si>
  <si>
    <t>UTI MUTUAL FUND FTI SR XVI-I DIR FLEXI DIVPAY 29AG16</t>
  </si>
  <si>
    <t>UTI MUTUAL FUND FTI SR XVI-I DIR FLEXI DIVREN 29AG16</t>
  </si>
  <si>
    <t>AXIS MUTUAL FUND HYBRID FD SR15 (1275 DAYS) DIR DIVIPAY 14MR18</t>
  </si>
  <si>
    <t>ALSPUN INFRASTRUCTURE LIMITED EQ</t>
  </si>
  <si>
    <t>JAYATMA ENTERPRISES LIMITED EQ</t>
  </si>
  <si>
    <t>KN REALTY VENTURES PRIVATE LIMITED EQ</t>
  </si>
  <si>
    <t>UTI MUTUAL FUND LIQUID CASH PL INST PL FRTNTLY DIV REI OPTION</t>
  </si>
  <si>
    <t>UTI MUTUAL FUND LIQUID CASH PL INST PL QTLY DIV PAY OPTION</t>
  </si>
  <si>
    <t>UTI MUTUAL FUND LIQUID CASH PL INST PL QTLY DIV REI OPTION</t>
  </si>
  <si>
    <t>UTI MUTUAL FUND LIQUID CASH PL INST PL HLF YRLY DIV PAY OP</t>
  </si>
  <si>
    <t>UTI MUTUAL FUND LIQUID CASH PL INST PL HLF YRLY DIV REI OP</t>
  </si>
  <si>
    <t>UTI MUTUAL FUND LIQUID CASH PL INST PL ANNUAL DIV PAY OPTION</t>
  </si>
  <si>
    <t>UTI MUTUAL FUND LIQUID CASH PL INST PL ANNUAL DIV REI OPTION</t>
  </si>
  <si>
    <t>UTI MUTUAL FUND LIQUID CASH PL INST PL FLEXI DIV REI OPTION</t>
  </si>
  <si>
    <t>UTI MUTUAL FUND LIQUID CASH PL DIR PL FRTNTLY DIV PAY OPTION</t>
  </si>
  <si>
    <t>UTI MUTUAL FUND LIQUID CASH PL DIR PL FRTNTLY DIV REI OPTION</t>
  </si>
  <si>
    <t>UTI MUTUAL FUND LIQUID CASH PL DIR PL QTLY DIV REI OPTION</t>
  </si>
  <si>
    <t>UTI MUTUAL FUND LIQUID CASH PL DIR PL HLF YRLY DIV PAY OPTION</t>
  </si>
  <si>
    <t>UTI MUTUAL FUND LIQUID CASH PL DIR PL HLF YRLY DIV REI OPTION</t>
  </si>
  <si>
    <t>UTI MUTUAL FUND LIQUID CASH PL DIR PL ANNUAL DIV PAY OPTION</t>
  </si>
  <si>
    <t>UTI MUTUAL FUND LIQUID CASH PL DIR PL FLEXI DIV PAY OPTION</t>
  </si>
  <si>
    <t>UTI MUTUAL FUND LIQUID CASH PL DIR PL FLEXI DIV REI OPTION</t>
  </si>
  <si>
    <t>UTI MUTUAL FUND MONEY MARKET FD INST PL FRTNTLY DIV PAY OP</t>
  </si>
  <si>
    <t>UTI MUTUAL FUND MONEY MARKET FD INST PL FRTNTLY DIV REI OP</t>
  </si>
  <si>
    <t>UTI MUTUAL FUND MONEY MARKET FD INST PL MONTHLY DIV PAY OP</t>
  </si>
  <si>
    <t>UTI MUTUAL FUND MONEY MARKET FD INST PL MONTHLY DIV REI OP</t>
  </si>
  <si>
    <t>UTI MUTUAL FUND MONEY MARKET FD INST PL QTLY DIV PAY OPTION</t>
  </si>
  <si>
    <t>UTI MUTUAL FUND MONEY MARKET FD INST PL QTLY DIV REI OPTION</t>
  </si>
  <si>
    <t>UTI MUTUAL FUND MONEY MARKET FD INST PL HLF YRLY DIV REI OP</t>
  </si>
  <si>
    <t>UTI MUTUAL FUND MONEY MARKET FD INST PL ANNUAL DIV PAY OPTION</t>
  </si>
  <si>
    <t>UTI MUTUAL FUND MONEY MARKET FD INST PL ANNUAL DIV REI OPTION</t>
  </si>
  <si>
    <t>UTI MUTUAL FUND MONEY MARKET FD INST PL FLEXI DIV PAY OPTION</t>
  </si>
  <si>
    <t>UTI MUTUAL FUND MONEY MARKET FD INST PL FLEXI DIV REI OPTION</t>
  </si>
  <si>
    <t>UTI MUTUAL FUND MONEY MARKET FD DIR PL FRTNTLY DIV PAY OPTION</t>
  </si>
  <si>
    <t>UTI MUTUAL FUND MONEY MARKET FD DIR PL FRTNTLY DIV REI OPTION</t>
  </si>
  <si>
    <t>UTI MUTUAL FUND MONEY MARKET FD DIR PL MONTHLY DIV PAY OPTION</t>
  </si>
  <si>
    <t>UTI MUTUAL FUND MONEY MARKET FD DIR PL QTLY DIV PAY OPTION</t>
  </si>
  <si>
    <t>UTI MUTUAL FUND MONEY MARKET FD DIR PL QTLY DIV REI OPTION</t>
  </si>
  <si>
    <t>UTI MUTUAL FUND MONEY MARKET FD DIR PL HLF YRLY DIV PAY OP</t>
  </si>
  <si>
    <t>UTI MUTUAL FUND MONEY MARKET FD DIR PL HLF YRLY DIV REI OP</t>
  </si>
  <si>
    <t>UTI MUTUAL FUND MONEY MARKET FD DIR PL ANNUAL DIV PAY OPTION</t>
  </si>
  <si>
    <t>UTI MUTUAL FUND MONEY MARKET FD DIR PL ANNUAL DIV REI OPTION</t>
  </si>
  <si>
    <t>UTI MUTUAL FUND MONEY MARKET FD DIR PL FLEXI DIV PAY OPTION</t>
  </si>
  <si>
    <t>UTI MUTUAL FUND MONEY MARKET FD DIR PL FLEXI DIV REI OPTION</t>
  </si>
  <si>
    <t>UTI MUTUAL FUND TREASURY ADV FD INST PL FRTNTLY DIV REI OP</t>
  </si>
  <si>
    <t>UTI MUTUAL FUND TREASURY ADV FD INST PL HLF YRLY DIV PAY OP</t>
  </si>
  <si>
    <t>UTI MUTUAL FUND TREASURY ADV FD INST PL FLEXI DIV PAY OP</t>
  </si>
  <si>
    <t>UTI MUTUAL FUND TREASURY ADV FD INST PL FLEXI DIV REI OP</t>
  </si>
  <si>
    <t>UTI MUTUAL FUND TREASURY ADV FD DIR PL FRTNTLY DIV PAY OP</t>
  </si>
  <si>
    <t>UTI MUTUAL FUND TREASURY ADV FD DIR PL FRTNTLY DIV REI OP</t>
  </si>
  <si>
    <t>UTI MUTUAL FUND TREASURY ADV FD DIR PL HLF YRLY DIV PAY OP</t>
  </si>
  <si>
    <t>UTI MUTUAL FUND TREASURY ADV FD DIR PL HLF YRLY DIV REI OP</t>
  </si>
  <si>
    <t>UTI MUTUAL FUND TREASURY ADVANTAGE FD DIR PL FLEXI DIV REI OP</t>
  </si>
  <si>
    <t>UTI MUTUAL FUND ULTR SHRT TRM FD REG FORTGLY DIVI PAY</t>
  </si>
  <si>
    <t>UTI MUTUAL FUND ULTR SHRT TRM FD REG FORTGLY DIVI REINV</t>
  </si>
  <si>
    <t>UTI MUTUAL FUND ULTR SHRT TRM FD REG MNTLY DIVI PAY</t>
  </si>
  <si>
    <t>UTI MUTUAL FUND ULTR SHRT TRM FD REG QTRLY DIVI PAY</t>
  </si>
  <si>
    <t>UTI MUTUAL FUND ULTR SHRT TRM FD REG QTRLY DIVI REINV</t>
  </si>
  <si>
    <t>UTI MUTUAL FUND ULTR SHRT TRM FD REG HLF YRLY DIVI PAY</t>
  </si>
  <si>
    <t>UTI MUTUAL FUND ULTR SHRT TRM FD REG HLF YRLY DIVI REINV</t>
  </si>
  <si>
    <t>UTI MUTUAL FUND ULTR SHRT TRM FD REG ANNL DIVI REINV</t>
  </si>
  <si>
    <t>UTI MUTUAL FUND ULTR SHRT TRM FD DIR FORTGLY DIVI PAY</t>
  </si>
  <si>
    <t>UTI MUTUAL FUND ULTR SHRT TRM FD DIR FORTGLY DIVI REINV</t>
  </si>
  <si>
    <t>UTI MUTUAL FUND ULTR SHRT TRM FD DIR MNTLY DIVI PAY</t>
  </si>
  <si>
    <t>UTI MUTUAL FUND ULTR SHRT TRM FD DIR MNTLY DIVI REINV</t>
  </si>
  <si>
    <t>UTI MUTUAL FUND ULTR SHRT TRM FD DIR QTRLY DIVI PAY</t>
  </si>
  <si>
    <t>UTI MUTUAL FUND ULTR SHRT TRM FD DIR QTRLY DIVI REINV</t>
  </si>
  <si>
    <t>UTI MUTUAL FUND ULTR SHRT TRM FD DIR HLF YRLY DIVI PAY</t>
  </si>
  <si>
    <t>UTI MUTUAL FUND ULTR SHRT TRM FD DIR ANNL DIVI REINV</t>
  </si>
  <si>
    <t>UTI MUTUAL FUND ULTR SHRT TRM FD REG WKLY DIVI REINV</t>
  </si>
  <si>
    <t>UTI MUTUAL FUND SHORT TERM INCOME FD INST PL HLF YRLY DIV PAY</t>
  </si>
  <si>
    <t>UTI MUTUAL FUND SHORT TERM INCOME FD INST PL HLF YRLY DIV REI</t>
  </si>
  <si>
    <t>UTI MUTUAL FUND SHORT TERM INCOME FD INST PL ANNUAL DIV PAY</t>
  </si>
  <si>
    <t>UTI MUTUAL FUND SHORT TERM INCOME FD INST PL ANNUAL DIV REI</t>
  </si>
  <si>
    <t>UTI MUTUAL FUND SHORT TERM INCOME FD DIR PL HLF YRLY DIV PAY</t>
  </si>
  <si>
    <t>UTI MUTUAL FUND SHORT TERM INCOME FD DIR PL HLF YRLY DIV REI</t>
  </si>
  <si>
    <t>JSW INFRASTRUCTURE FINTRADE PRIVATE LIMITED EQ</t>
  </si>
  <si>
    <t>OML ENTERTAINMENT PRIVATE LIMITED EQ</t>
  </si>
  <si>
    <t>TUTICORIN COAL TERMINAL PRIVATE LIMITED EQ</t>
  </si>
  <si>
    <t>WEST QUAY MULTIPORT PRIVATE LIMITED EQ</t>
  </si>
  <si>
    <t>PRIVE REALTY PRIVATE LIMITED EQ</t>
  </si>
  <si>
    <t>UPPALS IT PROJECTS PRIVATE LIMITED EQ</t>
  </si>
  <si>
    <t>S H KELKAR AND COMPANY LIMITED EQ NEW FV RS. 10/-</t>
  </si>
  <si>
    <t>UTI MUTUAL FUND FTI SR XVI-IX(745D) REG QTLYDIVPAY 10NV16</t>
  </si>
  <si>
    <t>UTI MUTUAL FUND FTI SR XVI-IX(745D) DIR ANL DIVPAY 10NV16</t>
  </si>
  <si>
    <t>UTI MUTUAL FUND FTI SR XX-VII (1103D) DIR QTLYDIVREN 20NV17</t>
  </si>
  <si>
    <t>UTI MUTUAL FUND FTI SR XX-VII (1103D) REG ANL DIVREN 20NV17</t>
  </si>
  <si>
    <t>UTI MUTUAL FUND FTI SR XVI-IX(745D) REG QTLYDIVREN 10NV16</t>
  </si>
  <si>
    <t>UTI MUTUAL FUND FTI SR XVI-IX(745D) DIR ANL DIVREN 10NV16</t>
  </si>
  <si>
    <t>UTI MUTUAL FUND FTI SR XX-VII (1103D) DIR ANL DIVPAY 20NV17</t>
  </si>
  <si>
    <t>UTI MUTUAL FUND FTI SR XX-VII (1103D) REG MTRYDIVPAY 20NV17</t>
  </si>
  <si>
    <t>UTI MUTUAL FUND FTI SR XVI-IX(745D) REG ANL DIVPAY 10NV16</t>
  </si>
  <si>
    <t>UTI MUTUAL FUND FTI SR XVI-IX(745D) DIR MTRYDIVPAY 10NV16</t>
  </si>
  <si>
    <t>UTI MUTUAL FUND FTI SR XX-VII (1103D) DIR ANL DIVREN 20NV17</t>
  </si>
  <si>
    <t>UTI MUTUAL FUND FTI SR XVI-IX(745D) REG ANL DIVREN 10NV16</t>
  </si>
  <si>
    <t>UTI MUTUAL FUND FTI SR XVI-IX(745D) DIR FLEXI DIVPAY 10NV16</t>
  </si>
  <si>
    <t>UTI MUTUAL FUND FTI SR XX-VII (1103D) DIR MTRYDIVPAY 20NV17</t>
  </si>
  <si>
    <t>UTI MUTUAL FUND FTI SR XX-VII (1103D) REG FLEXI DIVPA 20NV17</t>
  </si>
  <si>
    <t>UTI MUTUAL FUND FTI SR XVI-IX(745D) REG MTRYDIVPAY 10NV16</t>
  </si>
  <si>
    <t>UTI MUTUAL FUND FTI SR XVI-IX(745D) DIR FLEXI DIVREN 10NV16</t>
  </si>
  <si>
    <t>UTI MUTUAL FUND FTI SR XVI-IX(745D) REG FLEXI DIVPAY 10NV16</t>
  </si>
  <si>
    <t>UTI MUTUAL FUND FTI SR XVI-IX(745D) DIRECT GROWTH 10NV16</t>
  </si>
  <si>
    <t>UTI MUTUAL FUND FTI SR XX-VII (1103D) DIR FLEXI DIVPA 20NV17</t>
  </si>
  <si>
    <t>UTI MUTUAL FUND FTI SR XVI-IX(745D) REG FLEXI DIVREN 10NV16</t>
  </si>
  <si>
    <t>UTI MUTUAL FUND FTI SR XX-VII (1103D) DIR FLEXI DIVRE 20NV17</t>
  </si>
  <si>
    <t>GCM SECURITIES LIMITED EQ NEW FV RE. 1/-</t>
  </si>
  <si>
    <t>HDFC MUTUAL FUND CORP BD FD DIR PL NOR DIV REI OP</t>
  </si>
  <si>
    <t>BOI AXA MUTUAL FUND CAP PROTN ORIENTD FD SR 2 DIR DIVI PAY 04JN18</t>
  </si>
  <si>
    <t>UTI MUTUAL FUND FTIF SR XVI X (743D) DIR QTRLY DIV PAY 29NV16</t>
  </si>
  <si>
    <t>UTI MUTUAL FUND FTIF SR XVI X (743D) REG MAT DIVI PAY 29NV16</t>
  </si>
  <si>
    <t>UTI MUTUAL FUND FTIF SR XVI X (743D) DIR QTRLY DIV REI 29NV16</t>
  </si>
  <si>
    <t>UTI MUTUAL FUND FTIF SR XVI X (743D) DIR FLEXI DIV REI 29NV16</t>
  </si>
  <si>
    <t>UTI MUTUAL FUND FTIF SR XVI X (743D) REG QTRLY DIV PAY 29NV16</t>
  </si>
  <si>
    <t>UTI MUTUAL FUND FTIF SR XVI X (743D) REG FLEXI DIV PAY 29NV16</t>
  </si>
  <si>
    <t>UTI MUTUAL FUND FTIF SR XVI X (743D) DIR ANNL DIVI PAY 29NV16</t>
  </si>
  <si>
    <t>UTI MUTUAL FUND FTIF SR XVI X (743D) REG QTRLY DIV REI 29NV16</t>
  </si>
  <si>
    <t>UTI MUTUAL FUND FTIF SR XVI X (743D) REG FLEXI DIV REI 29NV16</t>
  </si>
  <si>
    <t>UTI MUTUAL FUND FTIF SR XVI X (743D) DIR ANNL DIV REIN 29NV16</t>
  </si>
  <si>
    <t>UTI MUTUAL FUND FTIF SR XVI X (743D) REG ANNL DIVI PAY 29NV16</t>
  </si>
  <si>
    <t>UTI MUTUAL FUND FTIF SR XVI X (743D) DIR MAT DIVI PAY 29NV16</t>
  </si>
  <si>
    <t>UTI MUTUAL FUND FTIF SR XVI X (743D) REG ANNL DIVI REI 29NV16</t>
  </si>
  <si>
    <t>UTI MUTUAL FUND FTIF SR XVI X (743D) DIR FLEXI DIV PAY 29NV16</t>
  </si>
  <si>
    <t>DEUTSCHE MUTUAL FUND HYBRID FTF SR 32 REG ANNL DIVI PAY 04DC17</t>
  </si>
  <si>
    <t>DEUTSCHE MUTUAL FUND HYBRID FTF SR 32 REG QTRLY DIVI PAY 04DC17</t>
  </si>
  <si>
    <t>SOUTH INDIA BOTTLING COMPANY PRIVATE LIMITED EQ</t>
  </si>
  <si>
    <t>UM POWER LIMITED EQ</t>
  </si>
  <si>
    <t>YOU BROADBAND INDIA PRIVATE LIMITED EQ NEW FV RS. 10/-</t>
  </si>
  <si>
    <t>UNITECH MACHINES LIMITED EQ</t>
  </si>
  <si>
    <t>ICICI PRUDENTIAL MUTUAL FUND FMP SR75 1246D PL U HLFYRLY DIVPA 26AP18</t>
  </si>
  <si>
    <t>ICICI PRUDENTIAL MUTUAL FUND FMP SR75 1246D PL U DIRECT CUMULATIVE 26AP18</t>
  </si>
  <si>
    <t>ICICI PRUDENTIAL MUTUAL FUND FMP SR75 1246D PL U DIR HLFYRLY DIVPA 26AP18</t>
  </si>
  <si>
    <t>SUNDARAM MUTUAL FUND WORLD BRAND FD SR II REGULAR GROWTH 14NV19</t>
  </si>
  <si>
    <t>SUNDARAM MUTUAL FUND WORLD BRAND FD SR II REGULAR DIV PAY 14NV19</t>
  </si>
  <si>
    <t>SUNDARAM MUTUAL FUND WORLD BRAND FD SR II DIRECT GROWTH 14NV19</t>
  </si>
  <si>
    <t>SUNDARAM MUTUAL FUND WORLD BRAND FD SR II DIRECT DIVI PAY 14NV19</t>
  </si>
  <si>
    <t>HEC INFRA PROJECTS LIMITED EQ</t>
  </si>
  <si>
    <t>ASIRVAD MICRO FINANCE LIMITED EQ</t>
  </si>
  <si>
    <t>SIDBI TRUSTEE COMPANY LIMITED EQ</t>
  </si>
  <si>
    <t>BANG EQUITY BROKING PRIVATE LIMITED EQ</t>
  </si>
  <si>
    <t>NIRMAL BANG COMMODITIES PRIVATE LIMITED EQ</t>
  </si>
  <si>
    <t>PIRAMAL REALTY PRIVATE LIMITED EQ</t>
  </si>
  <si>
    <t>BANG SECURITIES PRIVATE LIMITED EQ</t>
  </si>
  <si>
    <t>MINDSET SECURITIES PRIVATE LIMITED  EQ</t>
  </si>
  <si>
    <t>SHRESTH SECURITIES PRIVATE LIMITED EQ</t>
  </si>
  <si>
    <t>ROCKHARD TECH SOLUTIONS PRIVATE LIMITED EQ</t>
  </si>
  <si>
    <t>ARENA SUPERSTRUCTURES PRIVATE LIMITED EQ</t>
  </si>
  <si>
    <t>JM FINANCIAL MUTUAL FUND EQ HYBRID FD MNTHLY DIV PAY</t>
  </si>
  <si>
    <t>JM FINANCIAL MUTUAL FUND EQ HYBRID FD MNTHLY DIV REI</t>
  </si>
  <si>
    <t>JM FINANCIAL MUTUAL FUND EQ HYBRID FD (DIR) MNTHLY DIVREI</t>
  </si>
  <si>
    <t>JM FINANCIAL MUTUAL FUND EQ HYBRID FD QTLY DIV PAY</t>
  </si>
  <si>
    <t>JM FINANCIAL MUTUAL FUND EQ HYBRID FD QTLY DIV REI</t>
  </si>
  <si>
    <t>JM FINANCIAL MUTUAL FUND EQ HYBRID FD (DIR) QTLY DIV PAY</t>
  </si>
  <si>
    <t>JM FINANCIAL MUTUAL FUND EQ HYBRID FD (DIR) QTLY DIV REI</t>
  </si>
  <si>
    <t>JM FINANCIAL MUTUAL FUND EQ HYBRID FD HLFYRLY BONUS OP PRINCIPAL UNITS</t>
  </si>
  <si>
    <t>JM FINANCIAL MUTUAL FUND EQ HYBRID FD (DIR) HLFYRLY BONUS OP PRNPL UNT</t>
  </si>
  <si>
    <t>INVESCO MUTUAL FUND FMP SR 22 K REGULAR DIVI PAY 23FB15</t>
  </si>
  <si>
    <t>INVESCO MUTUAL FUND FMP SR 22 K REGULAR GROWTH 23FB15</t>
  </si>
  <si>
    <t>INVESCO MUTUAL FUND FMP SR 22 K DIRECT DIVI PAY 23FB15</t>
  </si>
  <si>
    <t>INVESCO MUTUAL FUND FMP SR 22 K DIRECT GROWTH 23FB15</t>
  </si>
  <si>
    <t>ADITYA BIRLA SUN LIFE MUTUAL FUND FTP SR KK(367D) REGULAR NORM DIV PAY 05MR15</t>
  </si>
  <si>
    <t>ADITYA BIRLA SUN LIFE MUTUAL FUND FTP SR KK(367D) REGULAR QTRLY DIVPAY 05MR15</t>
  </si>
  <si>
    <t>ADITYA BIRLA SUN LIFE MUTUAL FUND FTP SR KK(367D) DIRECT GROWTH 05MR15</t>
  </si>
  <si>
    <t>ADITYA BIRLA SUN LIFE MUTUAL FUND FTP SR KK(367D) DIRECT NORM DIVI PAY 05MR15</t>
  </si>
  <si>
    <t>ADITYA BIRLA SUN LIFE MUTUAL FUND FTP SR KK(367D) DIRECT QTRLY DIV PAY 05MR15</t>
  </si>
  <si>
    <t>ADITYA BIRLA SUN LIFE MUTUAL FUND FTP SR KL(30D) REGULAR GROWTH 03AP14</t>
  </si>
  <si>
    <t>ADITYA BIRLA SUN LIFE MUTUAL FUND FTP SR KL(30D) DIRECT GROWTH 03AP14</t>
  </si>
  <si>
    <t>ADITYA BIRLA SUN LIFE MUTUAL FUND FTP SR KL(30D) DIRECT DIVI PAY 03AP14</t>
  </si>
  <si>
    <t>RELIANCE MUTUAL FUND DUAL ADV FXD TENR FD V PL E DIR DIVPAY 10AP17</t>
  </si>
  <si>
    <t>BNP PARIBAS MUTUAL FUND FTF SR29 B DIRECT CALENDAR QTRLYDIVPAY 23MR15</t>
  </si>
  <si>
    <t>BNP PARIBAS MUTUAL FUND FTF SR 29 B DIRECT PLAN YEARLY DIVIPAY 23MR15</t>
  </si>
  <si>
    <t>DSP MUTUAL FUND FMP SERIES 154-12.5M DIR DIVI QTRLYPAY 06AP15</t>
  </si>
  <si>
    <t>IDBI MUTUAL FUND DIVERSIFIED EQUITY FUND DIR DIVI PAY OP</t>
  </si>
  <si>
    <t>IDBI MUTUAL FUND DIVERSIFIED EQUITY FUND DIR DIVI REI OP</t>
  </si>
  <si>
    <t>EDELWEISS MUTUAL FUND INDIA FMP SR 35 REGULAR PLAN DIVI PAY 02AP19</t>
  </si>
  <si>
    <t>EDELWEISS MUTUAL FUND INDIA FMP SR 34 REGULAR PLAN DIVI PAY 07AP15</t>
  </si>
  <si>
    <t>EDELWEISS MUTUAL FUND INDIA FMP SR 35 DIRECT PLAN GROWTH 02AP19</t>
  </si>
  <si>
    <t>EDELWEISS MUTUAL FUND INDIA FMP SR 35 DIRECT PLAN DIVI PAY 02AP19</t>
  </si>
  <si>
    <t>EDELWEISS MUTUAL FUND INDIA FMP SR 34 DIRECT PLAN DIVI PAY 07AP15</t>
  </si>
  <si>
    <t>EDELWEISS MUTUAL FUND INDIA FMP SR 34 REGULAR PLAN GROWTH 07AP15</t>
  </si>
  <si>
    <t>BOI AXA MUTUAL FUND FMP SERIES 12 (386D) REG GROWTH 02AP15</t>
  </si>
  <si>
    <t>BOI AXA MUTUAL FUND FMP SERIES 12 (386D) DIR DIVI PAY 02AP15</t>
  </si>
  <si>
    <t>SUNDARAM MUTUAL FUND FTP ET REGULAR PLAN HLF YRLY DIVI PAY 24JU15</t>
  </si>
  <si>
    <t>OCEANAA BIOTEK INDUSTRIES LIMITED EQ</t>
  </si>
  <si>
    <t>CANARY HOTELS PRIVATE LIMITED EQ</t>
  </si>
  <si>
    <t>SUKHSAGAR COMPLEXES PRIVATE LIMITED EQ</t>
  </si>
  <si>
    <t>SHAALI ESTATES PRIVATE LIMITED EQ</t>
  </si>
  <si>
    <t>NSL WIND POWER COMPANY (KAYATHAR) PRIVATE LTD EQ</t>
  </si>
  <si>
    <t>DIRECTI WEB TECHNOLOGY PRIVATE LIMITED EQ</t>
  </si>
  <si>
    <t>L &amp; T ARUNACHAL HYDROPOWER LIMITED EQ</t>
  </si>
  <si>
    <t>L&amp;T HIMACHAL HYDROPOWER LIMITED EQ</t>
  </si>
  <si>
    <t>ICICI PRUDENTIAL MUTUAL FUND INTVL FD VII ANNL INTL PL A DIR CUMULATIVE OP</t>
  </si>
  <si>
    <t>ICICI PRUDENTIAL MUTUAL FUND INTVL FD VII ANNL INTVL PL A DIR DIVI PAY OP</t>
  </si>
  <si>
    <t>ICICI PRUDENTIAL MUTUAL FUND INTVL FD VII ANNL INTL PL A REG CUMULATIVE OP</t>
  </si>
  <si>
    <t>ICICI PRUDENTIAL MUTUAL FUND INTVL FD VII ANNL INTVL PL A REG DIVI PAY OP</t>
  </si>
  <si>
    <t>ICICI PRUDENTIAL MUTUAL FUND FMP SR 72 525D PL B DIRECT CUMULATIVE 18JU15</t>
  </si>
  <si>
    <t>ICICI PRUDENTIAL MUTUAL FUND FMP SR 72 525D PL B DIR HLFYRLY DIVPAY 18JU15</t>
  </si>
  <si>
    <t>SUNDARAM MUTUAL FUND MONEY FUND REG DAILY DIVIDEND REINVEST</t>
  </si>
  <si>
    <t>SUNDARAM MUTUAL FUND MIP AGGRESSIVE MONTHLY DIVI PAYOUT OPEN ENDED</t>
  </si>
  <si>
    <t>UTI MUTUAL FUND REG SAV FD REG GRW PL GRW</t>
  </si>
  <si>
    <t>UTI MUTUAL FUND MASTERSHARE UNIT SCH DIVI REINVEST OPEN END</t>
  </si>
  <si>
    <t>SUNDARAM MUTUAL FUND EQUITY MULTIPLIER GROWTH OPEN ENDED</t>
  </si>
  <si>
    <t>SUNDARAM MUTUAL FUND ULTRA SHORT TERM RETAIL MTHLY DIVI REINVEST</t>
  </si>
  <si>
    <t>SUNDARAM MUTUAL FUND FLXBLE FD FLXBLE INCOME INST QTRLY DIVI PAY</t>
  </si>
  <si>
    <t>MIRAE ASSET MUTUAL FUND LIQUID FD-REGULAR-WEEKLY DIVIEND REINVST OPEN</t>
  </si>
  <si>
    <t>MIRAE ASSET MUTUAL FUND SHORT TERM BOND-INSTITU-MTHLY DIV REINVST OPE</t>
  </si>
  <si>
    <t>MIRAE ASSET MUTUAL FUND GILT FUND-INVEST-INSTIT-DIV PAY OPEN ENDED</t>
  </si>
  <si>
    <t>HDFC MUTUAL FUND FMP 371D FEB 2014(1)SR 29 DIR NORDIVPY 17FB15</t>
  </si>
  <si>
    <t>HDFC MUTUAL FUND FMP 371D FEB2014(1)SR 29 DIR QTLYDIVPY 17FB15</t>
  </si>
  <si>
    <t>HDFC MUTUAL FUND FMP 371D FEB 2014(1)SR 29 DIR FLEXI 17FB15</t>
  </si>
  <si>
    <t>HDFC MUTUAL FUND FMP 371D FEB 2014(1)SR 29 REG NORDIVPY 17FB15</t>
  </si>
  <si>
    <t>HDFC MUTUAL FUND FMP 371D FEB2014(1)SR 29 REG QTLYDIVPY 17FB15</t>
  </si>
  <si>
    <t>HDFC MUTUAL FUND FMP 371D FEB 2014(1) SR 29 REG FLEXI 17FB15</t>
  </si>
  <si>
    <t>UTI MUTUAL FUND FTI SR XVII-XII (1148D) DIR QTLYDIVPAY 13AP17</t>
  </si>
  <si>
    <t>UTI MUTUAL FUND FTI SR XVII-XII (1148D) DIR QTLYDIVREN 13AP17</t>
  </si>
  <si>
    <t>ADITYA BIRLA SUN LIFE MUTUAL FUND FTP SR JE (368D) DIRECT NORM DIVI PAY 08DC14</t>
  </si>
  <si>
    <t>ADITYA BIRLA SUN LIFE MUTUAL FUND FTP SR JE (368D) DIRECT QTRLY DIV PAY 08DC14</t>
  </si>
  <si>
    <t>UTI MUTUAL FUND FTI SR XVII-II (369D) REG FLEXI DIVPAY 08DC14</t>
  </si>
  <si>
    <t>UTI MUTUAL FUND FTI SR XVII-II (369D) REG FLEXI DIVREN 08DC14</t>
  </si>
  <si>
    <t>UTI MUTUAL FUND FTI SR XVII-II (369D) DIR QTLYDIVPAY 08DC14</t>
  </si>
  <si>
    <t>UTI MUTUAL FUND FTI SR XVII-II (369D) DIR QTLYDIVREN 08DC14</t>
  </si>
  <si>
    <t>UTI MUTUAL FUND FTI SR XVII-II (369D) REG QTLYDIVPAY 08DC14</t>
  </si>
  <si>
    <t>UTI MUTUAL FUND FTI SR XVII-II (369D) DIR ANL DIVPAY 08DC14</t>
  </si>
  <si>
    <t>UTI MUTUAL FUND FTI SR XVII-II (369D) REG QTLYDIVREN 08DC14</t>
  </si>
  <si>
    <t>UTI MUTUAL FUND FTI SR XVII-II (369D) DIR ANL DIVREN 08DC14</t>
  </si>
  <si>
    <t>UTI MUTUAL FUND FTI SR XVII-II (369D) REG ANL DIVPAY 08DC14</t>
  </si>
  <si>
    <t>ICICI PRUDENTIAL MUTUAL FUND FMP SR74 370D PL A DIR HLFYRLY DIVPA 20AP15</t>
  </si>
  <si>
    <t>EDELWEISS MUTUAL FUND ST TRM INCOME FUND FORTN DIVI REINV OPEN ED</t>
  </si>
  <si>
    <t>BOI AXA MUTUAL FUND FMP SERIES 12 (386D) REG DIVI PAY 02AP15</t>
  </si>
  <si>
    <t>UTI MUTUAL FUND FTI SR XVIII-I (400D) DIR ANL DIVREN 23AP15</t>
  </si>
  <si>
    <t>DHFL PRAMERICA MUTUAL FUND STRGY DBT FD REG QTRLY DIVI PAY</t>
  </si>
  <si>
    <t>DHFL PRAMERICA MUTUAL FUND STRGY DBT FD REG REG DIVI REINV</t>
  </si>
  <si>
    <t>DEUTSCHE MUTUAL FUND STRGY DBT FD REG BONUS</t>
  </si>
  <si>
    <t>DHFL PRAMERICA MUTUAL FUND DWS INFLATN INDEXD BD FD DIR REG DIVI PAY OP</t>
  </si>
  <si>
    <t>DHFL PRAMERICA MUTUAL FUND STRGY DBT FD DIR QTRLY DIVI PAY</t>
  </si>
  <si>
    <t>DHFL PRAMERICA MUTUAL FUND STRGY DBT FD DIR MNTLY DIVI PAY</t>
  </si>
  <si>
    <t>DHFL PRAMERICA MUTUAL FUND STRGY DBT FD DIR REG DIVI REINV</t>
  </si>
  <si>
    <t>DEUTSCHE MUTUAL FUND STRGY DBT FD DIR BONUS</t>
  </si>
  <si>
    <t>DSP MUTUAL FUND FMP SR 145-12M DIRECT DIVI REG PAY 16FB15</t>
  </si>
  <si>
    <t>UTI MUTUAL FUND FTI SR XVII-X (367D) REG MTRYDIVPAY 09FB15</t>
  </si>
  <si>
    <t>UTI MUTUAL FUND FTI SR XVII-X (367D) REGULAR GROWTH 09FB15</t>
  </si>
  <si>
    <t>UTI MUTUAL FUND FTI SR XVII-X (367D) REG FLEXI DIVPA 09FB15</t>
  </si>
  <si>
    <t>ADITYA BIRLA SUN LIFE MUTUAL FUND FTP SR KZ(368D) DIRECT NORM DIVI PAY 06AP15</t>
  </si>
  <si>
    <t>ADITYA BIRLA SUN LIFE MUTUAL FUND FTP SR KZ(368D) DIRECT QTRLY DIV PAY 06AP15</t>
  </si>
  <si>
    <t>ADITYA BIRLA SUN LIFE MUTUAL FUND FTP SR KR(385D) DIRECT NORM DIVI PAY 06AP15</t>
  </si>
  <si>
    <t>IDBI MUTUAL FUND DIVERSIFIED EQUITY FUND DIR DIVI SWEEP OP</t>
  </si>
  <si>
    <t>IDBI MUTUAL FUND DIVERSIFIED EQUITY FUND DIR GROWTH OP</t>
  </si>
  <si>
    <t>IDBI MUTUAL FUND DIVERSIFIED EQUITY FUND REG DIVI PAY OP</t>
  </si>
  <si>
    <t>IDBI MUTUAL FUND DIVERSIFIED EQUITY FUND REG DIVI REI OP</t>
  </si>
  <si>
    <t>IDBI MUTUAL FUND DIVERSIFIED EQUITY FUND REG DIVI SWEEP OP</t>
  </si>
  <si>
    <t>RELIANCE MUTUAL FUND FIXED HORIZON FD XXV SR 11 DIR DIVPAY 07MY15</t>
  </si>
  <si>
    <t>RELIANCE MUTUAL FUND FIXED HORIZON FD XXV SR 11 DIVI PAY 07MY15</t>
  </si>
  <si>
    <t>TATA MUTUAL FUND FMP SR 46 SCHEME F DIRECT PL GROWTH 22DC14</t>
  </si>
  <si>
    <t>TATA MUTUAL FUND FMP SERIES 46 SCHEME F PLAN A DIVI PAY 22DC14</t>
  </si>
  <si>
    <t>TATA MUTUAL FUND FMP SERIES 46 SCHEME F PLAN A GROWTH 22DC14</t>
  </si>
  <si>
    <t>TATA MUTUAL FUND FMP SR 46 SCHEME F DIRECT PL DIVI PAY 22DC14</t>
  </si>
  <si>
    <t>SUNDARAM MUTUAL FUND FTP ES REGULAR PLAN QTRLY DIVI PAY 22DC14</t>
  </si>
  <si>
    <t>SUNDARAM MUTUAL FUND FTP ES REGULAR PLAN HLF YRLY DIVI PAY 22DC14</t>
  </si>
  <si>
    <t>SUNDARAM MUTUAL FUND FTP ES DIRECT PLAN GROWTH 22DC14</t>
  </si>
  <si>
    <t>SUNDARAM MUTUAL FUND FTP ES DIRECT PLAN QTRLY DIVI PAY 22DC14</t>
  </si>
  <si>
    <t>SUNDARAM MUTUAL FUND FTP ES DIRECT PLAN HLF YRLY DIVI PAY 22DC14</t>
  </si>
  <si>
    <t>SUNDARAM MUTUAL FUND FTP ET REGULAR PLAN GROWTH 24JU15</t>
  </si>
  <si>
    <t>ADITYA BIRLA SUN LIFE MUTUAL FUND FTP SR IM (367D) REGULAR NORM DIV PAY 16OT14</t>
  </si>
  <si>
    <t>ADITYA BIRLA SUN LIFE MUTUAL FUND FTP SR IM (367D) REGULAR QTRLY DIVPAY 16OT14</t>
  </si>
  <si>
    <t>ADITYA BIRLA SUN LIFE MUTUAL FUND FTP SR IM (367D) DIRECT GROWTH 16OT14</t>
  </si>
  <si>
    <t>SUNDARAM MUTUAL FUND HYBRID FUND SR C REG HLF YRLY DIVI PAY 07NV16</t>
  </si>
  <si>
    <t>SUNDARAM MUTUAL FUND HYBRID FUND SR C DIRECT GROWTH 07NV16</t>
  </si>
  <si>
    <t>SUNDARAM MUTUAL FUND HYBRID FUND SR C DIR HLF YRLY DIVI PAY 07NV16</t>
  </si>
  <si>
    <t>SUNDARAM MUTUAL FUND HYBRID FUND SR C DIRECT YRLY DIVI PAY 07NV16</t>
  </si>
  <si>
    <t>BARODA MUTUAL FUND ELSS 96 FUND PLAN A BONUS OPEN</t>
  </si>
  <si>
    <t>BARODA MUTUAL FUND ELSS 96 FUND PLAN B (DIRECT) BONUS OPEN</t>
  </si>
  <si>
    <t>BARODA MUTUAL FUND HYBRID EQUITY FUND PLAN A BONUS</t>
  </si>
  <si>
    <t>BARODA MUTUAL FUND HYBRID EQUITY FUND PLAN B (DIRECT) BONUS</t>
  </si>
  <si>
    <t>BARODA MUTUAL FUND BANKING &amp; FINANCIAL SERVICES PLAN A BONUS OP</t>
  </si>
  <si>
    <t>BARODA MUTUAL FUND BANKING &amp; FINANCIAL SERV PL B (DIRECT) BONUS</t>
  </si>
  <si>
    <t>BARODA MUTUAL FUND MULTI CAP FUND PLAN A BONUS</t>
  </si>
  <si>
    <t>BARODA MUTUAL FUND MULTI CAP FUND PLAN B (DIRECT) BONUS</t>
  </si>
  <si>
    <t>ICICI PRUDENTIAL MUTUAL FUND FMP SR 72 1092D PL F DIR HLFYRLY DIVPA 24JN17</t>
  </si>
  <si>
    <t>ICICI PRUDENTIAL MUTUAL FUND CAP PROT ORI V PL B 1100D DIR CUMUL 08FB17</t>
  </si>
  <si>
    <t>ICICI PRUDENTIAL MUTUAL FUND CAP PROT ORI V PL B 1100D DIR DIVPAY 08FB17</t>
  </si>
  <si>
    <t>EDELWEISS MUTUAL FUND DIVERSIFIED GROWTH EQ TOP 100 FD BONUS OP</t>
  </si>
  <si>
    <t>EDELWEISS MUTUAL FUND EQUITY ENHANCER FUND DIRECT PLAN BONUS OPEN</t>
  </si>
  <si>
    <t>EDELWEISS MUTUAL FUND EQUITY ENHANCER FUND BONUS OPEN</t>
  </si>
  <si>
    <t>EDELWEISS MUTUAL FUND BALANCED ADV FD DIRECT PLAN BONUS OPEN</t>
  </si>
  <si>
    <t>EDELWEISS MUTUAL FUND BALANCED ADV FD BONUS OPEN</t>
  </si>
  <si>
    <t>VIJAYAWADA-MACHILIPATNAM EXPRESSWAYS LIMITED EQ</t>
  </si>
  <si>
    <t>ICICI PRUDENTIAL MUTUAL FUND FMP SR74 1092D PL P DIR HLFYRLY DIVPA 24MY17</t>
  </si>
  <si>
    <t>ADANI KANDLA BULK TERMINAL PRIVATE LIMITED EQ</t>
  </si>
  <si>
    <t>SHAMIK ENTERPRISES PVT LTD EQ</t>
  </si>
  <si>
    <t>SAGAR DIAMONDS LIMITED EQ</t>
  </si>
  <si>
    <t>ICICI PRUDENTIAL MUTUAL FUND FMP SR 70 372D PL L DIRECT DIVI PAY 07OT14</t>
  </si>
  <si>
    <t>ICICI PRUDENTIAL MUTUAL FUND FMP SR74 370D PL S HLF YRLY DIVPAY 22JU15</t>
  </si>
  <si>
    <t>ICICI PRUDENTIAL MUTUAL FUND FMP SR74 370D PL S DIRECT CUMULATIVE 22JU15</t>
  </si>
  <si>
    <t>ICICI PRUDENTIAL MUTUAL FUND FMP SR74 370D PL S DIR HLF YRLY DIVPAY 22JU15</t>
  </si>
  <si>
    <t>ICICI PRUDENTIAL MUTUAL FUND FMP SR74 369D PL K HLFYRLY DIVPA 26MY15</t>
  </si>
  <si>
    <t>ICICI PRUDENTIAL MUTUAL FUND FMP SR74 369D PL K DIRECT CUMULATIVE 26MY15</t>
  </si>
  <si>
    <t>ICICI PRUDENTIAL MUTUAL FUND FMP SR74 369D PL K DIR HLFYRLY DIVPA 26MY15</t>
  </si>
  <si>
    <t>ICICI PRUDENTIAL MUTUAL FUND FMP SR74 368D PL J HLFYRLY DIVPA 18MY15</t>
  </si>
  <si>
    <t>ICICI PRUDENTIAL MUTUAL FUND MULTIPLE YLD FD SR 6 1100D PLF DIR CUM 01JU17</t>
  </si>
  <si>
    <t>ICICI PRUDENTIAL MUTUAL FUND MULTIPLE YLDFD SR6 1100D PLF DIRDIVPAY 01JU17</t>
  </si>
  <si>
    <t>FRANKLIN TEMPLETON ASSET MANAGEMENT (INDIA) PRIVATE LIMITED IND FEEDER FRANKLIN EUR GROWTH FD DIR GWTH OP</t>
  </si>
  <si>
    <t>FRANKLIN TEMPLETON ASSET MANAGEMENT (INDIA) PRIVATE LIMITED IND FEEDER FRANKLIN EUR GROWTH FD DIR DIVPAY</t>
  </si>
  <si>
    <t>FRANKLIN TEMPLETON ASSET MANAGEMENT (INDIA) PRIVATE LIMITED IND FEEDER FRANKLIN EUR GROWTH FD GROWTH OP</t>
  </si>
  <si>
    <t>FRANKLIN TEMPLETON ASSET MANAGEMENT (INDIA) PRIVATE LIMITED IND FEEDER FRANKLIN EUR GROWTH FD DIV PAY OP</t>
  </si>
  <si>
    <t>UNION MUTUAL FUND SMALL CAP FUND DIR PLAN DIVI SWEEP OP</t>
  </si>
  <si>
    <t>UNION MUTUAL FUND SMALLCAP FUND REG PLAN GROWTH OP</t>
  </si>
  <si>
    <t>UNION MUTUAL FUND SMALLCAP FUND REG PLAN DIVI REI OP</t>
  </si>
  <si>
    <t>UNION MUTUAL FUND SMALLCAP FUND REG PLAN DIV PAY OP</t>
  </si>
  <si>
    <t>UNION MUTUAL FUND SMALLCAP FUND REG PLAN DIVI SWEEP OP</t>
  </si>
  <si>
    <t>UNION MUTUAL FUND SMALLCAP FUND DIRECT PLAN GROWTH OP</t>
  </si>
  <si>
    <t>UNION MUTUAL FUND UNION SMALLCAP FUND DIR PLAN DIV PAY OP</t>
  </si>
  <si>
    <t>INVESCO MUTUAL FUND FMP SR 24 PL B REG GROWTH 08JU15</t>
  </si>
  <si>
    <t>INVESCO MUTUAL FUND FMP SR 24 PL B DIR DIVI PAY 08JU15</t>
  </si>
  <si>
    <t>INVESCO MUTUAL FUND FMP SR 24 PL A REG DIVI PAY 01JU15</t>
  </si>
  <si>
    <t>INVESCO MUTUAL FUND FMP SR 24 PL A REG GROWTH 01JU15</t>
  </si>
  <si>
    <t>INVESCO MUTUAL FUND FMP SR 24 PL A DIR DIVI PAY 01JU15</t>
  </si>
  <si>
    <t>INVESCO MUTUAL FUND FMP SR 24 PL C DIR DIVI PAY 15JU15</t>
  </si>
  <si>
    <t>INVESCO MUTUAL FUND FMP SR 24 PL C DIR GROWTH 15JU15</t>
  </si>
  <si>
    <t>INVESCO MUTUAL FUND FMP SR 24 PL D REG DIVI PAY 18SP17</t>
  </si>
  <si>
    <t>INVESCO MUTUAL FUND FMP SR 24 PL D REG GROWTH 18SP17</t>
  </si>
  <si>
    <t>INVESCO MUTUAL FUND FMP SR 24 PL B DIR GROWTH 08JU15</t>
  </si>
  <si>
    <t>INVESCO MUTUAL FUND FMP SR 24 PL C REG DIVI PAY 15JU15</t>
  </si>
  <si>
    <t>INVESCO MUTUAL FUND FMP SR 24 PL C REG GROWTH 15JU15</t>
  </si>
  <si>
    <t>INVESCO MUTUAL FUND FMP SR 24 PL D DIR DIVI PAY 18SP17</t>
  </si>
  <si>
    <t>INVESCO MUTUAL FUND FMP SR 24 PL E REG DIVI PAY 29JU15</t>
  </si>
  <si>
    <t>MIHTRA SOFT-TECH SERVICES PRIVATE LIMITED EQ</t>
  </si>
  <si>
    <t>UTI MUTUAL FUND FTI SR XIX-VIII (368D) REG QTLYDIVREN 29JU15</t>
  </si>
  <si>
    <t>UTI MUTUAL FUND FTI SR XIX-VII (1095D) DIR ANL DIVREN 03JL17</t>
  </si>
  <si>
    <t>UTI MUTUAL FUND FTI SR XIX-VIII (368D) DIR ANL DIVPAY 29JU15</t>
  </si>
  <si>
    <t>UTI MUTUAL FUND FTI SR XIX-VIII (368D) DIR MTRYDIVPAY 29JU15</t>
  </si>
  <si>
    <t>UTI MUTUAL FUND FTI SR XIX-VII (1095D) REG QTLYDIVREN 03JL17</t>
  </si>
  <si>
    <t>UTI MUTUAL FUND FTI SR XIX-VIII (368D) REG MTRYDIVPAY 29JU15</t>
  </si>
  <si>
    <t>UTI MUTUAL FUND FTI SR XIX-VII (1095D) REG MTRYDIVPAY 03JL17</t>
  </si>
  <si>
    <t>FIL INDIA BUSINESS AND RESEARCH  SERVICES PRIVATE LIMITED EQ</t>
  </si>
  <si>
    <t>UTI MUTUAL FUND FTI SR XIX-VIII (368D) REG FLEXI DIVPA 29JU15</t>
  </si>
  <si>
    <t>UTI MUTUAL FUND FTI SR XIX-VII (1095D) DIR QTLYDIVPAY 03JL17</t>
  </si>
  <si>
    <t>SHASHVAT LAND PROJECTS PRIVATE LIMITED EQ</t>
  </si>
  <si>
    <t>VISMAYA CONSTRUCTIONS PRIVATE LIMITED EQ</t>
  </si>
  <si>
    <t>LIC MUTUAL FUND  CPOF SERIES 4 DIRECT PLAN DIVI PAY 13SP17</t>
  </si>
  <si>
    <t>UTI MUTUAL FUND FTI SR XIX-VII (1095D) DIR GROWTH 03JL17</t>
  </si>
  <si>
    <t>UTI MUTUAL FUND FTI SR XIX-VII (1095D) REG ANL DIVREN 03JL17</t>
  </si>
  <si>
    <t>UTI MUTUAL FUND FTI SR XIX-VII (1095D) REG FLEXI DIVPA 03JL17</t>
  </si>
  <si>
    <t>UTI MUTUAL FUND FTI SR XIX-VIII (368D) DIR FLEXI DIVPA 29JU15</t>
  </si>
  <si>
    <t>UTI MUTUAL FUND FTI SR XIX-VII (1095D) REG FLEXI DIVRE 03JL17</t>
  </si>
  <si>
    <t>UTI MUTUAL FUND FTI SR XIX-VII (1095D) DIR QTLYDIVREN 03JL17</t>
  </si>
  <si>
    <t>UTI MUTUAL FUND FTI SR XIX-VIII (368D) DIR QTLYDIVPAY 29JU15</t>
  </si>
  <si>
    <t>UTI MUTUAL FUND FTI SR XIX-VIII (368D) REG QTLYDIVPAY 29JU15</t>
  </si>
  <si>
    <t>UTI MUTUAL FUND FTI SR XIX-VII (1095D) REG QTLYDIVPAY 03JL17</t>
  </si>
  <si>
    <t>UTI MUTUAL FUND FTI SR XIX-VII (1095D) DIR FLEXI DIVPA 03JL17</t>
  </si>
  <si>
    <t>GOCL CORPORATION LIMITED EQ NEW FV RS. 2/-</t>
  </si>
  <si>
    <t>SUNDARAM MUTUAL FUND FTP GJ REGULAR PLAN HLF YRLY DIVI PAY 21AG17</t>
  </si>
  <si>
    <t>SUNDARAM MUTUAL FUND FTP GJ REGULAR PLAN QTRLY DIVI PAY 21AG17</t>
  </si>
  <si>
    <t>SUNDARAM MUTUAL FUND FTP GJ DIRECT PLAN HLF YRLY DIVI PAY 21AG17</t>
  </si>
  <si>
    <t>SUNDARAM MUTUAL FUND FTP GJ DIRECT PLAN QTRLY DIVI PAY 21AG17</t>
  </si>
  <si>
    <t>SPARK BUILDERS AND INFRA PROJECTS PRIVATE LIMITED EQ</t>
  </si>
  <si>
    <t>WESTBURY CONSTRUCTION PRIVATE LIMITED EQ</t>
  </si>
  <si>
    <t>MOTHERSON AUTO SOLUTIONS LIMITED EQ</t>
  </si>
  <si>
    <t>JCB SALONS PRIVATE LIMITED EQ</t>
  </si>
  <si>
    <t>DUNE MERCANTILE LIMITED EQ</t>
  </si>
  <si>
    <t>NORTHLINK FISCAL AND CAPITAL SERVICES LTD. EQ</t>
  </si>
  <si>
    <t>KHADIM INDIA LIMITED EQ NEW FV RS. 10/-</t>
  </si>
  <si>
    <t>ADITYA BIRLA SUN LIFE MUTUAL FUND FTP SR LU(1104D) REGULAR NORM DIV PAY 28AG17</t>
  </si>
  <si>
    <t>HDFC MUTUAL FUND FMP 370D AUG13(4)SR 27 DIR QTLYDIVPY 05OT16</t>
  </si>
  <si>
    <t>HDFC MUTUAL FUND FMP 370D AUG 2013(4) SR 27 REG FLEXI 05OT16</t>
  </si>
  <si>
    <t>IDFC MUTUAL FUND FTP SR 31 REGULAR PLAN QTRLY DIVI PAY 30AG16</t>
  </si>
  <si>
    <t>IDFC MUTUAL FUND FTP SR 31 REGULAR PLAN HLF YRLY DIVPAY 30AG16</t>
  </si>
  <si>
    <t>ADITYA BIRLA SUN LIFE MUTUAL FUND FTP SR HQ (1098D) REGULAR NORM DIV PAY 31AG16</t>
  </si>
  <si>
    <t>ADITYA BIRLA SUN LIFE MUTUAL FUND FTP SR HQ (1098D) REGULAR QTRLY DIVPAY 31AG16</t>
  </si>
  <si>
    <t>ADITYA BIRLA SUN LIFE MUTUAL FUND FTP SR HQ (1098D) DIRECT NORM DIVI PAY 31AG16</t>
  </si>
  <si>
    <t>ADITYA BIRLA SUN LIFE MUTUAL FUND FTP SR HQ (1098D) DIRECT QTRLY DIV PAY 31AG16</t>
  </si>
  <si>
    <t>UTI MUTUAL FUND FTI SR XX-I (1099D) DIR QTLYDIVREN 21SP17</t>
  </si>
  <si>
    <t>UTI MUTUAL FUND FTI SR XX-I (1099D) DIR ANL DIVPAY 21SP17</t>
  </si>
  <si>
    <t>UTI MUTUAL FUND FTI SR XX-I (1099D) DIR ANL DIVREN 21SP17</t>
  </si>
  <si>
    <t>UTI MUTUAL FUND FTI SR XX-I (1099D) DIR MTRYDIVPAY 21SP17</t>
  </si>
  <si>
    <t>UTI MUTUAL FUND FTI SR XX-I (1099D) DIR FLEXI DIVPA 21SP17</t>
  </si>
  <si>
    <t>UTI MUTUAL FUND FTI SR XX-I (1099D) DIR FLEXI DIVRE 21SP17</t>
  </si>
  <si>
    <t>UTI MUTUAL FUND FTI SR XX-I (1099D) REG QTLYDIVPAY 21SP17</t>
  </si>
  <si>
    <t>UTI MUTUAL FUND FTI SR XX-I (1099D) REG ANL DIVPAY 21SP17</t>
  </si>
  <si>
    <t>UTI MUTUAL FUND FTI SR XX-I (1099D) REG ANL DIVREN 21SP17</t>
  </si>
  <si>
    <t>UTI MUTUAL FUND FTI SR XX-I (1099D) REG MTRYDIVPAY 21SP17</t>
  </si>
  <si>
    <t>UTI MUTUAL FUND FTI SR XX-I (1099D) REG FLEXI DIVPA 21SP17</t>
  </si>
  <si>
    <t>UTI MUTUAL FUND FTI SR XX-I (1099D) REG FLEXI DIVRE 21SP17</t>
  </si>
  <si>
    <t>PASHUPATI COTSPIN LIMITED EQ</t>
  </si>
  <si>
    <t>UTI MUTUAL FUND SHORT TERM INCOME FD DIR PL ANNUAL DIV PAY OP</t>
  </si>
  <si>
    <t>UTI MUTUAL FUND SHORT TERM INCOME FD DIR PL ANNUAL DIV REI OP</t>
  </si>
  <si>
    <t>UTI MUTUAL FUND SHORT TERM INCOME FD DIR PL QTLY DIV PAY OP</t>
  </si>
  <si>
    <t>UTI MUTUAL FUND SHORT TERM INCOME FD DIR PL QTLY DIV REI OP</t>
  </si>
  <si>
    <t>UTI MUTUAL FUND DYNAMIC BOND FD EXS PL HLF YRLY DIV PAY OP</t>
  </si>
  <si>
    <t>UTI MUTUAL FUND DYNAMIC BOND FD EXS PL HLF YRLY DIV REI OP</t>
  </si>
  <si>
    <t>UTI MUTUAL FUND DYNAMIC BOND FD EXS PL ANNUAL DIV PAY OPTION</t>
  </si>
  <si>
    <t>UTI MUTUAL FUND DYNAMIC BOND FD EXS PL ANNUAL DIV REI OPTION</t>
  </si>
  <si>
    <t>UTI MUTUAL FUND DYNAMIC BOND FD EXS PL FLEXI DIV PAY OPTION</t>
  </si>
  <si>
    <t>UTI MUTUAL FUND DYNAMIC BOND FD EXS PL FLEXI DIV REI OPTION</t>
  </si>
  <si>
    <t>UTI MUTUAL FUND DYNAMIC BOND FD DIR PL HLF YRLY DIV REI OP</t>
  </si>
  <si>
    <t>UTI MUTUAL FUND DYNAMIC BOND FD DIR PL ANNUAL DIV PAY OPTION</t>
  </si>
  <si>
    <t>UTI MUTUAL FUND DYNAMIC BOND FD DIR PL ANNUAL DIV REI OPTION</t>
  </si>
  <si>
    <t>UTI MUTUAL FUND DYNAMIC BOND FD DIR PL FLEXI DIV PAY OPTION</t>
  </si>
  <si>
    <t>UTI MUTUAL FUND DYNAMIC BOND FD DIR PL FLEXI DIV REI OPTION</t>
  </si>
  <si>
    <t>UTI MUTUAL FUND BOND FD EXS PL HLF YRLY DIV PAY OPTION</t>
  </si>
  <si>
    <t>UTI MUTUAL FUND BOND FD EXS PL HLF YRLY DIV REI OPTION</t>
  </si>
  <si>
    <t>UTI MUTUAL FUND BOND FD EXS PL ANNUAL DIV PAY OPTION</t>
  </si>
  <si>
    <t>UTI MUTUAL FUND BOND FD EXS PL FLEXI DIV PAY OPTION</t>
  </si>
  <si>
    <t>UTI MUTUAL FUND BOND FD EXS PL FLEXI DIV REI OPTION</t>
  </si>
  <si>
    <t>UTI MUTUAL FUND BOND FD DIR PL HLF YRLY DIV PAY OPTION</t>
  </si>
  <si>
    <t>UTI MUTUAL FUND BOND FD DIR PL HLF YRLY DIV REI OPTION</t>
  </si>
  <si>
    <t>UTI MUTUAL FUND BOND FD DIR PL ANNUAL DIV PAY OPTION</t>
  </si>
  <si>
    <t>UTI MUTUAL FUND BOND FD DIR PL ANNUAL DIV REI OPTION</t>
  </si>
  <si>
    <t>UTI MUTUAL FUND BOND FD DIR PL FLEXI DIV PAY OPTION</t>
  </si>
  <si>
    <t>UTI MUTUAL FUND BANKING &amp; PSU DEBT FD REG PL HLF YRLY DIV PAY</t>
  </si>
  <si>
    <t>UTI MUTUAL FUND BANKING &amp; PSU DEBT FD REG PL HLF YRLY DIV REI</t>
  </si>
  <si>
    <t>UTI MUTUAL FUND BANKING &amp; PSU FD REG PL ANNUAL DIV PAY OPTION</t>
  </si>
  <si>
    <t>UTI MUTUAL FUND BANKING &amp; PSU FD REG PL ANNUAL DIV REI OPTION</t>
  </si>
  <si>
    <t>UTI MUTUAL FUND BANKING &amp; PSU FD REG PL FLEXI DIV PAY OPTION</t>
  </si>
  <si>
    <t>UTI MUTUAL FUND BANKING &amp; PSU FD REG PL FLEXI DIV REI OPTION</t>
  </si>
  <si>
    <t>UTI MUTUAL FUND BANKING &amp; PSU DEBT FD DIR PL HLF YRLY DIV PAY</t>
  </si>
  <si>
    <t>UTI MUTUAL FUND BANKING &amp; PSU DEBT FD DIR PL HLF YRLY DIV REI</t>
  </si>
  <si>
    <t>UTI MUTUAL FUND BANKING &amp; PSU FD DIR PL ANNUAL DIV REI OPTION</t>
  </si>
  <si>
    <t>UTI MUTUAL FUND BANKING &amp; PSU FD DIR PL FLEXI DIV PAY OPTION</t>
  </si>
  <si>
    <t>UTI MUTUAL FUND BANKING &amp; PSU FD DIR PL FLEXI DIV REI OPTION</t>
  </si>
  <si>
    <t>UTI MUTUAL FUND CR RSK FD REG HLF YRL DIVI PAY</t>
  </si>
  <si>
    <t>UTI MUTUAL FUND CR RSK FD REG HLF YRL DIVI REINV</t>
  </si>
  <si>
    <t>UTI MUTUAL FUND CR RSK FD REG ANNL DIVI REINV</t>
  </si>
  <si>
    <t>UTI MUTUAL FUND CR RSK FD REG FLX DIVI PAY</t>
  </si>
  <si>
    <t>UTI MUTUAL FUND CR RSK FD REG FLX DIVI REINV</t>
  </si>
  <si>
    <t>UTI MUTUAL FUND CR RSK FD DIR HLF YRL DIVI REINV</t>
  </si>
  <si>
    <t>UTI MUTUAL FUND BANKING &amp; PSU FD DIR PL ANNUAL DIV PAY OPTION</t>
  </si>
  <si>
    <t>UTI MUTUAL FUND FTI SR XX-III (1100D) DIR QTLYDIVPAY 11OT17</t>
  </si>
  <si>
    <t>UTI MUTUAL FUND FTI SR XX-III (1100D) DIR QTLYDIVREN 11OT17</t>
  </si>
  <si>
    <t>UTI MUTUAL FUND FTI SR XX-III (1100D) DIR ANL DIVPAY 11OT17</t>
  </si>
  <si>
    <t>UTI MUTUAL FUND FTI SR XX-III (1100D) DIR MTRYDIVPAY 11OT17</t>
  </si>
  <si>
    <t>UTI MUTUAL FUND FTI SR XX-III (1100D) DIR FLEXI DIVPA 11OT17</t>
  </si>
  <si>
    <t>UTI MUTUAL FUND FTI SR XX-III (1100D) DIR FLEXI DIVRE 11OT17</t>
  </si>
  <si>
    <t>UTI MUTUAL FUND FTI SR XX-III (1100D) REG QTLYDIVREN 11OT17</t>
  </si>
  <si>
    <t>UTI MUTUAL FUND FTI SR XX-III (1100D) REG ANL DIVPAY 11OT17</t>
  </si>
  <si>
    <t>UTI MUTUAL FUND FTI SR XX-III (1100D) REG FLEXI DIVPA 11OT17</t>
  </si>
  <si>
    <t>UTI MUTUAL FUND FTI SR XX-III (1100D) REG FLEXI DIVRE 11OT17</t>
  </si>
  <si>
    <t>UTI MUTUAL FUND FTI SR XVI-VII(747D) REG QTLYDIVPAY 17OT16</t>
  </si>
  <si>
    <t>UTI MUTUAL FUND FTI SR XVI-VII(747D) REG QTLYDIVREN 17OT16</t>
  </si>
  <si>
    <t>UTI MUTUAL FUND FTI SR XVI-VII(747D) REG ANL DIVPAY 17OT16</t>
  </si>
  <si>
    <t>UTI MUTUAL FUND FTI SR XVI-VII(747D) REG ANL DIVREN 17OT16</t>
  </si>
  <si>
    <t>UTI MUTUAL FUND FTI SR XVI-VII(747D) REG MTRYDIVPAY 17OT16</t>
  </si>
  <si>
    <t>UTI MUTUAL FUND FTI SR XVI-VII(747D) REG FLEXI DIVREN 17OT16</t>
  </si>
  <si>
    <t>UTI MUTUAL FUND FTI SR XVI-VII(747D) DIR QTLYDIVREN 17OT16</t>
  </si>
  <si>
    <t>UTI MUTUAL FUND FTI SR XVI-VII(747D) DIR ANL DIVPAY 17OT16</t>
  </si>
  <si>
    <t>UTI MUTUAL FUND FTI SR XVI-VII(747D) DIR ANL DIVREN 17OT16</t>
  </si>
  <si>
    <t>UTI MUTUAL FUND FTI SR XVI-VII(747D) DIR MTRYDIVPAY 17OT16</t>
  </si>
  <si>
    <t>UTI MUTUAL FUND FTI SR XVI-VII(747D) DIR FLEXI DIVPAY 17OT16</t>
  </si>
  <si>
    <t>HDFC MUTUAL FUND CORP BD FD DIR PL NOR DIV PAY OP</t>
  </si>
  <si>
    <t>HDFC MUTUAL FUND CORP BD FD REG PL NORM DIV REI OP</t>
  </si>
  <si>
    <t>HDFC MUTUAL FUND CORP BD FD REG PL NOR DIV PAY OP</t>
  </si>
  <si>
    <t>HDFC MUTUAL FUND REG SAV FD DIR PL NOR DIV REI OP</t>
  </si>
  <si>
    <t>HDFC MUTUAL FUND REG SAV FD DIR PL NOR DIV PAY OP</t>
  </si>
  <si>
    <t>HDFC MUTUAL FUND REG SAV FD REG PL NORM DIV REI OP</t>
  </si>
  <si>
    <t>HDFC MUTUAL FUND REG SAV FD REG PL NOR DIV PAY OP</t>
  </si>
  <si>
    <t>HDFC MUTUAL FUND MED TRM DBT FD DIR PL NOR DIV REI OP</t>
  </si>
  <si>
    <t>HDFC MUTUAL FUND MED TRM DBT FD DIR PL NOR DIV PAY OP</t>
  </si>
  <si>
    <t>HDFC MUTUAL FUND MED TRM DBT FD REG PL NOR DIV REI OP</t>
  </si>
  <si>
    <t>HDFC MUTUAL FUND MED TRM DBT FD REG PL NOR DIV PAY OP</t>
  </si>
  <si>
    <t>RDA ENERGY PRIVATE LIMITED EQ</t>
  </si>
  <si>
    <t>GPT HEALTHCARE PRIVATE LIMITED EQ</t>
  </si>
  <si>
    <t>SHIVAM AUTOTECH LIMITED EQ NEW FV RS. 2/-</t>
  </si>
  <si>
    <t>L &amp; T MUTUAL FUND FMP VII (JULY 1189D A) DIVI PAY 30MY16</t>
  </si>
  <si>
    <t>L &amp; T MUTUAL FUND FMP VII (JULY 1189D A) DIR PL DIVIPAY 30MY16</t>
  </si>
  <si>
    <t>ARYAMAN CAPITAL MARKETS LIMITED EQ</t>
  </si>
  <si>
    <t>PEL PORT PRIVATE LIMITED EQ</t>
  </si>
  <si>
    <t>LIMELIGHT REALTORS PRIVATE LIMITED EQ</t>
  </si>
  <si>
    <t>DOLPHIN BUILDWELL PRIVATE LIMITED EQ</t>
  </si>
  <si>
    <t>SYMPHONY REALTORS PRIVATE LIMITED EQ</t>
  </si>
  <si>
    <t>CONCORD BUILDWELL PRIVATE LIMITED EQ</t>
  </si>
  <si>
    <t>ANJANEY DEVELOPERS PRIVATE LIMITED EQ</t>
  </si>
  <si>
    <t>ADVAITA HOLDINGS PRIVATE LIMITED EQ</t>
  </si>
  <si>
    <t>B L A POWER HOLDING PRIVATE LIMITED EQ</t>
  </si>
  <si>
    <t>RUNWAL HEIGHTS PRIVATE LIMITED EQ</t>
  </si>
  <si>
    <t>RUNWAL RESIDENCY PRIVATE LIMITED EQ</t>
  </si>
  <si>
    <t>CAPGEMINI INDIA PRIVATE LIMITED EQ</t>
  </si>
  <si>
    <t>YENNAI HYDROCARBON SERVICES PRIVATE LIMITED EQ</t>
  </si>
  <si>
    <t>MIRRA AND MIRRA INDUSTRIES PRIVATE LIMITED EQ</t>
  </si>
  <si>
    <t>MEHAI TECHNOLOGY LIMITED EQ</t>
  </si>
  <si>
    <t>GULF OIL LUBRICANTS INDIA LIMITED EQ NEW F VRS. 2/-</t>
  </si>
  <si>
    <t>VIBRANT GLOBAL CAPITAL LIMITED EQ</t>
  </si>
  <si>
    <t>MIHIKA INDUSTRIES LIMITED EQ</t>
  </si>
  <si>
    <t>ELITA GARDEN VISTA PROJECT PRIVATE LIMITED EQ</t>
  </si>
  <si>
    <t>PATEL ENERGY ASSIGNMENT PRIVATE LIMITED EQ</t>
  </si>
  <si>
    <t>PATEL ENERGY OPERATIONS PRIVATE LIMITED EQ</t>
  </si>
  <si>
    <t>CHENNAI PROPERTIES AND INVESTMENTS LIMITED EQ</t>
  </si>
  <si>
    <t>JM FINANCIAL MUTUAL FUND EQ HYBRID FD QTLY BONUS OPT PRINCIPAL UNITS</t>
  </si>
  <si>
    <t>JM FINANCIAL MUTUAL FUND EQ HYBRID FD (DIR) QTLY BONUS OP PRINPL UNIT</t>
  </si>
  <si>
    <t>JM FINANCIAL MUTUAL FUND ARBTRGE FD HLF YRLY BONUS OP PRNCPL UNITS</t>
  </si>
  <si>
    <t>JM FINANCIAL MUTUAL FUND ARBTRGE FD (DIR) HLFYRLY BONUSOP PRNCPL UNTS</t>
  </si>
  <si>
    <t>SUNDARAM MUTUAL FUND FTP ET DIRECT PLAN GROWTH 24JU15</t>
  </si>
  <si>
    <t>SUNDARAM MUTUAL FUND FTP ET DIRECT PLAN QTRLY DIVI PAY 24JU15</t>
  </si>
  <si>
    <t>SUNDARAM MUTUAL FUND FTP ET DIRECT PLAN HLF YRLY DIVI PAY 24JU15</t>
  </si>
  <si>
    <t>SUNDARAM MUTUAL FUND FTP FJ REGULAR PLAN GROWTH 26MR15</t>
  </si>
  <si>
    <t>SUNDARAM MUTUAL FUND FTP FJ REGULAR PLAN HLF YRLY DIVI PAY 26MR15</t>
  </si>
  <si>
    <t>SUNDARAM MUTUAL FUND FTP FJ REGULAR PLAN QTRLY DIVI PAY 26MR15</t>
  </si>
  <si>
    <t>SUNDARAM MUTUAL FUND FTP FJ DIRECT PLAN HLF YRLY DIVI PAY 26MR15</t>
  </si>
  <si>
    <t>SUNDARAM MUTUAL FUND FTP FJ DIRECT PLAN QTRLY DIVI PAY 26MR15</t>
  </si>
  <si>
    <t>GALORE PRINTS INDUSTRIES LIMITED EQ NEW FV RS. 10/-</t>
  </si>
  <si>
    <t>KOTAK MAHINDRA MUTUAL FUND FMP SR 152 (368D) REGULAR DIVI PAY 30MR15</t>
  </si>
  <si>
    <t>KOTAK MAHINDRA MUTUAL FUND FMP SR 152 (368D) DIRECT GROWTH 30MR15</t>
  </si>
  <si>
    <t>JM FINANCIAL MUTUAL FUND FMF  SR XXV PLAN A (DIRECT) DIVI PAY 06AP15</t>
  </si>
  <si>
    <t>DEUTSCHE MUTUAL FUND FMP SERIES 57 REG PLAN QTRLY DIVI PAY 07AP15</t>
  </si>
  <si>
    <t>DEUTSCHE MUTUAL FUND FMP SERIES 57 REG PLAN ANNL DIVI PAY 07AP15</t>
  </si>
  <si>
    <t>DEUTSCHE MUTUAL FUND FMP SERIES 57 DIRECT PLAN REG DIVI PAY 07AP15</t>
  </si>
  <si>
    <t>DEUTSCHE MUTUAL FUND FMP SERIES 57 DIR PLAN QTRLY DIVI PAY 07AP15</t>
  </si>
  <si>
    <t>Code-Sub Sector
[Please see instruction No.7(i)]</t>
  </si>
  <si>
    <t xml:space="preserve">Total Deduction u/s 54EE/54F </t>
  </si>
  <si>
    <t>4di</t>
  </si>
  <si>
    <t>80TTB - Interest on deposits in case of Resident senior citizens</t>
  </si>
  <si>
    <t>80TTA - Interest on saving bank Accounts incase of other than Resident senior citizens</t>
  </si>
  <si>
    <t>Family Pension</t>
  </si>
  <si>
    <t xml:space="preserve">a(i) </t>
  </si>
  <si>
    <t>a(ii)</t>
  </si>
  <si>
    <t>Deduction u/s 57 (iia) (in case of family pension only)</t>
  </si>
  <si>
    <t>3ai</t>
  </si>
  <si>
    <t>3aii</t>
  </si>
  <si>
    <t>Full value of Consideration - item 4 (b)(i)(B)(2) of LTCG Schedule of ITR3</t>
  </si>
  <si>
    <t>Cost of improvement without indexation -  item 5 (b)(ii) of LTCG Schedule of ITR3</t>
  </si>
  <si>
    <t>Full value of Consideration - item 8 (b)(i)(B)(2) of LTCG Schedule of ITR3</t>
  </si>
  <si>
    <t>Cost of improvement without indexation -  item 8 (b)(ii) of LTCG Schedule of ITR3</t>
  </si>
  <si>
    <t xml:space="preserve">Deduction claimed u/s 54F
</t>
  </si>
  <si>
    <t>Central Goods and Services Tax Act, 2017</t>
  </si>
  <si>
    <t>No Income during the year</t>
  </si>
  <si>
    <t>No Amount paid/credited</t>
  </si>
  <si>
    <t>80 G - Donations to certain funds, charitable institutions, etc 
(Please fill 80G Schedule. This field is auto-populated from schedule.)</t>
  </si>
  <si>
    <t>Section 89 (Please ensure to submit Form 10E to claim this relief)</t>
  </si>
  <si>
    <t>Public Sector Undertaking</t>
  </si>
  <si>
    <t>5A1bA - 115A(1)(b) - Income from royalty &amp; technical services</t>
  </si>
  <si>
    <t>PTI_115A(1)(b)-Income from royalty &amp; technical services</t>
  </si>
  <si>
    <t>115A(1)(b)-Income from royalty &amp; technical services</t>
  </si>
  <si>
    <t xml:space="preserve">18B
</t>
  </si>
  <si>
    <t>TDS 3</t>
  </si>
  <si>
    <t>TDS 2</t>
  </si>
  <si>
    <t>TDS 1</t>
  </si>
  <si>
    <t>Percentage share of other co-owner(s) in property%</t>
  </si>
  <si>
    <t xml:space="preserve">Your percentage of share in the property.%    </t>
  </si>
  <si>
    <t>PTI_5A1b</t>
  </si>
  <si>
    <t>5A1b</t>
  </si>
  <si>
    <t>ISIN Code</t>
  </si>
  <si>
    <t>Deductions under section</t>
  </si>
  <si>
    <t xml:space="preserve">Deduction in the case of an undertaking engaged in integrated business of handling, storage and transportation of food grains [Section 80-IB(11A)] </t>
  </si>
  <si>
    <t>Dividend income from domestic company (amount not exceeding Rs. 10 lakhs)</t>
  </si>
  <si>
    <t xml:space="preserve">In case the net agricultural income for the year exceeds Rs.5 lakhs, please furnish the following details </t>
  </si>
  <si>
    <t>Receipts received under the head 
(ii)</t>
  </si>
  <si>
    <t>Information regarding apportionment of Receipts between spouses governed by Portuguese Civil Code</t>
  </si>
  <si>
    <t>37-LADAKH</t>
  </si>
  <si>
    <t>Status</t>
  </si>
  <si>
    <t xml:space="preserve">Employer Category </t>
  </si>
  <si>
    <t>PortugueseCode</t>
  </si>
  <si>
    <t>YesNoCode</t>
  </si>
  <si>
    <t>ReturnFileUnderSection1</t>
  </si>
  <si>
    <t>ReturnFileUnderSection2</t>
  </si>
  <si>
    <t>OriginalRevised</t>
  </si>
  <si>
    <t>Section_code</t>
  </si>
  <si>
    <t>Salary.OthersAllowance</t>
  </si>
  <si>
    <t>SchFA_Nature</t>
  </si>
  <si>
    <t>Irrigated</t>
  </si>
  <si>
    <t>Resident_Dropdown</t>
  </si>
  <si>
    <t>NOR_Dropdown</t>
  </si>
  <si>
    <t>NRI_Dropdown</t>
  </si>
  <si>
    <t>RelevantClause_80GGA1</t>
  </si>
  <si>
    <t>Salarydropdown1</t>
  </si>
  <si>
    <t>Salarydropdown2</t>
  </si>
  <si>
    <t>salarydropdown3</t>
  </si>
  <si>
    <t>EI_SectionDropdown</t>
  </si>
  <si>
    <t>Table C D FA</t>
  </si>
  <si>
    <t>Country_NoIndia</t>
  </si>
  <si>
    <t>Country_Juridiction</t>
  </si>
  <si>
    <t>BP_Drp</t>
  </si>
  <si>
    <t>Raw_Material</t>
  </si>
  <si>
    <t>Nature_of_Business</t>
  </si>
  <si>
    <t>OS_DTAA_115H</t>
  </si>
  <si>
    <t>OS_RESandNOR</t>
  </si>
  <si>
    <t>OS_DTAA_Drpdown</t>
  </si>
  <si>
    <t>OS.AssYearUnit</t>
  </si>
  <si>
    <t>OS_PTI_115H</t>
  </si>
  <si>
    <t>OS_DTAA_NRI</t>
  </si>
  <si>
    <t>OS_DTAA_RES</t>
  </si>
  <si>
    <t>OS_PTI_RES</t>
  </si>
  <si>
    <t>OS_PTI_NRI</t>
  </si>
  <si>
    <t>OSDTAA_Section_115H</t>
  </si>
  <si>
    <t>OS_ALL</t>
  </si>
  <si>
    <t>OS_PTI_LookUp1</t>
  </si>
  <si>
    <t>OS_lookup1</t>
  </si>
  <si>
    <t>OS_DTAA_lookup</t>
  </si>
  <si>
    <t>OS_NRI</t>
  </si>
  <si>
    <t>BankNameList</t>
  </si>
  <si>
    <t>BankCode</t>
  </si>
  <si>
    <t>IFSCCodeSet1</t>
  </si>
  <si>
    <t>IFSCCodeSet2</t>
  </si>
  <si>
    <t>IFSCCodeSet3</t>
  </si>
  <si>
    <t>IFSCCodeSet4</t>
  </si>
  <si>
    <t>IFSCCodeSet5</t>
  </si>
  <si>
    <t>IFSC_BankName</t>
  </si>
  <si>
    <t>IFSC_StartLetter</t>
  </si>
  <si>
    <t>44AE-NOB</t>
  </si>
  <si>
    <t>NOB-44AD</t>
  </si>
  <si>
    <t>NOB44ADA</t>
  </si>
  <si>
    <t>ISIN112A</t>
  </si>
  <si>
    <t>STCG_Dropdown</t>
  </si>
  <si>
    <t>STCG_Dropdown2</t>
  </si>
  <si>
    <t>Selection80D</t>
  </si>
  <si>
    <t>Section80DD</t>
  </si>
  <si>
    <t>Section80U</t>
  </si>
  <si>
    <t>Selection80D_B</t>
  </si>
  <si>
    <t>Selection80D_C</t>
  </si>
  <si>
    <t>LTCG_DropDown</t>
  </si>
  <si>
    <t>LTCG_DropDown2</t>
  </si>
  <si>
    <t>JK&amp;L</t>
  </si>
  <si>
    <t>Note : In case of Donee is Government and PAN is not available then use  "GGGGG0000G" as PAN.</t>
  </si>
  <si>
    <t xml:space="preserve">Membership no. of the auditor  </t>
  </si>
  <si>
    <t>Sl. No. (1)</t>
  </si>
  <si>
    <t>SI. No.</t>
  </si>
  <si>
    <t>SI. NO.</t>
  </si>
  <si>
    <t xml:space="preserve">Whether you or any of your family member (excluding parents) is a senior citizen? </t>
  </si>
  <si>
    <t>Self &amp; Family</t>
  </si>
  <si>
    <t>Health Insurance</t>
  </si>
  <si>
    <t>Preventive Health Checkup</t>
  </si>
  <si>
    <t>Whether any one of your parents is a senior citizen</t>
  </si>
  <si>
    <t>Parents</t>
  </si>
  <si>
    <t>Eligible Amount of Deduction</t>
  </si>
  <si>
    <t>80D-Deduction in respect of Health Insurance premia</t>
  </si>
  <si>
    <t>80EEA-Deduction in respect of interest on loan taken for certain house property</t>
  </si>
  <si>
    <t>80EEB-Deduction in respect of purchase of electric vehicle</t>
  </si>
  <si>
    <t>Have you deposited amount or aggregate of amounts exceeding Rs. 1 Crore in one or more current account during the previous year? (Yes/No)</t>
  </si>
  <si>
    <t>Have you incurred expenditure of amount or aggregate of amount exceeding Rs. 1 lakh on consumption of electricity during the previous year? (Yes/No)</t>
  </si>
  <si>
    <t xml:space="preserve">Are you filing return of income under Seventh proviso to Section 139(1) – (Tick)  Yes  No
If yes, please furnish following information
[Note: To be filled only if a person is not required to furnish a return of income under section 139(1) but filing return of income due to fulfilling one or more conditions mentioned in the seventh proviso to section 139(1)]
</t>
  </si>
  <si>
    <t>Have you incurred expenditure of an amount or aggregate of amount exceeding Rs. 2 lakhs for travel to a foreign country for yourself or for any other person</t>
  </si>
  <si>
    <t>Aadhaar Number of the representative</t>
  </si>
  <si>
    <t>Aadhaar Number</t>
  </si>
  <si>
    <t>Schedule 80D</t>
  </si>
  <si>
    <t>Amount of interest, salary, bonus, commission or remuneration paid to any partner or member inadmissible under section [40(b)/40(ba)]</t>
  </si>
  <si>
    <t>Amount paid, otherwise than by account payee cheque or account payee bank draft or use of electronic clearing system through a bank account or through such electronic mode as may be prescribed, , disallowable under section 40A(3)</t>
  </si>
  <si>
    <t>Total amount disallowable under section 40A (total of 9a to 9e)</t>
  </si>
  <si>
    <t>11d(a)</t>
  </si>
  <si>
    <t>TPSA</t>
  </si>
  <si>
    <t xml:space="preserve">Additional Income tax payable @ 18% on above </t>
  </si>
  <si>
    <t>Surcharge @ 12% on “a”</t>
  </si>
  <si>
    <t>Health &amp; Education cess on (a+b)</t>
  </si>
  <si>
    <t>Total Additional tax payable (a+b+c)</t>
  </si>
  <si>
    <t xml:space="preserve">Taxes paid </t>
  </si>
  <si>
    <t xml:space="preserve">Net tax payable  (2d-3) </t>
  </si>
  <si>
    <t xml:space="preserve">Details of Taxes Paid </t>
  </si>
  <si>
    <t>BSR Code</t>
  </si>
  <si>
    <t>Name of Bank and Branch</t>
  </si>
  <si>
    <t>Date of deposit</t>
  </si>
  <si>
    <t>Serial number of challan</t>
  </si>
  <si>
    <t>Amount deposited</t>
  </si>
  <si>
    <t>Schedule TPSA</t>
  </si>
  <si>
    <t>Nature of employer</t>
  </si>
  <si>
    <t>State Government</t>
  </si>
  <si>
    <t>Central Government</t>
  </si>
  <si>
    <t>Profit before tax as per profit and loss account ((item  53 ,61(ii)), 62(ii), 63(ii), 64(iii) and 65(iv)  of P&amp;L)(in case of no account case)]</t>
  </si>
  <si>
    <t>Less : allowances to the extent exempt u/s 10 (Note: Ensure that it is included in salary income u/s 17(1)/17(2)/17(3))</t>
  </si>
  <si>
    <t>Name of co owner(s)</t>
  </si>
  <si>
    <t>PAN of Co-owner(s)</t>
  </si>
  <si>
    <t>Aadhaar Number of  the Co-owner(s)</t>
  </si>
  <si>
    <t>Pass through income/Loss if any *</t>
  </si>
  <si>
    <t>Block entitled for depreciation @ 45 per cent ( Schedule DPM - 
17iv or 18iv as applicable)</t>
  </si>
  <si>
    <t>Block entitled for depreciation @  45 per cent (Schedule DPM - 20iv)</t>
  </si>
  <si>
    <t xml:space="preserve">Cost of acquisition without indexation (higher of 8 or 9 ) </t>
  </si>
  <si>
    <t xml:space="preserve">Total deductions (7+12) </t>
  </si>
  <si>
    <t>Balance 6-13 Item 5 (a) of LTCG Schedule of ITR3</t>
  </si>
  <si>
    <t>Cost of acquisition without indexation  (higher of 8 or 9)</t>
  </si>
  <si>
    <t>Total deductions (7+12)</t>
  </si>
  <si>
    <t>Balance (6-13) -Item 8 (a) of LTCG Schedule of ITR3</t>
  </si>
  <si>
    <t>In the nature of  Pass through income\loss</t>
  </si>
  <si>
    <t>1bi</t>
  </si>
  <si>
    <t>1bii</t>
  </si>
  <si>
    <t>1biii</t>
  </si>
  <si>
    <t>1biv</t>
  </si>
  <si>
    <t>2bi</t>
  </si>
  <si>
    <t>2bii</t>
  </si>
  <si>
    <t>2biii</t>
  </si>
  <si>
    <t>2biv</t>
  </si>
  <si>
    <t>2bv</t>
  </si>
  <si>
    <t>2bvi</t>
  </si>
  <si>
    <t>2020-21</t>
  </si>
  <si>
    <t xml:space="preserve">Deduction in respect of industrial undertaking located in Jammu &amp; Kashmir or Ladakh [Section 80-IB(4)] </t>
  </si>
  <si>
    <t>Section 111A</t>
  </si>
  <si>
    <t>Section 112A</t>
  </si>
  <si>
    <t>other than section 112A</t>
  </si>
  <si>
    <t>Share of current year loss distributed by Investment fund (8)</t>
  </si>
  <si>
    <t>Investment covered by Section 115UA/115UB
 (2)</t>
  </si>
  <si>
    <t>SL.NO.
(1)</t>
  </si>
  <si>
    <t>Name of business trust/ investment fund
(3)</t>
  </si>
  <si>
    <t>PAN of the business trust/ investment fund
(4)</t>
  </si>
  <si>
    <t>Head of income
(6)</t>
  </si>
  <si>
    <t>SL.NO.
(5)</t>
  </si>
  <si>
    <t>Current year income 
(7)</t>
  </si>
  <si>
    <t>Net Income/ Loss 9=7-8 
(9)</t>
  </si>
  <si>
    <t>TDS on such amount, if any
(10)</t>
  </si>
  <si>
    <t>Details of Income from outside India and tax relief (available only in case of resident)</t>
  </si>
  <si>
    <t>Aadhaar of the spouse</t>
  </si>
  <si>
    <t>Profit and gains from speculative business (3(ii) of table E  of Schedule BP) (enter nil if loss and take the figure to schedule CFL)</t>
  </si>
  <si>
    <t xml:space="preserve">25% of 17(ii) of schedule SI </t>
  </si>
  <si>
    <t>TAN CODES</t>
  </si>
  <si>
    <t>HYD</t>
  </si>
  <si>
    <t>VPN</t>
  </si>
  <si>
    <t>BBN</t>
  </si>
  <si>
    <t>BPL</t>
  </si>
  <si>
    <t>JBP</t>
  </si>
  <si>
    <t>CHE</t>
  </si>
  <si>
    <t>CMB</t>
  </si>
  <si>
    <t>MRI</t>
  </si>
  <si>
    <t>DEL</t>
  </si>
  <si>
    <t>CAL</t>
  </si>
  <si>
    <t>MRT</t>
  </si>
  <si>
    <t>AHM</t>
  </si>
  <si>
    <t>BRD</t>
  </si>
  <si>
    <t>RKT</t>
  </si>
  <si>
    <t>SRT</t>
  </si>
  <si>
    <t>BLR</t>
  </si>
  <si>
    <t>AGR</t>
  </si>
  <si>
    <t>KNP</t>
  </si>
  <si>
    <t>CHN</t>
  </si>
  <si>
    <t>TVD</t>
  </si>
  <si>
    <t>ALD</t>
  </si>
  <si>
    <t>LKN</t>
  </si>
  <si>
    <t>MUM</t>
  </si>
  <si>
    <t>NGP</t>
  </si>
  <si>
    <t>AMR</t>
  </si>
  <si>
    <t>JLD</t>
  </si>
  <si>
    <t>PTL</t>
  </si>
  <si>
    <t>RTK</t>
  </si>
  <si>
    <t>KLP</t>
  </si>
  <si>
    <t>NSK</t>
  </si>
  <si>
    <t>PNE</t>
  </si>
  <si>
    <t>PTN</t>
  </si>
  <si>
    <t>RCH</t>
  </si>
  <si>
    <t>JDH</t>
  </si>
  <si>
    <t>JPR</t>
  </si>
  <si>
    <t>SHL</t>
  </si>
  <si>
    <t>Sl.
No.
(1)</t>
  </si>
  <si>
    <t>Assessment Year
(2)</t>
  </si>
  <si>
    <t>Date of
Filing
(DD/MM/
YYYY)
(3)</t>
  </si>
  <si>
    <t>House
property loss
(4)</t>
  </si>
  <si>
    <t>Loss from speculative business
(6)</t>
  </si>
  <si>
    <t>Loss from Specified business
(7)</t>
  </si>
  <si>
    <t>Short-term
capital loss
(8)</t>
  </si>
  <si>
    <t>Long-term
Capital loss
(9)</t>
  </si>
  <si>
    <t>Loss
from owning
and maintaining race horses
(10)</t>
  </si>
  <si>
    <t>Aadhaar Number of the person</t>
  </si>
  <si>
    <t>Pass Through Income in the nature of Long Term Capital Gain chargeable @ 10% under section 112A</t>
  </si>
  <si>
    <t>Pass Through Income in the nature of Long Term Capital Gain chargeable @ 10%  other than section 112A</t>
  </si>
  <si>
    <t>Aadhaar Number of Buyer(s)</t>
  </si>
  <si>
    <t>Pass Through Income / Loss in the nature of Short Term Capital Gain, chargeable @ 30%</t>
  </si>
  <si>
    <t xml:space="preserve">Pass Through Income / Loss in the nature of Short Term Capital Gain, chargeable at applicable rates </t>
  </si>
  <si>
    <t xml:space="preserve">Total Deduction u/s 54EC/54F </t>
  </si>
  <si>
    <t>4id</t>
  </si>
  <si>
    <t>Pass Through Income  /Loss in the nature of Long Term Capital Gain, chargeable @ 20%</t>
  </si>
  <si>
    <t>a1</t>
  </si>
  <si>
    <t>Pass Through Income/loss in the nature of Long Term Capital Gain, chargeable @ 10% u/s. 112A</t>
  </si>
  <si>
    <t>a2</t>
  </si>
  <si>
    <t>Pass Through Income/loss in the nature of Long Term Capital Gain, chargeable @ 10% - under sections other than u/s. 112A</t>
  </si>
  <si>
    <t>12a1</t>
  </si>
  <si>
    <t>12a2</t>
  </si>
  <si>
    <t>Amount of   LTCG included in B1- B12 but not chargeable to tax or chargeable at special rates in India as per DTAA</t>
  </si>
  <si>
    <t>In case of deduction u/s 54/54B/54D/54EC/54F/54G/54GA/115F give following details</t>
  </si>
  <si>
    <t>LTCG u/s 112A (column 14 of Schedule 112A)</t>
  </si>
  <si>
    <t>B8c</t>
  </si>
  <si>
    <t>LTCG u/s 112A (Column 14 of 115AD(1)(iii) proviso)</t>
  </si>
  <si>
    <t>Long-term Capital Gains on assets at B5 above  (8a-8b)</t>
  </si>
  <si>
    <t>Long-term Capital Gains on assets at B5 above  (5a – 5b)</t>
  </si>
  <si>
    <t>B12(a)i</t>
  </si>
  <si>
    <t>B12(a)(ii)</t>
  </si>
  <si>
    <t>B12(b)</t>
  </si>
  <si>
    <t>PTI_112</t>
  </si>
  <si>
    <t>PTI10_112</t>
  </si>
  <si>
    <t>CheckFor50L</t>
  </si>
  <si>
    <t>PTI 112A</t>
  </si>
  <si>
    <t>Balance_exemption</t>
  </si>
  <si>
    <t>Pti_112a</t>
  </si>
  <si>
    <t>112A and 111A and PTI112A</t>
  </si>
  <si>
    <t>Other than above income</t>
  </si>
  <si>
    <t>Other than 111A/112A income are less than or eual to 2 crore</t>
  </si>
  <si>
    <t>Other than 111A/112A income are more than 2 crore but less than 5 crore</t>
  </si>
  <si>
    <t>Other than 111A/112A income are more than 5 crore</t>
  </si>
  <si>
    <t>Other than 111A/112A income are less than or eual to 2 crore but total income is more than 5 Cr</t>
  </si>
  <si>
    <t>Temp_Surchargerate</t>
  </si>
  <si>
    <t>Surcharge Calculation 2 Crore</t>
  </si>
  <si>
    <t>Surcharge Calculation more than 5 crore</t>
  </si>
  <si>
    <r>
      <rPr>
        <b/>
        <u/>
        <sz val="10"/>
        <color indexed="8"/>
        <rFont val="Times New Roman"/>
        <family val="1"/>
      </rPr>
      <t>Tax on 2 crore</t>
    </r>
    <r>
      <rPr>
        <b/>
        <sz val="10"/>
        <color indexed="8"/>
        <rFont val="Times New Roman"/>
        <family val="1"/>
      </rPr>
      <t>:</t>
    </r>
  </si>
  <si>
    <t>CheckFor2Cr.</t>
  </si>
  <si>
    <t>Tax on 2 crore+excess income  (B)</t>
  </si>
  <si>
    <t>CheckFor5Cr.</t>
  </si>
  <si>
    <r>
      <rPr>
        <b/>
        <u/>
        <sz val="10"/>
        <color indexed="8"/>
        <rFont val="Times New Roman"/>
        <family val="1"/>
      </rPr>
      <t>Tax on 5 crore</t>
    </r>
    <r>
      <rPr>
        <b/>
        <sz val="10"/>
        <color indexed="8"/>
        <rFont val="Times New Roman"/>
        <family val="1"/>
      </rPr>
      <t>:</t>
    </r>
  </si>
  <si>
    <t>Tax on 5 crore+excess income  (B)</t>
  </si>
  <si>
    <t>CalcSurchargeAboveTwoCrore</t>
  </si>
  <si>
    <t>taxOnCutOffInc (including previous slab surcharge i.e 15%</t>
  </si>
  <si>
    <t>surchargeOnAboveTwoCrore</t>
  </si>
  <si>
    <t>CalcSurchargeAboveFiveCrore</t>
  </si>
  <si>
    <t>Deduction under sections 54D/54F/54G/54GA (Specify details in item D below)</t>
  </si>
  <si>
    <t>Date or if filed u/s 92CD enter date of advance pricing agreement</t>
  </si>
  <si>
    <t>Other income &lt;=2cr and Total income  &gt;2cr and &lt;=5cr</t>
  </si>
  <si>
    <t>Other income &gt;2cr and &lt;=5cr and Total income &gt;2cr and &lt;=5cr</t>
  </si>
  <si>
    <t>Other income &lt;=2cr  and Total income &gt;5cr</t>
  </si>
  <si>
    <t>Other income &gt; 2cr and &lt;=5 cr  and  Total income &gt;5cr</t>
  </si>
  <si>
    <t>Other income &gt;5 cr  and  Total income &gt;5cr</t>
  </si>
  <si>
    <t>10%_112A_112APTI</t>
  </si>
  <si>
    <t>5 Cr</t>
  </si>
  <si>
    <t>Pti_112a &amp; 112A</t>
  </si>
  <si>
    <t>Total of 112A and 111A and PTI112A</t>
  </si>
  <si>
    <t>Debits to manufacturing account</t>
  </si>
  <si>
    <t>a2i</t>
  </si>
  <si>
    <t>a2ii</t>
  </si>
  <si>
    <t>a2iii</t>
  </si>
  <si>
    <t xml:space="preserve">Total depreciation on plant and machinery  ( 1a + 1b + 1c +1d) </t>
  </si>
  <si>
    <t xml:space="preserve">Total depreciation ( 1e+2d+3+4+5) </t>
  </si>
  <si>
    <t>Total  ( 1a +1b + 1c +1d)</t>
  </si>
  <si>
    <t>Financial Year in which TDS is deducted
(Col 6)</t>
  </si>
  <si>
    <t>TDS b/f
(Col 7)</t>
  </si>
  <si>
    <t>Deducted in own hands 
(Col 8)</t>
  </si>
  <si>
    <t xml:space="preserve">Deducted in the hands of spouse as per section 5A or any other person as per rule 37BA(2) (if applicable)
(Col 9) </t>
  </si>
  <si>
    <t>Claimed In own hands
(Col 10)</t>
  </si>
  <si>
    <t>Claimed in the hands of spouse as per section 5A or any other person as per rule 37BA(2)(if applicable) 
(Col 11)</t>
  </si>
  <si>
    <t>Gross Amount 
(Col 12)</t>
  </si>
  <si>
    <t>Head of Income
(Col 13)</t>
  </si>
  <si>
    <t xml:space="preserve">Aadhaar No. Of Other Person (If TDS credit related to other person) </t>
  </si>
  <si>
    <t>Aadhaar of other Person</t>
  </si>
  <si>
    <t>SAL.TotalGrossSalary</t>
  </si>
  <si>
    <t>Total 17(1)</t>
  </si>
  <si>
    <t>HRA Sec 13A</t>
  </si>
  <si>
    <t>Max Amount</t>
  </si>
  <si>
    <t>GTI_LIMIT</t>
  </si>
  <si>
    <t>HRA</t>
  </si>
  <si>
    <t>DA or Basic salary</t>
  </si>
  <si>
    <t>Select or null</t>
  </si>
  <si>
    <t>OTHER</t>
  </si>
  <si>
    <t>Pensioner</t>
  </si>
  <si>
    <t>Public SU</t>
  </si>
  <si>
    <t>State Govt</t>
  </si>
  <si>
    <t>Central Govt</t>
  </si>
  <si>
    <t>Basic Salary</t>
  </si>
  <si>
    <t>House Rent Allowance</t>
  </si>
  <si>
    <t>Leave Travel Allowance</t>
  </si>
  <si>
    <t>Accommodation</t>
  </si>
  <si>
    <t>Free meals</t>
  </si>
  <si>
    <t>QVC REALTY CO. LIMITED 0.001% PREF 09AG27</t>
  </si>
  <si>
    <t>DEWAN HOUSING FINANCE CORPORATION LIMITED 5.5 NCD 24SP23 FVRS10LAC</t>
  </si>
  <si>
    <t>INE202B07852</t>
  </si>
  <si>
    <t>DEWAN HOUSING FINANCE CORPORATION LIMITED 10 NCD 25SP23 FVRS10LAC</t>
  </si>
  <si>
    <t>INE202B07845</t>
  </si>
  <si>
    <t>NIPPON INDIA MUTUAL FUND FIXED HORIZON FD XXV SR 11 DIVI PAY 07MY15</t>
  </si>
  <si>
    <t>NIPPON INDIA MUTUAL FUND FIXED HORIZON FD XXV SR 11 DIR DIVPAY 07MY15</t>
  </si>
  <si>
    <t>RAINBOW CHILDREN'S MEDICARE PVT LTD. 0.0001% PREF 12AG31</t>
  </si>
  <si>
    <t>INE961O03012</t>
  </si>
  <si>
    <t>STATE DEVELOPMENT LOAN 16791 TN 12MR24 9.65 FV RS 100</t>
  </si>
  <si>
    <t>IN3120130189</t>
  </si>
  <si>
    <t>STATE DEVELOPMENT LOAN 16759 GUJ 26FB24 9.75 FV RS 100</t>
  </si>
  <si>
    <t>IN1520130171</t>
  </si>
  <si>
    <t>STATE DEVELOPMENT LOAN 16678 AP 16JN24 9.26 FV RS 100</t>
  </si>
  <si>
    <t>IN1020130127</t>
  </si>
  <si>
    <t>PGIM INDIA MUTUAL FUND STRGY DBT FD DIR REG DIVI REINV</t>
  </si>
  <si>
    <t>PGIM INDIA MUTUAL FUND STRGY DBT FD DIR MNTLY DIVI PAY</t>
  </si>
  <si>
    <t>PGIM INDIA MUTUAL FUND STRGY DBT FD DIR QTRLY DIVI PAY</t>
  </si>
  <si>
    <t>PGIM INDIA MUTUAL FUND DWS INFLATN INDEXD BD FD DIR REG DIVI PAY OP</t>
  </si>
  <si>
    <t>PGIM INDIA MUTUAL FUND STRGY DBT FD REG REG DIVI REINV</t>
  </si>
  <si>
    <t>PGIM INDIA MUTUAL FUND STRGY DBT FD REG QTRLY DIVI PAY</t>
  </si>
  <si>
    <t>JAI MAHARASHTRA NAGAR DEVELOPMENT PRIVATE LTD SR-A NCD 16JU16 FVRS780000</t>
  </si>
  <si>
    <t>INE675N07045</t>
  </si>
  <si>
    <t>DEWAN HOUSING FINANCE CORPORATION LIMITED SR-IV(D) RR NCD PERPETUAL FVRS10LAC</t>
  </si>
  <si>
    <t>INE202B08710</t>
  </si>
  <si>
    <t>DEWAN HOUSING FINANCE CORPORATION LIMITED SR-IV(F) RR NCD PERPETUAL FVRS10LAC</t>
  </si>
  <si>
    <t>INE202B08736</t>
  </si>
  <si>
    <t>DEWAN HOUSING FINANCE CORPORATION LIMITED SR-IV(E) RR NCD PERPETUAL FVRS10LAC</t>
  </si>
  <si>
    <t>INE202B08728</t>
  </si>
  <si>
    <t>IARF - II TRUST SCHEME - I SR VI SECURITY RECEIPTS 29MR14</t>
  </si>
  <si>
    <t>INE797O18067</t>
  </si>
  <si>
    <t>STATE DEVELOPMENT LOAN 16786 HAR 12MR24 9.71 FV RS 100</t>
  </si>
  <si>
    <t>IN1620130204</t>
  </si>
  <si>
    <t>STATE DEVELOPMENT LOAN 16784 AP 12MR24 9.71 FV RS 100</t>
  </si>
  <si>
    <t>IN1020130168</t>
  </si>
  <si>
    <t>ENDURANCE INTERNATIONAL GROUP(INDIA) PRIVATE LIMITED  EQ</t>
  </si>
  <si>
    <t>DDE RENEWABLE ENERGY PRIVATE LIMITED 0.001%  PREF 31DC13</t>
  </si>
  <si>
    <t>INE836P03013</t>
  </si>
  <si>
    <t>ADITYA BIRLA FINANCE LIMITED SR-E4 7.6 NCD 19JL22 FVRS10LAC</t>
  </si>
  <si>
    <t>INE860H07FM5</t>
  </si>
  <si>
    <t>NIPPON INDIA MUTUAL FUND DUAL ADV FXD TENR FD V PL E DIR DIVPAY 10AP17</t>
  </si>
  <si>
    <t>INDIAN RENEWABLE ENERGY DEVELOPMENT AGENCY LIMITED SR-IIA 8.55 LOA 13MR29 FVRS1000</t>
  </si>
  <si>
    <t>INE202E07120</t>
  </si>
  <si>
    <t>INDIAN RENEWABLE ENERGY DEVELOPMENT AGENCY LIMITED SR-IB 8.41 LOA 13MR24 FVRS1000</t>
  </si>
  <si>
    <t>INE202E07112</t>
  </si>
  <si>
    <t>INDIAN RENEWABLE ENERGY DEVELOPMENT AGENCY LIMITED SR-IA 8.16 LOA 13MR24 FVRS1000</t>
  </si>
  <si>
    <t>INE202E07104</t>
  </si>
  <si>
    <t>INDIAN RENEWABLE ENERGY DEVELOPMENT AGENCY LIMITED SR-IIIB 8.8 LOA 13MR34 FVRS1000</t>
  </si>
  <si>
    <t>INE202E07153</t>
  </si>
  <si>
    <t>SHRIRAM TRANSPORT FINANCE COMPANY LIMITED SR-C2 9.9 NCD 28NV24 FVRS10LAC</t>
  </si>
  <si>
    <t>INE721A07IR7</t>
  </si>
  <si>
    <t>SYNDICATE BANK 8.95 LOA 02DC24 FVRS10LAC</t>
  </si>
  <si>
    <t>INE667A08013</t>
  </si>
  <si>
    <t>DELIGENTIA ENERGY AND INFRASTRUCTURES PRIVATE LIMITED PREF 06OT26</t>
  </si>
  <si>
    <t>INE514P03065</t>
  </si>
  <si>
    <t>AZURE POWER INFRASTRUCTURE PRIVATE LIMITED 11 NCD 07AG22 FVRS10000</t>
  </si>
  <si>
    <t>INE933T07011</t>
  </si>
  <si>
    <t>OML ENTERTAINMENT PRIVATE LIMITED PREF 22NV31</t>
  </si>
  <si>
    <t>INE419R03030</t>
  </si>
  <si>
    <t>OML ENTERTAINMENT PRIVATE LIMITED PREF 10JN33</t>
  </si>
  <si>
    <t>INE419R03022</t>
  </si>
  <si>
    <t>OML ENTERTAINMENT PRIVATE LIMITED PREF 29JN33</t>
  </si>
  <si>
    <t>INE419R03014</t>
  </si>
  <si>
    <t>ABG SHIPYARD LIMITED 0.01% PREF 26MR16</t>
  </si>
  <si>
    <t>INE067H03012</t>
  </si>
  <si>
    <t>SHUBHI AGRO INDUSTRIES LIMITED SR-1 18 LOA 16NV15 FVRS10000</t>
  </si>
  <si>
    <t>INE010Q07147</t>
  </si>
  <si>
    <t>IMONITOR SOLUTIONS INDIA PRIVATE LIMITED PREF 24OT36</t>
  </si>
  <si>
    <t>INE892X03010</t>
  </si>
  <si>
    <t>YOU BROADBAND INDIA LIMITED EQ NEW FV RS. 10/-</t>
  </si>
  <si>
    <t>TATA MOTORS LIMITED SR-E-26 F9.35 NCD10NV23FVRS10LACLOAUPTO09FB15</t>
  </si>
  <si>
    <t>INE155A08241</t>
  </si>
  <si>
    <t>EARC TRUST - SC 109 SERIES I SECURITY RECEIPTS 30SP14</t>
  </si>
  <si>
    <t>INE478R18018</t>
  </si>
  <si>
    <t>EARC TRUST - SC 108 SERIES I SECURITY RECEIPTS 30SP14</t>
  </si>
  <si>
    <t>INE477R18010</t>
  </si>
  <si>
    <t>EARC TRUST - SC 106 SERIES I SECURITY RECEIPTS 26SP14</t>
  </si>
  <si>
    <t>INE476R18012</t>
  </si>
  <si>
    <t>EARC TRUST - SC 105 SERIES I SECURITY RECEIPTS 29SP14</t>
  </si>
  <si>
    <t>INE475R18014</t>
  </si>
  <si>
    <t>EARC TRUST - SC 103 SERIES I SECURITY RECEIPTS 30SP14</t>
  </si>
  <si>
    <t>INE473R18019</t>
  </si>
  <si>
    <t>EARC TRUST - SC 102 SERIES I SECURITY RECEIPTS 30SP14</t>
  </si>
  <si>
    <t>INE472R18011</t>
  </si>
  <si>
    <t>RELIANCE PROJECT VENTURES AND MANAGEMENT PRIVATE LIMITED 12.52 NCD 09OT17 PPRS3LAC</t>
  </si>
  <si>
    <t>INE423R07017</t>
  </si>
  <si>
    <t>ARCIL -CPS -031 -II TRUST SERIES I SECURITY RECEIPT 28MR14</t>
  </si>
  <si>
    <t>INE404R18014</t>
  </si>
  <si>
    <t>EARC TRUST - SC 101 SERIES I SECURITY RECEIPTS 19SP14</t>
  </si>
  <si>
    <t>INE403R18016</t>
  </si>
  <si>
    <t>RELIANCE INDUSTRIAL INVESTMENTS AND HOLDINGS LIMITED SR-IV OCD 23FB21 FVRS5000</t>
  </si>
  <si>
    <t>INE352H08116</t>
  </si>
  <si>
    <t>RELIANCE INDUSTRIAL INVESTMENTS AND HOLDINGS LIMITED SR-III TRCH-2 OCD 05OT20 FVRS5000</t>
  </si>
  <si>
    <t>INE352H08108</t>
  </si>
  <si>
    <t>RELIANCE INDUSTRIAL INVESTMENTS AND HOLDINGS LIMITED SR-III TRCH-1 OCD 28SP20 FVRS5000</t>
  </si>
  <si>
    <t>INE352H08090</t>
  </si>
  <si>
    <t>RELIANCE INDUSTRIAL INVESTMENTS AND HOLDINGS LIMITED SR-II TRCH-2 OCD 01SP20 FVRS5000</t>
  </si>
  <si>
    <t>INE352H08082</t>
  </si>
  <si>
    <t>RELIANCE INDUSTRIAL INVESTMENTS AND HOLDINGS LIMITED SR-II TRCH-1 OCD 29AG20 FVRS5000</t>
  </si>
  <si>
    <t>INE352H08074</t>
  </si>
  <si>
    <t>RELIANCE INDUSTRIAL INVESTMENTS AND HOLDINGS LIMITED SR-I TRCH-2 OCD 29JU20 FVRS5000</t>
  </si>
  <si>
    <t>INE352H08066</t>
  </si>
  <si>
    <t>MOSHE'S FINE FOODS PRIVATE LIMITED 0.0001% PREF 16FB34</t>
  </si>
  <si>
    <t>INE156P03024</t>
  </si>
  <si>
    <t>PRESCIENT WEALTH MANAGEMENT PRIVATE LIMITED PREF 19JU37</t>
  </si>
  <si>
    <t>INE382R04012</t>
  </si>
  <si>
    <t>EARC TRUST - SC 44 SERIES I SECURITY RECEIPTS 28JU14</t>
  </si>
  <si>
    <t>INE219R18016</t>
  </si>
  <si>
    <t>INVENT/1415/S13/ TRUST SERIES I SECURITY RECEIPTS 08AG14</t>
  </si>
  <si>
    <t>INE218R18018</t>
  </si>
  <si>
    <t>HOUSING DEVELOPMENT FINANCE CORPORATION LTD SR-M 018 9.34 NCD 28AG24 FVRS10LAC</t>
  </si>
  <si>
    <t>INE001A07NB8</t>
  </si>
  <si>
    <t>AMR POWER PRIVATE LIMITED 11 LOA 10AG24 FVRS1LAC</t>
  </si>
  <si>
    <t>INE832K07014</t>
  </si>
  <si>
    <t>HEMAVATHY POWER &amp; LIGHT PRIVATE LIMITED 11 LOA 10AG24 FVRS1LAC</t>
  </si>
  <si>
    <t>INE588N07016</t>
  </si>
  <si>
    <t>SAI SPURTHI POWER PRIVATE LIMITED 11 LOA 10AG24 FVRS1LAC</t>
  </si>
  <si>
    <t>INE508L07018</t>
  </si>
  <si>
    <t>ALCHEMIST - XXVII TRUST MM SECURITY RECEIPTS 31MR14</t>
  </si>
  <si>
    <t>INE855Q18019</t>
  </si>
  <si>
    <t>DEWAN HOUSING FINANCE CORPORATION LIMITED SR-12 (TR-37) 10.7 NCD 12JU24 FVRS10LAC</t>
  </si>
  <si>
    <t>INE202B07AZ6</t>
  </si>
  <si>
    <t>SREI EQUIPMENT FINANCE LIMITED OPT-III 11.4 LOA 10JU24 FVRS10LAC</t>
  </si>
  <si>
    <t>INE872A07TE3</t>
  </si>
  <si>
    <t>INNOVATION TRUST XX MAR 14 SERIES A PTC 20MR14</t>
  </si>
  <si>
    <t>INE836Q15015</t>
  </si>
  <si>
    <t>AU SMALL FINANCE BANK LIMITED 12.41 NCD 30SP20 FVRS10LAC LOA UPTO 4OT13</t>
  </si>
  <si>
    <t>INE949L08129</t>
  </si>
  <si>
    <t>SREI EQUIPMENT FINANCE LTD 11 NCD 27SP20 FVRS10LAC</t>
  </si>
  <si>
    <t>INE881J08250</t>
  </si>
  <si>
    <t>EXPORT IMPORT BANK OF INDIA SR-Q-13 9.75 BD 04OT20 FVRS10LAC</t>
  </si>
  <si>
    <t>INE514E08CW9</t>
  </si>
  <si>
    <t>INDIABULLS ESTATE LIMITED 15 CCD 30NV13 FVRS1000</t>
  </si>
  <si>
    <t>INE434P08016</t>
  </si>
  <si>
    <t>INDIABULLS ESTATE LIMITED 14% PREF 30NV13</t>
  </si>
  <si>
    <t>INE434P03017</t>
  </si>
  <si>
    <t>NSE INVESTMENTS LIMITED 6% PREF 27JU22</t>
  </si>
  <si>
    <t>INE419P03018</t>
  </si>
  <si>
    <t>NSE INVESTMENTS LIMITED 6% PREF 27MR22</t>
  </si>
  <si>
    <t>INE419P03026</t>
  </si>
  <si>
    <t>ATHENA INFRASTRUCTURE LIMITED 15 CCD 30NV13 FVRS1000</t>
  </si>
  <si>
    <t>INE415P08015</t>
  </si>
  <si>
    <t>AIRMID DEVELOPERS LIMITED 15 CCD 30NV13 FVRS1000</t>
  </si>
  <si>
    <t>INE403P08011</t>
  </si>
  <si>
    <t>INDIAN RENEWABLE ENERGY DEVELOPMENT AGENCY LIMITED SR-IIB 8.8 LOA 13MR29 FVRS1000</t>
  </si>
  <si>
    <t>INE202E07138</t>
  </si>
  <si>
    <t>POWER FINANCE CORPORATION LTD. 9.7 BD 21FB24 FVRS10LAC LOA UPTO 20FB14</t>
  </si>
  <si>
    <t>INE134E08FX7</t>
  </si>
  <si>
    <t>ASSOTECH LIMITED SR-1 18 NCD 31MR17 FVRS81818.18</t>
  </si>
  <si>
    <t>INE150Q07034</t>
  </si>
  <si>
    <t>SANRAJ FAMILY VENTURES PRIVATE LIMITED  EQ</t>
  </si>
  <si>
    <t>IL&amp;FS PARADIP REFINERY WATER LIMITED SR-II 1.5 CCD 12AG22 FVRS1CR</t>
  </si>
  <si>
    <t>INE671N08026</t>
  </si>
  <si>
    <t>IL&amp;FS PARADIP REFINERY WATER LIMITED SR-I 1.5 CCD 30JL22 FVRS1CR</t>
  </si>
  <si>
    <t>INE671N08018</t>
  </si>
  <si>
    <t>COCHIN SHIPYARD LIMITED SR-IIB 8.72 LOA 28MR29 FVRS10LAC</t>
  </si>
  <si>
    <t>INE704P07030</t>
  </si>
  <si>
    <t>POWER FINANCE CORPORATION LTD. 9.7 BD 31JN21 FVRS10LAC LOA UPTO 30JN14</t>
  </si>
  <si>
    <t>INE134E07505</t>
  </si>
  <si>
    <t>INNOVATION TRUST XVI DEC 13 SR-A PTC 30DC13</t>
  </si>
  <si>
    <t>INE041Q15012</t>
  </si>
  <si>
    <t>INNOVATION TRUST XV DEC 13 SR-A PTC 30DC13</t>
  </si>
  <si>
    <t>INE040Q15014</t>
  </si>
  <si>
    <t>BANK OF BARODA 9.73 BD 23DC23 FVRS10LAC LOA UPTO 07MR14</t>
  </si>
  <si>
    <t>INE705A08029</t>
  </si>
  <si>
    <t>EXPORT IMPORT BANK OF INDIA SR-Q-25 9.68 BD 17DC20 FVRS10LAC</t>
  </si>
  <si>
    <t>INE514E08DI6</t>
  </si>
  <si>
    <t>AIRMID DEVELOPERS LIMITED 0.0001% PREF 30NV14</t>
  </si>
  <si>
    <t>INE403P03020</t>
  </si>
  <si>
    <t>SOLAPUR YEDESHI TOLLWAY  LIMITED EQ</t>
  </si>
  <si>
    <t>GOBIND SUGAR MILLS LTD. 7% PREF 20SP20</t>
  </si>
  <si>
    <t>INE246E04058</t>
  </si>
  <si>
    <t>GOBIND SUGAR MILLS LTD. 7% PREF 28JU20</t>
  </si>
  <si>
    <t>INE246E04041</t>
  </si>
  <si>
    <t>BHILANGANA HYDRO POWER LIMITED 3% PREF 26JN21</t>
  </si>
  <si>
    <t>INE453I03061</t>
  </si>
  <si>
    <t>INDIAN RAILWAY FINANCE CORPORATION LIMITED 8.48 BD 27NV28 FVRS10LAC LOA UPTO 28NV13</t>
  </si>
  <si>
    <t>INE053F07645</t>
  </si>
  <si>
    <t>INDIAN RAILWAY FINANCE CORPORATION LIMITED 8.35 BD 27NV23 FVRS10LAC LOA UPTO 28NV13</t>
  </si>
  <si>
    <t>INE053F07637</t>
  </si>
  <si>
    <t>INDIAN RENEWABLE ENERGY DEVELOPMENT AGENCY LIMITED SR-IIIA 8.55 LOA 13MR34 FVRS1000</t>
  </si>
  <si>
    <t>INE202E07146</t>
  </si>
  <si>
    <t>PUNJAB NATIONAL BANK 9.65 BD 24FB24 FVRS10LAC LOA UPTO 13MY14</t>
  </si>
  <si>
    <t>INE160A08019</t>
  </si>
  <si>
    <t>CHOLAMANDALAM INVESTMENT AND FIN. CO. LTD 16F RR NCD PERPETUAL FVRS5LAC LOAUPTO 08DC14</t>
  </si>
  <si>
    <t>INE121A08NJ5</t>
  </si>
  <si>
    <t>INVENT/1314/P7/ TRUST SERIES I SECURITY RECEIPT 29MR14</t>
  </si>
  <si>
    <t>INE454Q18011</t>
  </si>
  <si>
    <t>SHIVALAKHA SOLAR ENERGY PRIVATE LIMITED OCD 01JL25 FVRS1LAC</t>
  </si>
  <si>
    <t>INE305P08018</t>
  </si>
  <si>
    <t>BAREILLY HIGHWAYS PROJECT LIMITED 0.01% PREF 07OT34</t>
  </si>
  <si>
    <t>INE719O04145</t>
  </si>
  <si>
    <t>STATE DEVELOPMENT LOAN 16927 KAR 28MY24 9.14 FV RS 100</t>
  </si>
  <si>
    <t>IN1920140010</t>
  </si>
  <si>
    <t>ENERGON POWER RESOURCES PRIVATE LIMITED 0.001% PREF 13JL34</t>
  </si>
  <si>
    <t>INE897P03023</t>
  </si>
  <si>
    <t>ENERGON POWER RESOURCES PRIVATE LIMITED 0.001% PREF 07OT33</t>
  </si>
  <si>
    <t>INE897P03015</t>
  </si>
  <si>
    <t>KWALITY LIMITED WARRANTS 07MY16</t>
  </si>
  <si>
    <t>INE775B13020</t>
  </si>
  <si>
    <t>KWALITY LIMITED WARRANTS 02MY16</t>
  </si>
  <si>
    <t>INE775B13012</t>
  </si>
  <si>
    <t>SUNDARAM FINANCE LIMITED SR-N 52 9.6 NCD 27NV24 FVRS10LAC</t>
  </si>
  <si>
    <t>INE660A08BS8</t>
  </si>
  <si>
    <t>MEXUS EDUCATION PRIVATE LIMITED 8% PREF 16MR21</t>
  </si>
  <si>
    <t>INE588R04022</t>
  </si>
  <si>
    <t>NUCLEAR POWER CORPORATION OF INDIA LIMITED SR-XXIX TRCH-E 8.4 BD 28NV29 FVRS10LAC</t>
  </si>
  <si>
    <t>INE206D08253</t>
  </si>
  <si>
    <t>NUCLEAR POWER CORPORATION OF INDIA LIMITED SR-XXIX TRCH-D 8.4 BD 28NV28 FVRS10LAC</t>
  </si>
  <si>
    <t>INE206D08246</t>
  </si>
  <si>
    <t>NUCLEAR POWER CORPORATION OF INDIA LIMITED SR-XXIX TRCH-C 8.4 BD 28NV27 FVRS10LAC</t>
  </si>
  <si>
    <t>INE206D08238</t>
  </si>
  <si>
    <t>NUCLEAR POWER CORPORATION OF INDIA LIMITED SR-XXIX TRCH-B 8.4 BD 28NV26 FVRS10LAC</t>
  </si>
  <si>
    <t>INE206D08220</t>
  </si>
  <si>
    <t>NUCLEAR POWER CORPORATION OF INDIA LIMITED SR-XXIX TRCH-A 8.4 BD 28NV25 FVRS10LAC</t>
  </si>
  <si>
    <t>INE206D08212</t>
  </si>
  <si>
    <t>EAST WEST PIPELINE PRIVATE LIMITED 9% SERIES II PREF 27OT26</t>
  </si>
  <si>
    <t>INE657I03059</t>
  </si>
  <si>
    <t>JMFARC - CSB CERAMICS SEPTEMBER 2014 -TRUST SERIES I SECURITY RECEIPT 30SP14</t>
  </si>
  <si>
    <t>INE607R18012</t>
  </si>
  <si>
    <t>JMFARC - ICICI BANK JULY 2014 -TRUST SERIES I SECURITY RECEIPT 21JL22</t>
  </si>
  <si>
    <t>INE606R18014</t>
  </si>
  <si>
    <t>JMFARC - LVB CERAMICS SEPTEMBER 2014 -TRUST SERIES I SECURITY RECEIPT 29SP14</t>
  </si>
  <si>
    <t>INE604R18019</t>
  </si>
  <si>
    <t>INVENT/1415/S15 TRUST SERIES I SECURITY RECEIPT 30SP14</t>
  </si>
  <si>
    <t>INE603R18011</t>
  </si>
  <si>
    <t>INVENT/1415/S14 TRUST SERIES I SECURITY RECEIPT 29SP14</t>
  </si>
  <si>
    <t>INE602R18013</t>
  </si>
  <si>
    <t>ASREC - PS 15/2014-15 TRUST SECURITY RECEIPT 29SP14</t>
  </si>
  <si>
    <t>INE599R18011</t>
  </si>
  <si>
    <t>ASREC - PS 14/2014-15 TRUST SECURITY RECEIPT 29SP14</t>
  </si>
  <si>
    <t>INE598R18013</t>
  </si>
  <si>
    <t>SINANN AHF IFMR CAPITAL 2014 SR-A2 PTC 31OT14</t>
  </si>
  <si>
    <t>INE590R15024</t>
  </si>
  <si>
    <t>SINANN AHF IFMR CAPITAL 2014 SR-A1 PTC 31OT14</t>
  </si>
  <si>
    <t>INE590R15016</t>
  </si>
  <si>
    <t>BHILWARA GREEN ENERGY LIMITED SR-1C 11.75 NCD 25AP24 FVRS1000</t>
  </si>
  <si>
    <t>INE030N07035</t>
  </si>
  <si>
    <t>BHILWARA GREEN ENERGY LIMITED SR-1B 11.75 NCD 31DC20 FVRS526.32</t>
  </si>
  <si>
    <t>INE030N07027</t>
  </si>
  <si>
    <t>HDB FINANCIAL SERVICES LIMITED SR- I/1/8 9.55 BD 13NV24 FVRS10LAC</t>
  </si>
  <si>
    <t>INE756I08082</t>
  </si>
  <si>
    <t>GIRNAR SOFTWARE PRIVATE LIMITED 0.0001% SR. A PREF 24SP34</t>
  </si>
  <si>
    <t>INE731P03032</t>
  </si>
  <si>
    <t>GIRNAR SOFTWARE PRIVATE LIMITED 0.0001% SR. A1 PREF 24SP34</t>
  </si>
  <si>
    <t>INE731P03024</t>
  </si>
  <si>
    <t>JASPER ENERGY PRIVATE LIMITED 11 LOA 09NV24 FVRS1LAC</t>
  </si>
  <si>
    <t>INE566L07016</t>
  </si>
  <si>
    <t>ASREC - PS 11/2014-15 TRUST SECURITY RECEIPT 26SP14</t>
  </si>
  <si>
    <t>INE553R18018</t>
  </si>
  <si>
    <t>ASREC - PS 16/2014-15 TRUST SECURITY RECEIPT 29SP14</t>
  </si>
  <si>
    <t>INE552R18010</t>
  </si>
  <si>
    <t>AZURE POWER ERIS PRIVATE LIMITED 11 NCD 19JL22 FVRS10000</t>
  </si>
  <si>
    <t>INE565T07011</t>
  </si>
  <si>
    <t>NIPPON INDIA MUTUAL FUND CRD RSK FD DIR DIV PAYOUT</t>
  </si>
  <si>
    <t>NIPPON INDIA MUTUAL FUND CRD RSK FD DIR DIV REINV</t>
  </si>
  <si>
    <t>NIPPON INDIA MUTUAL FUND CRD RSK FD DIV PAYOUT</t>
  </si>
  <si>
    <t>KOSAMATTAM FINANCE LIMITED SR-VII LOA 07MY20 FVRS1000</t>
  </si>
  <si>
    <t>INE403Q08027</t>
  </si>
  <si>
    <t>KOSAMATTAM FINANCE LIMITED SR-VI 13 LOA 07MY20 FVRS1000</t>
  </si>
  <si>
    <t>INE403Q08019</t>
  </si>
  <si>
    <t>UNITED SEAMLESS TUBULAAR PRIVATE LIMITED SR-B 8.5 BD 31MR22 FVRS10LAC</t>
  </si>
  <si>
    <t>INE378R07047</t>
  </si>
  <si>
    <t>GATI KAUSAR INDIA LIMITED 13.65 NCD 08OT21 FVRS10LAC</t>
  </si>
  <si>
    <t>INE646I07012</t>
  </si>
  <si>
    <t>BANK OF MAHARASHTRA SR-I 9.4 BD 20OT21 FVRS10LAC LOA UPTO 13NV14</t>
  </si>
  <si>
    <t>INE457A09207</t>
  </si>
  <si>
    <t>HINDUSTAN ORGANIC CHEMICALS LIMITED SR-XXI 9.36 BD 28SP17 FVRS10LAC</t>
  </si>
  <si>
    <t>INE048A08024</t>
  </si>
  <si>
    <t>HYPERCITY RETAIL (INDIA) LIMITED 7% PREF 30SP19</t>
  </si>
  <si>
    <t>INE895I04244</t>
  </si>
  <si>
    <t>BHANDARI AUTOMOBILES PRIVATE LIMITED 5 LOA 29JU22 FVRS100</t>
  </si>
  <si>
    <t>INE092Y08014</t>
  </si>
  <si>
    <t>NIPPON INDIA MUTUAL FUND INTERVAL FUND III SR 1 DIR PL  GROWTH OP</t>
  </si>
  <si>
    <t>NIPPON INDIA MUTUAL FUND INTERVAL FUND III SR 1 DIR PL  DIV PAY OP</t>
  </si>
  <si>
    <t>NIPPON INDIA MUTUAL FUND INTERVAL FUND III SR 1 GROWTH OP</t>
  </si>
  <si>
    <t>NIPPON INDIA MUTUAL FUND INTERVAL FUND III SR 1 DIV PAY OP</t>
  </si>
  <si>
    <t>TATA MOTORS FINANCE LIMITED SR-B 10.35 NCD 26SP24 FVRS10LAC</t>
  </si>
  <si>
    <t>INE909H08204</t>
  </si>
  <si>
    <t>ANANDAYA TRADING PVT LTD SR-A OCD 31DC34 FVRS100</t>
  </si>
  <si>
    <t>INE288R08012</t>
  </si>
  <si>
    <t>RURAL ELECTRIFICATION CORPORATION LIMITED SR-XI 5.25 BD 31JL20 FVRS10000</t>
  </si>
  <si>
    <t>INE020B07KL1</t>
  </si>
  <si>
    <t>INE899Q04025</t>
  </si>
  <si>
    <t>LOTUS GREENS CONSTRUCTIONS PRIVATE LIMITED 15 NCD 03AG19 FVRS1CR</t>
  </si>
  <si>
    <t>INE123R07013</t>
  </si>
  <si>
    <t>ZUARI SUGAR AND POWER LIMITED EQ</t>
  </si>
  <si>
    <t>IDBI BANK LIMITED CD 23SP14</t>
  </si>
  <si>
    <t>INE008A16WL4</t>
  </si>
  <si>
    <t>IDBI BANK LIMITED CD 22SP14</t>
  </si>
  <si>
    <t>INE008A16WK6</t>
  </si>
  <si>
    <t>MUTHOOT FINANCE LIMITED SR-IX OPT-XI NCD 04OT20 FVRS1000</t>
  </si>
  <si>
    <t>INE414G08256</t>
  </si>
  <si>
    <t>STATE DEVELOPMENT LOAN 16930 MH 28MY24 9.11 FV RS 100</t>
  </si>
  <si>
    <t>IN2220140031</t>
  </si>
  <si>
    <t>DEWAN HOUSING FINANCE CORPORATION LIMITED SR-XII TRCH-6 10.7 NCD 25SP23 FVRS10LAC</t>
  </si>
  <si>
    <t>INE202B07886</t>
  </si>
  <si>
    <t>DEWAN HOUSING FINANCE CORPORATION LIMITED SR-XII TRCH-5 10.7 NCD 25SP23 FVRS10LAC</t>
  </si>
  <si>
    <t>INE202B07878</t>
  </si>
  <si>
    <t>L &amp; T MUTUAL FUND BALANCED ADVANTAGE FD GROWTH OPEN</t>
  </si>
  <si>
    <t>L &amp; T MUTUAL FUND BALANCE ADVANTAGE FD DIVI REINV OPEN</t>
  </si>
  <si>
    <t>L &amp; T MUTUAL FUND BALANCE ADVANTAGE FD DIVI PAY OPEN</t>
  </si>
  <si>
    <t>NIPPON INDIA MUTUAL FUND CLASSIC BOND FUND DIR QTLY DIV PAY</t>
  </si>
  <si>
    <t>NIPPON INDIA MUTUAL FUND CLASSIC BOND FUND DIR DIV PAY</t>
  </si>
  <si>
    <t>NIPPON INDIA MUTUAL FUND CLASSIC BOND FUND DIR BONUS</t>
  </si>
  <si>
    <t>NIPPON INDIA MUTUAL FUND CLASSIC BOND FUND QTLY DIV REI</t>
  </si>
  <si>
    <t>NIPPON INDIA MUTUAL FUND CLASSIC BOND FUND DIV REI</t>
  </si>
  <si>
    <t>NIPPON INDIA MUTUAL FUND CLASSIC BOND FUND QTLY DIV PAY</t>
  </si>
  <si>
    <t>NIPPON INDIA MUTUAL FUND CLASSIC BOND FUND DIV PAY</t>
  </si>
  <si>
    <t>NIPPON INDIA MUTUAL FUND CLASSIC BOND FUND BONUS</t>
  </si>
  <si>
    <t>NIPPON INDIA MUTUAL FUND CLASSIC BOND FUND GROWTH</t>
  </si>
  <si>
    <t>ISARC-CANARA BANK-I/2013-14 TRUST SECURITY RECEIPTS 28MR14</t>
  </si>
  <si>
    <t>INE797Q18013</t>
  </si>
  <si>
    <t>ISARC-IDBI BANK-II/2013-14 TRUST SECURITY RECEIPTS 27MR14</t>
  </si>
  <si>
    <t>INE796Q18015</t>
  </si>
  <si>
    <t>PEGASUS GROUP TWENTY FOUR TRUST I SECURITY RECEIPTS 27MR22</t>
  </si>
  <si>
    <t>INE795Q18017</t>
  </si>
  <si>
    <t>PHOENIX ARF SCHEME 14 SECURITY RECEIPTS 18DC13</t>
  </si>
  <si>
    <t>INE983P18011</t>
  </si>
  <si>
    <t>PHOENIX ARF SCHEME 13 SECURITY RECEIPTS 19DC13</t>
  </si>
  <si>
    <t>INE982P18013</t>
  </si>
  <si>
    <t>HDFC TRUST 2014 PTC 28MR14</t>
  </si>
  <si>
    <t>INE542Q15019</t>
  </si>
  <si>
    <t>EARC TRUST - SC 285 SEREIES I SECURITY RECEIPTS 28JU17</t>
  </si>
  <si>
    <t>INE248Y18011</t>
  </si>
  <si>
    <t>PARAS - VJBPF - 028 TRUST SECURITY RECEIPT 29MR14</t>
  </si>
  <si>
    <t>INE584Q18015</t>
  </si>
  <si>
    <t>PARAS - IOBPF - 027 TRUST SECURITY RECEIPT 29MR14</t>
  </si>
  <si>
    <t>INE582Q18019</t>
  </si>
  <si>
    <t>ASREC - PS 05/2013-14 TRUST SECURITY RECEIPTS 26MR14</t>
  </si>
  <si>
    <t>INE600Q18019</t>
  </si>
  <si>
    <t>WARDAR AHF IFMR CAPITAL 2014 SR-A2 PTC 31MR14</t>
  </si>
  <si>
    <t>INE599Q15027</t>
  </si>
  <si>
    <t>WARDAR AHF IFMR CAPITAL 2014 SR-A1 PTC 31MR14</t>
  </si>
  <si>
    <t>INE599Q15019</t>
  </si>
  <si>
    <t>BCIL ZED RIA PROPERTIES PRIVATE LIMITED 18 LOA 01OT17 FVRS100</t>
  </si>
  <si>
    <t>INE439Q07015</t>
  </si>
  <si>
    <t>STATE DEVELOPMENT LOAN 16768 WB 26FB24 9.85 FV RS 100</t>
  </si>
  <si>
    <t>IN3420130194</t>
  </si>
  <si>
    <t>STATE DEVELOPMENT LOAN 16814 AP 26MR24 9.48 FV RS 100</t>
  </si>
  <si>
    <t>IN1020130176</t>
  </si>
  <si>
    <t>RAJGREEN HOSPITALITY LIMITED 0.01% PREF 09NV19</t>
  </si>
  <si>
    <t>INE508U03026</t>
  </si>
  <si>
    <t>DEWAN HOUSING FINANCE CORPORATION LIMITED SR-XII (TR-11) 10.7 NCD 05FB24 FVRS10LAC</t>
  </si>
  <si>
    <t>INE202B07944</t>
  </si>
  <si>
    <t>DEWAN HOUSING FINANCE CORPORATION LIMITED SR-XII (TR-10) 10.8 NCD 05FB29 FVRS10LAC</t>
  </si>
  <si>
    <t>INE202B07936</t>
  </si>
  <si>
    <t>DEWAN HOUSING FINANCE CORPORATION LIMITED SR-XII (TR-12) 10.7 NCD 05FB21 FVRS10LAC</t>
  </si>
  <si>
    <t>INE202B07951</t>
  </si>
  <si>
    <t>RURAL ELECTRIFICATION CORPORATION LIMITED SR-4B 8.54 BD 11OT28 FVRS10LAC</t>
  </si>
  <si>
    <t>INE020B07HV6</t>
  </si>
  <si>
    <t>RURAL ELECTRIFICATION CORPORATION LIMITED SR-4A 8.18 BD 11OT23 FVRS10LAC</t>
  </si>
  <si>
    <t>INE020B07HU8</t>
  </si>
  <si>
    <t>PROLIFICS CORPORATION LIMITED 0.001% SR B PREF 18SP32</t>
  </si>
  <si>
    <t>INE631L03025</t>
  </si>
  <si>
    <t>PROLIFICS CORPORATION LIMITED 0.001% SR A PREF 18SP32</t>
  </si>
  <si>
    <t>INE631L03017</t>
  </si>
  <si>
    <t>HOUSING AND URBAN DEVELOPMENT CORPORATION LIMITED SR-1BTRCHII8.76BD13JN24FVRS1000 LOA UPTO3AP14</t>
  </si>
  <si>
    <t>INE031A07998</t>
  </si>
  <si>
    <t>HOUSING AND URBAN DEVELOPMENT CORPORATION LIMITED SR-3A TRCH-II8.76BD13JN34FVRS1000LOAUPTO3AP14</t>
  </si>
  <si>
    <t>INE031A07980</t>
  </si>
  <si>
    <t>HOUSING AND URBAN DEVELOPMENT CORPORATION LIMITED SR2ATRCHII8.58 BD13JN29 FVRS1000 LOAUPTO3AP14</t>
  </si>
  <si>
    <t>INE031A07972</t>
  </si>
  <si>
    <t>HOUSING AND URBAN DEVELOPMENT CORPORATION LIMITED SR1ATRCHII8.51 BD13JN24 FVRS1000LOA UPTO3AP14</t>
  </si>
  <si>
    <t>INE031A07964</t>
  </si>
  <si>
    <t>HOUSING AND URBAN DEVELOPMENT CORPORATION LIMITED SR-3BTRCH-II9.01BD13JN34 FVRS1000LOAUPTO3AP14</t>
  </si>
  <si>
    <t>INE031A07AB2</t>
  </si>
  <si>
    <t>HOUSING AND URBAN DEVELOPMENT CORPORATION LIMITED SR-2BTRCH-II8.83BD13JN29FVRS1000LOAUPTO3AP14</t>
  </si>
  <si>
    <t>INE031A07AA4</t>
  </si>
  <si>
    <t>STATE DEVELOPMENT LOAN 16544 TN 06NV23 9.37 FV RS 100</t>
  </si>
  <si>
    <t>IN3120130130</t>
  </si>
  <si>
    <t>PGIM INDIA MUTUAL FUND MIDCAP OPPORTUNITIES FUND REGULAR DIV TRAF OP</t>
  </si>
  <si>
    <t>PGIM INDIA MUTUAL FUND MIDCAP OPPORTUNITIES FUND REGULAR DIVI REI OP</t>
  </si>
  <si>
    <t>PGIM INDIA MUTUAL FUND MIDCAP OPPORTUNITIES FUND DIRECT DIVI REIN OP</t>
  </si>
  <si>
    <t>PGIM INDIA MUTUAL FUND MIDCAP OPPORTUNITIES FUND DIRECT DIVI PAY OP</t>
  </si>
  <si>
    <t>PGIM INDIA MUTUAL FUND MIDCAP OPPORTUNITIES FUND DIRECT GROWTH OPEN</t>
  </si>
  <si>
    <t>PGIM INDIA MUTUAL FUND MIDCAP OPPORTUNITIES FUND REGULAR DIVI PAY OP</t>
  </si>
  <si>
    <t>PGIM INDIA MUTUAL FUND MIDCAP OPPORTUNITIES FUND REGULAR GROWTH OPEN</t>
  </si>
  <si>
    <t>RELIANCE CAPITAL LIMITED SR-T 10.19 LOA 25NV23 FVRS10LAC</t>
  </si>
  <si>
    <t>INE013A08317</t>
  </si>
  <si>
    <t>ALKE IFMR CAPITAL 2014 SR-A2 PTC 28FB14</t>
  </si>
  <si>
    <t>INE327Q15023</t>
  </si>
  <si>
    <t>STATE DEVELOPMENT LOAN 16618 AP 18DC23 9.52 FV RS 100</t>
  </si>
  <si>
    <t>IN1020130101</t>
  </si>
  <si>
    <t>ESSAR POWER HAZIRA LIMITED RR PREF 27MR34</t>
  </si>
  <si>
    <t>INE248L03069</t>
  </si>
  <si>
    <t>SHUBHI AGRO INDUSTRIES LIMITED SR-3 16 LOA 27AP17 FVRS1LAC</t>
  </si>
  <si>
    <t>INE010Q07097</t>
  </si>
  <si>
    <t>YES BANK LIMITED RR BD 14AG25 FVRS10LAC</t>
  </si>
  <si>
    <t>INE528G08154</t>
  </si>
  <si>
    <t>MAHANAGAR TELEPHONE NIGAM LIMITED. 8.29 BD 28NV24 FVRS10LAC LOA UPTO 07DC14</t>
  </si>
  <si>
    <t>INE153A08071</t>
  </si>
  <si>
    <t>STATE DEVELOPMENT LOAN 17119 AP 10SP24 9.08 FV RS 100</t>
  </si>
  <si>
    <t>IN1020140043</t>
  </si>
  <si>
    <t>NHPC LIMITED 8.54 BD 26NV29 FVRS1LAC LOA UPTO 18FB15</t>
  </si>
  <si>
    <t>INE848E07781</t>
  </si>
  <si>
    <t>NHPC LIMITED 8.54 BD 26NV28 FVRS1LAC LOA UPTO 18FB15</t>
  </si>
  <si>
    <t>INE848E07773</t>
  </si>
  <si>
    <t>NHPC LIMITED 8.54 BD 26NV26 FVRS1LAC LOA UPTO 18FB15</t>
  </si>
  <si>
    <t>INE848E07757</t>
  </si>
  <si>
    <t>NHPC LIMITED 8.54 BD 26NV25 FVRS1LAC LOA UPTO 18FB15</t>
  </si>
  <si>
    <t>INE848E07740</t>
  </si>
  <si>
    <t>NHPC LIMITED 8.54 BD 26NV24 FVRS1LAC LOA UPTO 18FB15</t>
  </si>
  <si>
    <t>INE848E07732</t>
  </si>
  <si>
    <t>NHPC LIMITED 8.54 BD 26NV23 FVRS1LAC LOA UPTO 18FB15</t>
  </si>
  <si>
    <t>INE848E07724</t>
  </si>
  <si>
    <t>NHPC LIMITED 8.54 BD 26NV22 FVRS1LAC LOA UPTO 18FB15</t>
  </si>
  <si>
    <t>INE848E07716</t>
  </si>
  <si>
    <t>NHPC LIMITED 8.54 BD 26NV21 FVRS1LAC LOA UPTO 18FB15</t>
  </si>
  <si>
    <t>INE848E07708</t>
  </si>
  <si>
    <t>NHPC LIMITED 8.54 BD 26NV20 FVRS1LAC LOA UPTO 18FB15</t>
  </si>
  <si>
    <t>INE848E07690</t>
  </si>
  <si>
    <t>GREEN INFRA WIND FARM ASSETS LIMITED 12 NCD 30DC23 FVRS10LAC</t>
  </si>
  <si>
    <t>INE542N07013</t>
  </si>
  <si>
    <t>HDB FINANCIAL SERVICES LIMITED SR- I/1/9 9.55 BD 15NV24 FVRS10LAC</t>
  </si>
  <si>
    <t>INE756I08090</t>
  </si>
  <si>
    <t>LABOURNET SERVICES INDIA PRIVATE LIMITED 10.5 LOA 07AP17 FVRS10LAC</t>
  </si>
  <si>
    <t>INE593R07017</t>
  </si>
  <si>
    <t>MADHYA PRADESH FINANCIAL CORPORATION SR-I 9.2 LOA 19NV24 FVRS1LAC</t>
  </si>
  <si>
    <t>INE348F08043</t>
  </si>
  <si>
    <t>BAJAJ FINANCE LIMITED SR-111 9.36 NCD 18NV24 FVRS10LAC</t>
  </si>
  <si>
    <t>INE296A07EG2</t>
  </si>
  <si>
    <t>IFCI LIMITED SR-VII NCD 01DC24 FVRS1000 LOA UPTO 17MY15</t>
  </si>
  <si>
    <t>INE039A07819</t>
  </si>
  <si>
    <t>IFCI LIMITED SR-VI 9.9 NCD 01DC24 FVRS1000 LOA UPTO 17MY15</t>
  </si>
  <si>
    <t>INE039A07801</t>
  </si>
  <si>
    <t>IFCI LIMITED SR-V NCD 01DC21 FVRS1000 LOA UPTO 17MY15</t>
  </si>
  <si>
    <t>INE039A07793</t>
  </si>
  <si>
    <t>IFCI LIMITED SR-IV 9.9 NCD 01DC21 FVRS1000 LOA UPTO 17MY15</t>
  </si>
  <si>
    <t>INE039A07785</t>
  </si>
  <si>
    <t>SHUBHI AGRO INDUSTRIES LIMITED SR-1 18 LOA 16NV15 FVRS1LAC</t>
  </si>
  <si>
    <t>INE010Q07139</t>
  </si>
  <si>
    <t>STATE DEVELOPMENT LOAN 16113 WB 20MR23 8.66 FV RS 100</t>
  </si>
  <si>
    <t>IN3420120153</t>
  </si>
  <si>
    <t>STATE DEVELOPMENT LOAN 16849 TN 10AP24 9.63 FV RS 100</t>
  </si>
  <si>
    <t>IN3120140014</t>
  </si>
  <si>
    <t>AZURE RENEWABLE ENERGY PRIVATE LIMITED 9.6 NCD 28OT22 FVRS10000</t>
  </si>
  <si>
    <t>INE173Y07014</t>
  </si>
  <si>
    <t>L&amp;T HOUSING FINANCE LIMITED SR-J OPT-3 9.45 NCD 06NV21 FVRS25LAC</t>
  </si>
  <si>
    <t>INE476M07263</t>
  </si>
  <si>
    <t>LUXURY FARMS PRIVATE LIMITED 12% PREF 30MR24</t>
  </si>
  <si>
    <t>INE373R04037</t>
  </si>
  <si>
    <t>LUXURY FARMS PRIVATE LIMITED 14% PREF 13JU22</t>
  </si>
  <si>
    <t>INE373R04029</t>
  </si>
  <si>
    <t>LUXURY FARMS PRIVATE LIMITED 12% PREF 29MR19</t>
  </si>
  <si>
    <t>INE373R04011</t>
  </si>
  <si>
    <t>RENEW WIND ENERGY (JAMB) PVT. LTD. 0.0001% PREF 22JU34</t>
  </si>
  <si>
    <t>INE361P04010</t>
  </si>
  <si>
    <t>WADHWA RESIDENCY PRIVATE LIMITED SR-A 20 CCD 01AG21 FVRS100</t>
  </si>
  <si>
    <t>INE261Q08011</t>
  </si>
  <si>
    <t>UNITED SEAMLESS TUBULAAR PRIVATE LIMITED SR-A 8.5 BD 31MR21 FVRS10LAC</t>
  </si>
  <si>
    <t>INE378R07039</t>
  </si>
  <si>
    <t>ORIENTAL BANK OF COMMERCE 9.2 BD 27OT24 FVRS10LAC</t>
  </si>
  <si>
    <t>INE141A08019</t>
  </si>
  <si>
    <t>STATE DEVELOPMENT LOAN 17105 WB 27AG24 9.10 FV RS 100</t>
  </si>
  <si>
    <t>IN3420140060</t>
  </si>
  <si>
    <t>STATE DEVELOPMENT LOAN 16429 HAR 11SP23 9.50 FV RS 100</t>
  </si>
  <si>
    <t>IN1620130071</t>
  </si>
  <si>
    <t>POWER GRID CORPORATION OF INDIA LIMITED 8.93 BD 20OT29 FVRS10LAC LOA UPTO 24FB15</t>
  </si>
  <si>
    <t>INE752E07MD6</t>
  </si>
  <si>
    <t>POWER GRID CORPORATION OF INDIA LIMITED 8.93 BD 20OT28 FVRS10LAC LOA UPTO 24FB15</t>
  </si>
  <si>
    <t>INE752E07MC8</t>
  </si>
  <si>
    <t>POWER GRID CORPORATION OF INDIA LIMITED 8.93 BD 20OT27 FVRS10LAC LOA UPTO 24FB15</t>
  </si>
  <si>
    <t>INE752E07MB0</t>
  </si>
  <si>
    <t>POWER GRID CORPORATION OF INDIA LIMITED 8.93 BD 20OT26 FVRS10LAC LOA UPTO 24FB15</t>
  </si>
  <si>
    <t>INE752E07MA2</t>
  </si>
  <si>
    <t>POWER GRID CORPORATION OF INDIA LIMITED 8.93 BD 20OT25 FVRS10LAC LOA UPTO 24FB15</t>
  </si>
  <si>
    <t>INE752E07LZ1</t>
  </si>
  <si>
    <t>POWER GRID CORPORATION OF INDIA LIMITED 8.93 BD 20OT24 FVRS10LAC LOA UPTO 24FB15</t>
  </si>
  <si>
    <t>INE752E07LY4</t>
  </si>
  <si>
    <t>POWER GRID CORPORATION OF INDIA LIMITED 8.93 BD 20OT23 FVRS10LAC LOA UPTO 24FB15</t>
  </si>
  <si>
    <t>INE752E07LX6</t>
  </si>
  <si>
    <t>POWER GRID CORPORATION OF INDIA LIMITED 8.93 BD 20OT22 FVRS10LAC LOA UPTO 24FB15</t>
  </si>
  <si>
    <t>INE752E07LW8</t>
  </si>
  <si>
    <t>POWER GRID CORPORATION OF INDIA LIMITED 8.93 BD 20OT21 FVRS10LAC LOA UPTO 24FB15</t>
  </si>
  <si>
    <t>INE752E07LV0</t>
  </si>
  <si>
    <t>POWER GRID CORPORATION OF INDIA LIMITED 8.93 BD 20OT20 FVRS10LAC LOA UPTO 24FB15</t>
  </si>
  <si>
    <t>INE752E07LU2</t>
  </si>
  <si>
    <t>YEDESHI AURANGABAD TOLLWAY  LIMITED EQ</t>
  </si>
  <si>
    <t>RELIANCE HOME FINANCE LIMITED SR-M/37 BR NCD 28JN21 FVRS5LAC</t>
  </si>
  <si>
    <t>INE217K07AT8</t>
  </si>
  <si>
    <t>IARF - II TRUST SCHEME - I SR VIII SECURITY RECEIPTS 14OT14</t>
  </si>
  <si>
    <t>INE797O18083</t>
  </si>
  <si>
    <t>DOLVI MINERALS &amp; METALS PRIVATE LIMITED NCD 22OT19 PPRS5LAC</t>
  </si>
  <si>
    <t>INE392R08012</t>
  </si>
  <si>
    <t>POWER FINANCE CORPORATION LTD. SR-120 B 8.98 BD 08OT24 FVRS10LAC</t>
  </si>
  <si>
    <t>INE134E08GL0</t>
  </si>
  <si>
    <t>POWER FINANCE CORPORATION LTD. SR-120 A 8.98 BD 08OT24 FVRS10LAC</t>
  </si>
  <si>
    <t>INE134E08GK2</t>
  </si>
  <si>
    <t>RELIANCE CAPITAL LIMITED SR-B/265 TYPE IV BR NCD 02FB18 FVRS1LAC</t>
  </si>
  <si>
    <t>INE013A07F12</t>
  </si>
  <si>
    <t>KRISHNA BHAGYA JALA NIGAM LIMITED SR-B 9.13 BD 30SP24 FVRS10LAC</t>
  </si>
  <si>
    <t>INE990D07304</t>
  </si>
  <si>
    <t>IFCI VENTURE CAPITAL FUNDS LIMITED SR-III 10.8 LOA 10OT24 FVRS10LAC</t>
  </si>
  <si>
    <t>INE727M09083</t>
  </si>
  <si>
    <t>REXNORD ELECTRONICS &amp; CONTROLS LTD WARRANTS 22MR16</t>
  </si>
  <si>
    <t>INE687C13017</t>
  </si>
  <si>
    <t>ALCHEMIST - XXVI TRUST SECURITY RECEIPTS 30JU14</t>
  </si>
  <si>
    <t>INE387R18011</t>
  </si>
  <si>
    <t>ARCIL - AST - 038-I- TRUST SERIES I SECURITY RECEIPTS 30JU14</t>
  </si>
  <si>
    <t>INE386R18013</t>
  </si>
  <si>
    <t>ARCIL - AST - V TRUST SERIES I SECURITY RECEIPTS 28MR14</t>
  </si>
  <si>
    <t>INE385R18015</t>
  </si>
  <si>
    <t>EARC TRUST - SC 28 SR IV SECURITY RECEIPTS 04AG14</t>
  </si>
  <si>
    <t>INE374Q18045</t>
  </si>
  <si>
    <t>EARC TRUST - SC 52 SERIES II SECURITY RECEIPTS 16JL14</t>
  </si>
  <si>
    <t>INE333R18023</t>
  </si>
  <si>
    <t>IL&amp;FS FINANCIAL SERVICES LIMITED SR-III 9.65 NCD 18SP19 FVRS1000</t>
  </si>
  <si>
    <t>INE121H07AH3</t>
  </si>
  <si>
    <t>VATIKA LIMITED 0.001% PREF 31DC15</t>
  </si>
  <si>
    <t>INE790J03023</t>
  </si>
  <si>
    <t>ESSAR POWER LIMITED 0.01% PREF 31AG24</t>
  </si>
  <si>
    <t>INE538F03172</t>
  </si>
  <si>
    <t>KSS LIMITED OCD 31MR15 FVRS1LAC</t>
  </si>
  <si>
    <t>INE216D08039</t>
  </si>
  <si>
    <t>ISIN Description</t>
  </si>
  <si>
    <t>ISIN</t>
  </si>
  <si>
    <t>PTI_LTCG10P112A</t>
  </si>
  <si>
    <t>115AD 10%</t>
  </si>
  <si>
    <t>115AD 15% and PTI 15%</t>
  </si>
  <si>
    <t>115AD 30%</t>
  </si>
  <si>
    <t>10% 115AD</t>
  </si>
  <si>
    <t>30%115AD_PTI</t>
  </si>
  <si>
    <t>10%115AD</t>
  </si>
  <si>
    <t>15%115AD</t>
  </si>
  <si>
    <t>(SELECT)</t>
  </si>
  <si>
    <t>234A Lakh check</t>
  </si>
  <si>
    <t>State check</t>
  </si>
  <si>
    <t>234C Quarter check</t>
  </si>
  <si>
    <t>From sale of land or building or both (fill up details separately for each property) (in case of co-ownership, enter your share of capital gain)</t>
  </si>
  <si>
    <t xml:space="preserve">Assets and Liabilities at the end of the year(Other than those included in Part A BS)(applicable in a case where total income exceeds Rs.50 lakh)
</t>
  </si>
  <si>
    <t>Details of Tax Collected at Source (TCS) [As per Form 27D issued by the Collector(s)]</t>
  </si>
  <si>
    <t>Deduction in respect of profits of an undertaking referred to in section 80-IA(4)(v) [Revival of power generating plant] and deduction in respect of  profits of an undertaking referred to in section 80-IA(4)(vi) [Cross-country natural gas distribution network]</t>
  </si>
  <si>
    <t xml:space="preserve">Deduction in the case of an undertaking operating a cold chain facility [Section 80-IB(11)]  </t>
  </si>
  <si>
    <t xml:space="preserve">Deduction in respect of industrial undertaking located in Sikkim   </t>
  </si>
  <si>
    <t xml:space="preserve">Total of deduction for undertakings located in North-east (Total of da 1  to dg 2 ) </t>
  </si>
  <si>
    <t>Total deduction under section 80-IC or 80-IE   (a+b+c+dh)</t>
  </si>
  <si>
    <t>80-IE</t>
  </si>
  <si>
    <t>Deduction in respect of industrial undertaking located in Uttaranchal</t>
  </si>
  <si>
    <t>Assessment Year          (2)</t>
  </si>
  <si>
    <t>Net Agricultural income for the year (i – ii – iii+iv) (enter nil if loss)</t>
  </si>
  <si>
    <t>Sec 10(12A)-Any payment from the National Pension System Trust to an assessee</t>
  </si>
  <si>
    <t>Sec 10(12B)-Any payment from the National Pension System Trust to an Central Govt. Employee</t>
  </si>
  <si>
    <t>Schedule 115AD(1)(iii) proviso</t>
  </si>
  <si>
    <t>Depreciation (available only if income offered in 1.C of "schedule OS")</t>
  </si>
  <si>
    <t>Medical Expenditure (This deduction can be claimed on which health insurance is not claimed at (i) above)</t>
  </si>
  <si>
    <t>Aadhaar of the proprietorship</t>
  </si>
  <si>
    <t>Total Deduction under Part C (total of  p to x)</t>
  </si>
  <si>
    <t>Total deductions under Chapter VI-A (1 + 2 + 3)</t>
  </si>
  <si>
    <t>On [(2f) – (17(ii)  + 2(ii) +3(ii)+9(ii)+12(ii)+22(ii)+24(ii) of schedule SI )]</t>
  </si>
  <si>
    <t>From sale of land or building or both (fill up details separately for each property)(in case of co-ownership, enter your share of Capital Gain)</t>
  </si>
  <si>
    <t>Health and Education Cess  on (2f+2giv)</t>
  </si>
  <si>
    <t>Gross tax liability (2f+2giv+2h)</t>
  </si>
  <si>
    <t>TDS (total of column 5 of 18B and column 9 of 17C )</t>
  </si>
  <si>
    <t>Bank Account Details</t>
  </si>
  <si>
    <t>PTI_115A(1)(a)(iia)- Interest received by non-resident from infrastructure debt fund</t>
  </si>
  <si>
    <t>Information regarding partnership firms in which you are partner anytime during the previous year</t>
  </si>
  <si>
    <t>Income from house property (4 of Schedule-HP) (enter nil if loss)</t>
  </si>
  <si>
    <t>Balance after set off current year losses (6 - 7) (total of serial no (ii) to (xv) of column 5 of Schedule CYLA+5b +3iv)</t>
  </si>
  <si>
    <t>Gross Total income (8 - 9) (total of serial no (i) to (xii) of column 5 of Schedule BFLA + 5b + 3iv )</t>
  </si>
  <si>
    <t>Part-B, CA and D of Chapter VI-A [(1 + 3) of Schedule VI-A and limited upto](i5+ii5+iii5+iv5+v5+viii5+xiii5+xiv5 of BFLA]</t>
  </si>
  <si>
    <t>04099-Recycling of non- metal waste and scrap</t>
  </si>
  <si>
    <t>06005-Construction and maintenance of roads, rails, bridges, tunnels, ports, harbor, runways etc.</t>
  </si>
  <si>
    <t>07001-Purchase, sale and letting of leased buildings (residential and non-residential)</t>
  </si>
  <si>
    <t>07002-Operating of real estate of self-owned buildings (residential and non-residential)</t>
  </si>
  <si>
    <t>09015-Wholesale of other textile fibers</t>
  </si>
  <si>
    <t>10001-Hotels – Star rated</t>
  </si>
  <si>
    <t>10002-Hotels – Non-star rated</t>
  </si>
  <si>
    <t>10007-Restaurants – with bars</t>
  </si>
  <si>
    <t>10008-Restaurants – without bars</t>
  </si>
  <si>
    <t>16020-Film Artist</t>
  </si>
  <si>
    <t>18002-Speciality and super Speciality hospitals</t>
  </si>
  <si>
    <t>20023_1-Sports Management</t>
  </si>
  <si>
    <t>21006-Astrological and spiritualists’ activities</t>
  </si>
  <si>
    <t>21008_1-Event Management</t>
  </si>
  <si>
    <t>16019_1-Medical Profession</t>
  </si>
  <si>
    <t>Total Deduction under Part CA and D (total of  I,ii and iii)</t>
  </si>
  <si>
    <t>Pass through income/Loss in the nature of income from other sources chargeable at special rates</t>
  </si>
  <si>
    <t>PTI_115A(1)(b)-Income from royalty or fees for technical services received from Government or Indian concern - chargeable u/s 115A(1)(b)</t>
  </si>
  <si>
    <t>IFS Code of the bank in case of Bank Account held in India</t>
  </si>
  <si>
    <t xml:space="preserve">Whether assessee is exercising option under subsection 2A of section 92CE 
[If yes , please fill schedule TPSA]         
</t>
  </si>
  <si>
    <t>Nature of Exempt Allowance</t>
  </si>
  <si>
    <t xml:space="preserve">80IC / 80IE  (e of Schedule 80-IC/ 80-IE) - Special provisions in respect of certain undertakings or enterprises in certain special category States/Special provisions in respect of certain undertakings in North-Eastern States
Note: values in the latest statutory forms avaliable at the time of processing the return to be adopted </t>
  </si>
  <si>
    <t>80QQB - Royalty income of authors of certain books.
Note: This deduction shall be allowed only if Form 10CCD and return is filed by the assessee within due date</t>
  </si>
  <si>
    <t>80RRB - Royalty on patents
Note: This deduction shall be allowed only if the assessee has filed Form 10CCE and return within due date</t>
  </si>
  <si>
    <t>HP_PTI</t>
  </si>
  <si>
    <t>9iii</t>
  </si>
  <si>
    <t>TOTAL</t>
  </si>
  <si>
    <t>47i</t>
  </si>
  <si>
    <t>47ii</t>
  </si>
  <si>
    <t>If (di) is Yes, whether the accounts have been audited u/s. 92E?</t>
  </si>
  <si>
    <t>d(i)</t>
  </si>
  <si>
    <t>Whether have you furnished such other audit report?</t>
  </si>
  <si>
    <t xml:space="preserve">Have you got audited under the selected Act other than the Income-tax Act? </t>
  </si>
  <si>
    <t>115A(1)(b)- Income from royalty or fees for technical services received from Government or Indian concern - chargeable u/s 115A(1)(b)</t>
  </si>
  <si>
    <r>
      <t xml:space="preserve">Navigation : </t>
    </r>
    <r>
      <rPr>
        <b/>
        <sz val="11"/>
        <rFont val="Times New Roman"/>
        <family val="1"/>
      </rPr>
      <t xml:space="preserve"> </t>
    </r>
  </si>
  <si>
    <r>
      <t xml:space="preserve">Calculate Tax : </t>
    </r>
    <r>
      <rPr>
        <b/>
        <sz val="11"/>
        <rFont val="Times New Roman"/>
        <family val="1"/>
      </rPr>
      <t xml:space="preserve"> </t>
    </r>
  </si>
  <si>
    <r>
      <rPr>
        <b/>
        <sz val="11"/>
        <rFont val="Times New Roman"/>
        <family val="1"/>
      </rPr>
      <t>Note:
If ITR is uploaded with DSC, the Return Filing process is complete. The return will be further processed and the Assessee will be notified accordingly. Please check your emails on these notifications.
OR
The return is not uploaded with a DSC, an ITR-V Form should be printed, signed and submitted to CPC, Bangalore using Ordinary Post or Speed Post ONLY within 120 days from the date of e-Filing. On receipt of the ITR-V at CPC, the return will be further processed and the Assessee will be notified accordingly. Please check your emails on these notifications.</t>
    </r>
  </si>
  <si>
    <t>Amount deemed to be short term capital gains u/s 54B/54D/54G/54GA, other than at ‘a’</t>
  </si>
  <si>
    <t>Details of health insurance for deduction under Section 80D</t>
  </si>
  <si>
    <t>Schedule for  Transfer Pricing Secondary Adjustment</t>
  </si>
  <si>
    <t>00001-Share of Income from firm only</t>
  </si>
  <si>
    <t>Long-term Capital Gains on assets at 7 above in case of NON-REESIDENT (7c – 7d)</t>
  </si>
  <si>
    <t>24-ODISHA</t>
  </si>
  <si>
    <t>7Z3mxclnABiXtYG</t>
  </si>
  <si>
    <t>No Zip Code?</t>
  </si>
  <si>
    <t>Whether section 92E is applicable to firm? (Y/ N)</t>
  </si>
  <si>
    <t>Capital balance as
 on 31st March in
the firm</t>
  </si>
  <si>
    <t>Whether the firm is Liable for 
Audit? (Y/ N)</t>
  </si>
  <si>
    <t>Amount of
share
in profit</t>
  </si>
  <si>
    <t>25-PUDUCHERRY</t>
  </si>
  <si>
    <t>Agricultural income portion relating to Rule 7, 7A, 7B(1), 7B(1A) and 8 (from Sl. No. 39 of Sch. BP)</t>
  </si>
  <si>
    <t xml:space="preserve">Deduction in the case of an undertaking engaged in processing, preservation and packaging of fruits and vegetables , meat, meat products, poultry, marine or dairy products [Section 80-IB(11A)]   </t>
  </si>
  <si>
    <t>Not applicable ( only in case TDS is deducted u/s 194N)</t>
  </si>
  <si>
    <t>Assessment year in which unit begins to manufacture/produce / provide services</t>
  </si>
  <si>
    <t>(Col 1a)</t>
  </si>
  <si>
    <t>Share/Unit acquired</t>
  </si>
  <si>
    <t>If the long term capital asset was acquired before 01.02.2018, Lower of 6 &amp; 11</t>
  </si>
  <si>
    <t>Total Fair Market Value as on 31st January, 2018 of capital asset as per section 55(2)(ac)- (4*10)</t>
  </si>
  <si>
    <t xml:space="preserve">Full Value of Consideration
If shares/units are acquired on or before 31st January, 2018 (Total Sale Value) (4*5) or  If  shares/units are acquired after 31st January, 2018 - Please enter Full Value of Consideration </t>
  </si>
  <si>
    <t>Details of Tax Deducted at Source (TDS) on Income [As per Form 16B/16C/16D furnished issued  by Deductor(s)]</t>
  </si>
  <si>
    <t xml:space="preserve">PAN of the buyer/ Tenant/ Deductor  </t>
  </si>
  <si>
    <t>Aadhaar of the buyer/ Tenant/ Deductor  (Col (4))</t>
  </si>
  <si>
    <t>PincodeList</t>
  </si>
  <si>
    <t>Bac Value</t>
  </si>
  <si>
    <t>Dividend Income</t>
  </si>
  <si>
    <t>Dividend income taxable at DTAA rates</t>
  </si>
  <si>
    <t>Dividend income [other than (ii)]</t>
  </si>
  <si>
    <t>Dividend income u/s 2(22)(e)</t>
  </si>
  <si>
    <t>1ai</t>
  </si>
  <si>
    <t>1aii</t>
  </si>
  <si>
    <t xml:space="preserve">Acknowledgment number  </t>
  </si>
  <si>
    <t>Other than Dividend Income</t>
  </si>
  <si>
    <t>3di</t>
  </si>
  <si>
    <t>3dii</t>
  </si>
  <si>
    <t>Full value of consideration adopted as per section 50C for the purpose of Capital Gains [in case (aii) does not exceed 1.10 times (ai), take this figure as (ai), or else take (aii)]</t>
  </si>
  <si>
    <t>Full value of consideration adopted as per section 50C for the purpose of Capital Gains  [in case (aii) does not exceed 1.10 times (ai), take this figure as (ai), or else take (aii)]</t>
  </si>
  <si>
    <t xml:space="preserve">Amount as adjusted  on account of opting for taxation  under section 115BAC </t>
  </si>
  <si>
    <t>Adjusted Written down value on the first day of previous year   (3) + (3a)</t>
  </si>
  <si>
    <t>Loss from business other than  loss from speculative business and specified business</t>
  </si>
  <si>
    <t>Amount as adjusted on account of opting for taxation u/s 115BAC
(5b)</t>
  </si>
  <si>
    <t>Brought forward Business  Loss available for set off during the year
(5c=5a-5b)</t>
  </si>
  <si>
    <t>Brought forward Business Loss
(5a)</t>
  </si>
  <si>
    <t>2021-22</t>
  </si>
  <si>
    <t>Amount as adjusted on account of opting for taxation u/s 115BAC (3a)</t>
  </si>
  <si>
    <t>TDS credit  being claimed this Year (only if corresponding income is being offered for tax this year. Not applicable if TDS is deducted u/s 194N)</t>
  </si>
  <si>
    <t xml:space="preserve">Dividend </t>
  </si>
  <si>
    <t>2iv</t>
  </si>
  <si>
    <t>2v</t>
  </si>
  <si>
    <t>Total (1 + 2(v) + 3 + 4 + 5)</t>
  </si>
  <si>
    <t xml:space="preserve">Total deduction under section 10AA (a + b)                                                                          </t>
  </si>
  <si>
    <t>Whether books of accounts of spouse is audited u/s 44AB?  or Whether your  spouse  is a  partner of a firm whose accounts are required to be audited u/s 44AB under this Act?</t>
  </si>
  <si>
    <t>Whether books of accounts of spouse is audited u/s 92E? or Whether your spouse is a  partner of a firm whose accounts are required to be audited u/s 92E under this Act?</t>
  </si>
  <si>
    <t>Financial Year</t>
  </si>
  <si>
    <t>Generating the JSON</t>
  </si>
  <si>
    <t>Generate JSON</t>
  </si>
  <si>
    <t>Save JSON</t>
  </si>
  <si>
    <t>Upload the JSON</t>
  </si>
  <si>
    <t xml:space="preserve">Fill the necessary details in applicable schedules and click on 'Calculate Tax' for computation of tax. 
Please make sure you click the 'Calculate Tax' button before generation of JSON.  </t>
  </si>
  <si>
    <t>After all required schedules have been filled ,validated and tax has been calculated (using 'Calculate Tax' buttton), click on Generate JSON which will recheck all sheets.</t>
  </si>
  <si>
    <t>To save the JSON in the desired path, click on the 'Save JSON' button.</t>
  </si>
  <si>
    <t>To upload the saved JSON, Go to https://incometaxindiaefiling.gov.in -&gt; Login -&gt; e-File -&gt; Upload Return.</t>
  </si>
  <si>
    <t>The excel utility can be used for creating the JSON file for efiling of your returns.</t>
  </si>
  <si>
    <t>Once, the data to be submitted for filing your returns is entered into the utility, the Generate JSON button will take you to a validation page.</t>
  </si>
  <si>
    <t>The validation page shows the error free entries that the utility will convert into JSON format when the user clicks on Publish JSON button.</t>
  </si>
  <si>
    <t>The JSON file generated will be placed in the same folder as the Excel utility, and will carry a name ending with your PAN number followed by the file extension.</t>
  </si>
  <si>
    <t>Generating the JSON :</t>
  </si>
  <si>
    <t xml:space="preserve">Click on the 'Generate JSON' button. This will revalidate all the sheets, and direct the user to the confirmation page which shows the various schedules (and the no of rows per schedule) being generated. </t>
  </si>
  <si>
    <t>After successfully generating, a message will be displayed with the name and location of the saved JSON.</t>
  </si>
  <si>
    <t>This JSON can then be uploaded in the efiling portal.</t>
  </si>
  <si>
    <t>Step 2 : Go to the 'Downloads' menu and click the 'Download Prefilled JSON' link. Select the 'Assessment Year' and download the Prefilled JSON in the desired location.</t>
  </si>
  <si>
    <t xml:space="preserve">Step 3 : Open the utility and click on the 'Import Personal/Tax Details from JSON' button. </t>
  </si>
  <si>
    <t>2.Prepare the Income Tax  return using the utility. Validate, Generate and Save the JSON in the desired path.</t>
  </si>
  <si>
    <t>Warning : Rows once added, cannot be deleted. However, if rows are not filled up, they will not be reflected in the generated JSON.</t>
  </si>
  <si>
    <t>4.Select the appropriate ITR, Assessment Year and JSON (using browse button).</t>
  </si>
  <si>
    <t>After filling a row in the table, do not skip a blank row before filling the next row. The utility will stop generating JSON at the point it encounters a blank row. Also, every schedule has either red colored column headers, which must be filled up for a v</t>
  </si>
  <si>
    <r>
      <t xml:space="preserve">Caution to ensure correct generation of JSON as per expectations </t>
    </r>
    <r>
      <rPr>
        <sz val="10"/>
        <rFont val="Times New Roman"/>
        <family val="1"/>
      </rPr>
      <t>: For Schedules such as IT, FBT where the totals are being transferred to Part B, ensure that user does not enter data in the schedules which is incomplete. All rows where amounts are entered</t>
    </r>
  </si>
  <si>
    <t>Generating the JSON and Verification :</t>
  </si>
  <si>
    <t>Once all relevant sheets have been filled up, the user can then click on the "Generate JSON" button. This will validate once again all the sheets, and direct the user to the confirmation page which shows the various schedules listed showing which have been</t>
  </si>
  <si>
    <t>The user can then confirm the same with their actual data, and if ok, click on Save JSON option to finally save the generated JSON to the file system. The system will prompt the user with the name and location of the file saved.</t>
  </si>
  <si>
    <t>Section Code (only for JSON purposes)</t>
  </si>
  <si>
    <r>
      <t xml:space="preserve">Adding more rows : Schedules such as TDS, TCS, IT etc  allow users to enter data in tabular format. Using the 'Add rows' button provided below these tables, the assessee can add as many rows as required.
</t>
    </r>
    <r>
      <rPr>
        <b/>
        <sz val="11"/>
        <rFont val="Times New Roman"/>
        <family val="1"/>
      </rPr>
      <t>Note: Rows once added and not required (or empty rows) should not be deleted, even if they are blank. The utility does not generate JSON for rows left blank.</t>
    </r>
  </si>
  <si>
    <t>d) Generate JSON button, which will be clicked by the user to generate the JSON and validate all the sheets. The validation results are shown on the validate page. If found OK, user may click on Save JSON button which will save the file required for uploadin</t>
  </si>
  <si>
    <t xml:space="preserve">Once verified, the assessee can then click on 'Save JSON' option to generate and save the JSON. </t>
  </si>
  <si>
    <t>Stock options (non-qualified options) other than ESOP in col 16 above.</t>
  </si>
  <si>
    <t>Contribution by employer to fund and scheme taxable under section 17(2)(vii)</t>
  </si>
  <si>
    <t>Annual accretion by way of interest, dividend etc. to the balance at the credit of fund and scheme referred to in section 17(2)(vii) and taxable under section 17(2)(viia)</t>
  </si>
  <si>
    <t>Sec 10(14)(i)-Allowances referred in sub-clauses (a) to (c) of sub-rule (1) in Rule 2BB</t>
  </si>
  <si>
    <t>Sec 10(14)(ii)-Transport allowance granted to certain physically handicapped assessee</t>
  </si>
  <si>
    <t>Whether any amount of unutilized capital gain on asset transferred during the previous years shown below was deposited in the Capital Gains Accounts Scheme within due date for that year?
 If yes, then provide the details below</t>
  </si>
  <si>
    <t>Whether any amount of unutilized capital gain on asset transferred during the previous years shown below was deposited in the Capital Gains Accounts Scheme within due date for that year? 
If yes, then provide the details below</t>
  </si>
  <si>
    <t>5AD1iDiv-Income (being dividend) received by an FII in respect of securities (other than units referred to in section 115AB) - chargeable u/s 115AD(1)(i)</t>
  </si>
  <si>
    <t>5A1aiiaaP-Income received by non-resident as referred in proviso to section 194LC(1)</t>
  </si>
  <si>
    <t>5A1aiiaci-Distributed income being Dividend referred to  in section 194LBA</t>
  </si>
  <si>
    <t>PTI_5A1aiiaaP-PTI -Income received by non-resident as referred in proviso to section 194LC(1)</t>
  </si>
  <si>
    <t>PTI_5A1aiiaci-PTI - Distributed income being Dividend referred to  in section 194LBA</t>
  </si>
  <si>
    <t>PTI_5AD1iDiv-PTI-Income (being dividend) received by an FII in respect of securities (other than units referred to in section 115AB) - chargeable u/s 115AD(1)(i)</t>
  </si>
  <si>
    <t>115A(1)(a)(iiaa)- Income received by non-resident as referred in proviso to section 194LC(1)</t>
  </si>
  <si>
    <t>115A(1)(a)(iiac)- Distributed income being Dividend referred to  in section 194LBA</t>
  </si>
  <si>
    <t>PTI_115A(1)(a)(iiaa)- PTI - Income received by non-resident as referred in proviso to section 194LC(1)</t>
  </si>
  <si>
    <t>PTI_115A(1)(a)(iiac)- PTI - Distributed income being Dividend referred to  in section 194LBA</t>
  </si>
  <si>
    <t>115AD(1)(i)- Income (being dividend) received by an FII in respect of securities (other than units referred to in section 115AB) - chargeable u/s 115AD(1)(i)</t>
  </si>
  <si>
    <t>PTI-115AD(1)(i)- PTI-Income (being dividend) received by an FII in respect of securities (other than units referred to in section 115AB) - chargeable u/s 115AD(1)(i)</t>
  </si>
  <si>
    <t>5A1aiiaaP</t>
  </si>
  <si>
    <t>5A1aiiaci</t>
  </si>
  <si>
    <t>PTI_5A1aiiaaP</t>
  </si>
  <si>
    <t>PTI_5A1aiiaci</t>
  </si>
  <si>
    <t>5AD1iDiv</t>
  </si>
  <si>
    <t>PTI_5AD1iDiv</t>
  </si>
  <si>
    <t>PTI_5AD1iDiv - PTI-Income (being dividend) received by an FII in respect of securities (other than units referred to in section 115AB) - chargeable u/s 115AD(1)(i)</t>
  </si>
  <si>
    <t>5AD1iDiv - Income (being dividend) received by an FII in respect of securities (other than units referred to in section 115AB) - chargeable u/s 115AD(1)(i)</t>
  </si>
  <si>
    <t>5A1aiiaaP - Income received by non-resident as referred in proviso to section 194LC(1)</t>
  </si>
  <si>
    <t>5A1aiiaci - Distributed income being Dividend referred to  in section 194LBA</t>
  </si>
  <si>
    <t>5A1aiiaaP- Income received by non-resident as referred in proviso to section 194LC(1)</t>
  </si>
  <si>
    <t>5A1aiiaci- Distributed income being Dividend referred to  in section 194LBA</t>
  </si>
  <si>
    <t>5AD1iDiv- Income (being dividend) received by an FII in respect of securities (other than units referred to in section 115AB) - chargeable u/s 115AD(1)(i)</t>
  </si>
  <si>
    <t>adp039327</t>
  </si>
  <si>
    <t>Heads of Receipts
(i)</t>
  </si>
  <si>
    <t>Total ( 1e+2d+3+4+5)</t>
  </si>
  <si>
    <t xml:space="preserve">Intangible assets </t>
  </si>
  <si>
    <t>Expenditure on Scientific Research etc. ( Deduction under section 35 or 35CCC or 35CCD)</t>
  </si>
  <si>
    <t>Direct expenses (Di + Dii + Diii)</t>
  </si>
  <si>
    <t>Deductions under section 57 (other than those relating to income chargeable at special rates under 2a, 2b,2d, 2e &amp; 2f)</t>
  </si>
  <si>
    <t>From Deposit (Bank/ Post Office/ Co-operative Society)</t>
  </si>
  <si>
    <t>Corresponding Receipt/withdrawals offered</t>
  </si>
  <si>
    <t>Tax on  income without including  income on perquisites referred  in section 17(2)(vi) received  from employer, being an eligible start-up referred to in section 80-IAC ( Schedule Salary)</t>
  </si>
  <si>
    <t>Tax deferred - relatable to income on perquisites referred  in section 17(2)(vi) received from employer, being an eligible start-up referred to in section 80-IAC</t>
  </si>
  <si>
    <t>Taxpayer Identification Number
(b)</t>
  </si>
  <si>
    <t>Country Code
(a)</t>
  </si>
  <si>
    <t>Long-term chargeable @ 10% (9vi of item E of schedule CG)</t>
  </si>
  <si>
    <t>Long-term chargeable @ 20% (9vii of item E of schedule CG)</t>
  </si>
  <si>
    <t>Long-term chargeable at special rates in india as per DTAA (9viii of item E of Schedule CG)</t>
  </si>
  <si>
    <t>Total Long-Term (bi + bii+ biii) (enter nil if loss)</t>
  </si>
  <si>
    <t>Total Short-term (ai + aii + aiii+aiv) (enter nil if loss)</t>
  </si>
  <si>
    <t>Profit and gains from specified  business(3(iii) of Table E of Schedule BP) (enter nil if loss and take the figure to schedule CFL)</t>
  </si>
  <si>
    <t>Amount disallowable under section 40 (a)(ib), on account of non-compliance with the provisions of Chapter VIII of the Finance Act, 2016</t>
  </si>
  <si>
    <t>If Normal Tax is more than AMT</t>
  </si>
  <si>
    <t>If AMT is more than Normal Tax</t>
  </si>
  <si>
    <t xml:space="preserve">Deferred Tax </t>
  </si>
  <si>
    <t>Surcharge on Deferred Tax</t>
  </si>
  <si>
    <t>Rebate on agriculture income w.r.t deferred tax</t>
  </si>
  <si>
    <t>Education cess</t>
  </si>
  <si>
    <t>Total Deferred Tax</t>
  </si>
  <si>
    <t>Sec 10(17A)-Award instituted by Government</t>
  </si>
  <si>
    <t>5AD1i - 115AD(1)(i) - Income (other than dividend) received by an FII in respect of securities (other than units as per Sec 115AB)</t>
  </si>
  <si>
    <t>PTI_115AD(1)(i)-Income (other than dividend) received by an FII in respect of securities (other than units as per Sec 115AB)</t>
  </si>
  <si>
    <t>115AD(1)(i)-Income (other than dividend) received by an FII in respect of securities (other than units as per Sec 115AB)</t>
  </si>
  <si>
    <t>5AD1i-115AD(1)(i)-Income (other than dividend) received by an FII in respect of securities (other than units referred to in section115AB)</t>
  </si>
  <si>
    <t>Instructions for filling Schedule 112A/115AD(1)(b)(iii)(P)</t>
  </si>
  <si>
    <t>Option 1 – Fill Data directly in utility</t>
  </si>
  <si>
    <t>Enter all the required details. To add rows select "Add" and update the details. To delete rows select the row which is to be deleted and then click on "Delete".</t>
  </si>
  <si>
    <t>Click on "Save" to go back to schedule 112A/115AD(1)(b)(iii)(P).</t>
  </si>
  <si>
    <t xml:space="preserve">This option is useful when there are limited number of entries in this schedule . </t>
  </si>
  <si>
    <t>Option 2 – Upload through CSV</t>
  </si>
  <si>
    <t>Download the template through the link.</t>
  </si>
  <si>
    <t>Click on the template; provide a file name to save the CSV.</t>
  </si>
  <si>
    <t>Update the data as per the headings provided in the CSV template (Refer instructions below to fill the csv file).</t>
  </si>
  <si>
    <t>Save the date and upload the CSV file in the utility.</t>
  </si>
  <si>
    <t>Maintaining data consistency is important to avoid errors upon upload.</t>
  </si>
  <si>
    <t>Instructions to fill csv file:</t>
  </si>
  <si>
    <t>For the first column, referring to column 1a of schedule 112A in the return, ‘Share/Unit acquired’, enter the value ‘BE’ if the share/unit was acquired on or before 31st January 2018. If share/unit was acquired after 31st January 2018, enter value ‘AE’.</t>
  </si>
  <si>
    <t>For column 2 ‘ISIN Code’, enter alphanumeric value and first two characters should start with ‘IN’. In case security/Share does not have ISIN Code, enter "INNOTAVAILAB".
If in 1a, ‘AE’ is entered, enter ‘INNOTREQUIRD’.</t>
  </si>
  <si>
    <t>For column 3 ‘Name of the Share/Unit’, input should contain only alphanumeric values without any special characters. If in 1a, ‘AE’ entered, enter ‘CONSOLIDATED’.</t>
  </si>
  <si>
    <t>Column 4 ‘No. of Shares/Units field’ should be numeric, non- negative and decimals are allowed upto 4 digits. If in 1a, ‘AE’ is entered, leave this field as blank.</t>
  </si>
  <si>
    <t>Column 5 ‘Sale-price per Share/Unit’ should be numeric, non- negative and decimals are allowed upto 4 digits. If in 1a, ‘AE’ is entered, leave this field as blank.</t>
  </si>
  <si>
    <t>Column 6 ‘Full Value of Consideration (Total Sale Value)’ should be equal to the value at sl. No. 4 multiplied by sl. No. 5 (4*5) if ‘BE’ is entered in 1a. Value should be rounded off to the nearest unit.
If in 1a ‘AE’ is entered, enter full value of consideration.</t>
  </si>
  <si>
    <t xml:space="preserve">Column 7 ‘Cost of acquisition without indexation’, entered value should be higher of value mentioned in Column 8 [‘Cost of acquisition’] and Column 9 [“If the long-term capital asset was acquired before 01.02.2018, lower of 11 &amp; 6”].  </t>
  </si>
  <si>
    <t>Column 8 ‘Cost of acquisition’ field should be numeric, non- negative and decimals are allowed upto 4 digits.</t>
  </si>
  <si>
    <t>Column 9 ‘If the long-term capital asset was acquired before 01.02.2018, (i.e., if entry in col 1 is “BE”) lower of 11 &amp; 6’ [field should be lower of value mentioned in column 11‘Total Fair Market Value of capital asset as per section 55(2) (ac)’ and in column 6 ‘Full Value Consideration’].</t>
  </si>
  <si>
    <t>Column 10 ‘Fair Market Value per share/unit as on 31st January,2018’ should be numeric, non- negative and decimals are allowed upto 4 digits. If in 1a, ‘AE’ is entered, leave this field as blank.</t>
  </si>
  <si>
    <t>Column 11 ‘Total Fair Market Value of capital asset as per section 55(2) (ac)’ field should be equal to value at column 4 ‘No. of Shares/Units’ multiply by Column 10 ‘Fair Market Value per share/unit as on 31st January,2018’. Value should be rounded off to the nearest unit.</t>
  </si>
  <si>
    <t>Column 12 ‘Expenditure wholly and exclusively in connection with transfer’ field should be numeric, non- negative and decimals are allowed upto 4 digits.</t>
  </si>
  <si>
    <t>Column 13 ‘Total deductions (7+12)’ field should be sum of value at column 7 ‘Cost of acquisition without indexation’ and column 12 ‘Expenditure wholly and exclusively in connection with transfer’. Value should be rounded off to the nearest unit.</t>
  </si>
  <si>
    <t>Column 14 ‘Balance (6-13)’ field should be equal to value at column 6 ‘Full Value Consideration’ minus value at column 13 ‘Total deductions (7+12)’. Value should be rounded off to the nearest unit.</t>
  </si>
  <si>
    <t>TAN</t>
  </si>
  <si>
    <t>DELB04661G</t>
  </si>
  <si>
    <t>DELT02549B</t>
  </si>
  <si>
    <t>DELC06166G</t>
  </si>
  <si>
    <t>DELC07086C</t>
  </si>
  <si>
    <t>DELM03741D</t>
  </si>
  <si>
    <t>DELM03913A</t>
  </si>
  <si>
    <t>DELM05988D</t>
  </si>
  <si>
    <t>DELM07773D</t>
  </si>
  <si>
    <t>DELM08406G</t>
  </si>
  <si>
    <t>DELM08608F</t>
  </si>
  <si>
    <t>DELM08671F</t>
  </si>
  <si>
    <t>DELM08673A</t>
  </si>
  <si>
    <t>DELM08742G</t>
  </si>
  <si>
    <t>DELM08864C</t>
  </si>
  <si>
    <t>DELM08921D</t>
  </si>
  <si>
    <t>DELM09166D</t>
  </si>
  <si>
    <t>DELM09211G</t>
  </si>
  <si>
    <t>DELM09313D</t>
  </si>
  <si>
    <t>DELM09380A</t>
  </si>
  <si>
    <t>DELM09392F</t>
  </si>
  <si>
    <t>DELM09559E</t>
  </si>
  <si>
    <t>DELM09671E</t>
  </si>
  <si>
    <t>DELM09676C</t>
  </si>
  <si>
    <t>DELM09840F</t>
  </si>
  <si>
    <t>DELM09955B</t>
  </si>
  <si>
    <t>DELM10016G</t>
  </si>
  <si>
    <t>DELM10055D</t>
  </si>
  <si>
    <t>DELM10191G</t>
  </si>
  <si>
    <t>DELM10339A</t>
  </si>
  <si>
    <t>DELM10822A</t>
  </si>
  <si>
    <t>DELM11315D</t>
  </si>
  <si>
    <t>DELM18972C</t>
  </si>
  <si>
    <t>MUMA28719F</t>
  </si>
  <si>
    <t>MUMM01255C</t>
  </si>
  <si>
    <t>MUMM02574F</t>
  </si>
  <si>
    <t>MUMM07892D</t>
  </si>
  <si>
    <t>MUMM07998E</t>
  </si>
  <si>
    <t>MUMM14999F</t>
  </si>
  <si>
    <t>MUMM19913F</t>
  </si>
  <si>
    <t>MUMM20872F</t>
  </si>
  <si>
    <t>MUMM21163C</t>
  </si>
  <si>
    <t>MUMM21652B</t>
  </si>
  <si>
    <t>MUMM21777A</t>
  </si>
  <si>
    <t>MUMM22547A</t>
  </si>
  <si>
    <t>MUMM24233G</t>
  </si>
  <si>
    <t>MUMM24632G</t>
  </si>
  <si>
    <t>MUMM24907B</t>
  </si>
  <si>
    <t>MUMM25204E</t>
  </si>
  <si>
    <t>MUMM25936B</t>
  </si>
  <si>
    <t>PNEM10438B</t>
  </si>
  <si>
    <t>aaa</t>
  </si>
  <si>
    <t>Surcharge computed before marginal relief</t>
  </si>
  <si>
    <t>Surcharge after marginal relief</t>
  </si>
  <si>
    <t>Bi</t>
  </si>
  <si>
    <t>Bii</t>
  </si>
  <si>
    <t>Biii</t>
  </si>
  <si>
    <t>Total (Bi + Bii+Biii)</t>
  </si>
  <si>
    <t>2gBiv</t>
  </si>
  <si>
    <t>115AD(1)(i) -Income (other than dividend) received by an FII in respect of securities (other than units as per Sec 115AB)</t>
  </si>
  <si>
    <t>PTI_115AD(1)(i)- Income (other than dividend) received by an FII in respect of securities (other than units referred to in section115AB)</t>
  </si>
  <si>
    <t>10% or 15%, as applicable of 2(ii),3(ii), 9(ii), 12(ii), 22(ii), 24(ii), Dividend income u/s 115AD(1)(a) of Schedule SI and Dividend income included in Part B TI</t>
  </si>
  <si>
    <t>K1</t>
  </si>
  <si>
    <t>K2</t>
  </si>
  <si>
    <t>Surcharge_IncomeEH</t>
  </si>
  <si>
    <t>Surcharge_IncomeEH2</t>
  </si>
  <si>
    <t>Surcharge_RateEH</t>
  </si>
  <si>
    <t>TaxAtNormalRate</t>
  </si>
  <si>
    <t>Net Block (1a – 1b)</t>
  </si>
  <si>
    <t>Xi(a)</t>
  </si>
  <si>
    <t>Xi(b)</t>
  </si>
  <si>
    <t>new</t>
  </si>
  <si>
    <t>56(2)(i)-Dividends</t>
  </si>
  <si>
    <t>5BB-Winnings from lotteries crossword puzzles etc.[S.115BB]</t>
  </si>
  <si>
    <t>Surcharge Rate</t>
  </si>
  <si>
    <t>56(2)(x)-Income under section 56(2)(x).</t>
  </si>
  <si>
    <t>Through a/c payee cheque or a/c payee bank draft or bank electronic clearing system received before specified date or other prescribed electronic modes before specified date</t>
  </si>
  <si>
    <t>Bad debts (Specify PAN/ Aadhaar No. of the person, if available, for whom Bad Debt for amount of ₹ 1 lakh or more is claimed and amount)</t>
  </si>
  <si>
    <t>Utilisation of AMT credit Available (Sum of AMT credit utilized during the current year is subject to maximum of amount mentioned in 3 above and cannot exceed the sum of AMT Credit Brought Forward)</t>
  </si>
  <si>
    <t>diii) If liable to furnish other audit report, mention the date of furnishing the audit report? (DD/MM/YY) (Please see Instruction 5)</t>
  </si>
  <si>
    <t>d(ii)</t>
  </si>
  <si>
    <t>Part-C of Chapter VI-A [(2 of Schedule VI-A]</t>
  </si>
  <si>
    <t>Gross Profit from Business/Profession - transferred to Profit and Loss account (6-7-8-9-10xii-11)</t>
  </si>
  <si>
    <t>Total(i+ii+iii)</t>
  </si>
  <si>
    <t>Total (1+2)</t>
  </si>
  <si>
    <t xml:space="preserve">* Note: Assessment Year in Col (2) is mandatory </t>
  </si>
  <si>
    <t xml:space="preserve">Building (not including land) </t>
  </si>
  <si>
    <t xml:space="preserve"> Others (more than Rs. 1 lakh or more) where PAN/ Aadhaar No. is not available,  (provide name and complete address)</t>
  </si>
  <si>
    <t>Through a/c payee cheque or a/c payee bank draft or bank electronic clearing system received or other prescribed electronic modes before specified date</t>
  </si>
  <si>
    <t xml:space="preserve">PTI_115A(1)(a)(iiaa)-Interest as referred in proviso to section 194LC(1) </t>
  </si>
  <si>
    <t>PTI_115A(1)(a)(iiaa)-Interest as referred in proviso to section 194LC(1)</t>
  </si>
  <si>
    <t>5A1aiiaa - 115A(1) (a)(iiaa) - Interest as referred in proviso to section 194LC(1)</t>
  </si>
  <si>
    <t>115A(1)(a)(iiaa)-Interest as referred in proviso to section 194LC(1)</t>
  </si>
  <si>
    <t>5A1aiiaa-115A(1)(a)(iiaa)-Income received by non-resident as referred in section 194LC(1)</t>
  </si>
  <si>
    <t>da</t>
  </si>
  <si>
    <t>db</t>
  </si>
  <si>
    <t>dc</t>
  </si>
  <si>
    <t>dd</t>
  </si>
  <si>
    <t>de</t>
  </si>
  <si>
    <t>df</t>
  </si>
  <si>
    <t>dg</t>
  </si>
  <si>
    <t>dh</t>
  </si>
  <si>
    <t>If filed, in response to a notice u/s 139(9)/142(1)/148 or order u/s 119(2)(b), enter
Unique Number/Document Identification Number and date of such notice/order, or if filed u/s
92CD enter date of advance pricing agreement</t>
  </si>
  <si>
    <t>Assessment Year 2022-23</t>
  </si>
  <si>
    <t>BALANCE SHEET AS ON 31ST DAY OF MARCH, 2022(fill items 1 to 5 in a case where regular books of accounts are maintained, otherwise fill item 6)</t>
  </si>
  <si>
    <t>Manufacturing Account  for the financial year   2021-22 (fill items 1 to 3 in a case where regular books of accounts are maintained, otherwise fill items 61 to 64 as applicable)</t>
  </si>
  <si>
    <t>Part A-Trading Account -Trading Account  for the financial year 2021-22 (fill items 4 to 12 in a case where regular books of accounts are maintained, otherwise fill items 61 to 64 as applicable)</t>
  </si>
  <si>
    <t>Profit and Loss Account for the previous year 2021-22(fill items 1 to 52 in a case where regular books of accounts are maintained, otherwise fill item 53)</t>
  </si>
  <si>
    <t>2022-23</t>
  </si>
  <si>
    <t>Have you opted for new tax regime u/s 115BAC and filed Form 10IE  in  AY 2021-22 ?</t>
  </si>
  <si>
    <t xml:space="preserve">
Option for current assessment year</t>
  </si>
  <si>
    <t>Continue to opt</t>
  </si>
  <si>
    <t>Opt out</t>
  </si>
  <si>
    <t>Opting in now</t>
  </si>
  <si>
    <t>Not opting</t>
  </si>
  <si>
    <t>RngBacYes</t>
  </si>
  <si>
    <t>RngBacNo</t>
  </si>
  <si>
    <t>RngNone</t>
  </si>
  <si>
    <t>Old Bac Value</t>
  </si>
  <si>
    <t>In the case of non-resident, is there a Significant Economic Presence (SEP) in India</t>
  </si>
  <si>
    <t>please provide details of
(a)   aggregate of payments arising from the transaction or transactions during the previous year as referred in Explanation 2A(a) to Section 9(1)(i)</t>
  </si>
  <si>
    <t>(b)  number of users in India as referred in Explanation 2A(b) to Section 9(1)(i)</t>
  </si>
  <si>
    <t>Whether assessee is declaring income only under section 44AE/44B/44BB/44AD/44ADA/44BBA</t>
  </si>
  <si>
    <t xml:space="preserve">If  No , Whether during the year Total sales/turnover/gross receipts of business is between Rs. 1 crores and Rs. 10 crores? </t>
  </si>
  <si>
    <t xml:space="preserve">If Yes is selected at a2i, whether aggregate of all amounts received including amount received for sales, turnover or gross receipts or on capital account like capital contributions, loans etc.  during the previous year, in cash &amp; non-a/c payee cheque/DD, does not exceed five per cent of said amount </t>
  </si>
  <si>
    <t xml:space="preserve">If Yes is selected at a2i, whether aggregate of all payments made including amount incurred for expenditure or on capital account such as asset acquisition, repayment of loans etc.,  in cash &amp; non-a/c payee cheque/DD,  during the previous year does not exceed five per cent of the said payment  </t>
  </si>
  <si>
    <t>No, turnover exceeds 10 crores</t>
  </si>
  <si>
    <t>No, turnover does not exceed 1 crore</t>
  </si>
  <si>
    <t>PortugueseCodeNew</t>
  </si>
  <si>
    <t>Part A-Manufacturing  Account- Manufacturing Account  for the financial year   2021-22 (fill items 1 to 3 in a case where regular books of accounts are maintained, otherwise fill items 61 to 65 as applicable)</t>
  </si>
  <si>
    <t>Part A-Trading Account -Trading Account  for the financial year 2021-22 (fill items 4 to 12 in a case where regular books of accounts are maintained, otherwise fill items 61 to 65 as applicable)</t>
  </si>
  <si>
    <t>Profit and Loss Account for the financial year 2021-22 (fill items 13 to 60 in a case where regular books of accounts are maintained, otherwise fill items 61 to 65 as applicable)</t>
  </si>
  <si>
    <t>IF  REGULAR BOOKS OF ACCOUNT OF BUSINESS OR PROFESSION ARE NOT MAINTAINED, furnish the following information for previous year 2021-22 in respect of business or profession-</t>
  </si>
  <si>
    <t>Any sum payable as interest on any loan or borrowing from a deposit taking non-banking financial company or systemically important non-deposit taking non-banking financial company, in accordance with the terms and conditions of the agreement governing such loan or borrowing</t>
  </si>
  <si>
    <t>TDS of the current financial Year (TDS deducted during the FY 2021-22)</t>
  </si>
  <si>
    <t>Net agricultural income/ any other income for rate purpose ( 2v of Schedule EI)</t>
  </si>
  <si>
    <t>Section 89A</t>
  </si>
  <si>
    <t>Amount of primary adjustment on which option u/s 92CE(2A) is exercised &amp; such excess money has not been repatriated within the prescribed time (please indicate the total of adjustments made in respect of all the Ays)</t>
  </si>
  <si>
    <t>Tax under section 115JC in assessment year 2022-23 (1d of Part-B-TTI)</t>
  </si>
  <si>
    <t>Tax under other provisions of the Act in assessment year 2022-23 (2i of Part-B-TTI)</t>
  </si>
  <si>
    <t>Adjusted Total Income u/s 115JC from units located in IFSC, if any</t>
  </si>
  <si>
    <t>Adjusted Total Income u/s 115JC from other Units (3-3a)</t>
  </si>
  <si>
    <t>Tax payable under section 115JC  [9% of 3a + 18.5% of 3b](if 3 is greater than Rs. 20 lakhs)</t>
  </si>
  <si>
    <t>Parents Including Senior Citizen</t>
  </si>
  <si>
    <t>Self &amp; Family Including Senior Citizen</t>
  </si>
  <si>
    <t>Note: As per sec.10AA(1), the deduction will be available up to assessment year 2022-23.</t>
  </si>
  <si>
    <t>2022-23 (Current year losses to be carried forward)</t>
  </si>
  <si>
    <t>Capital gains/ loss under section 50 (5 + 8 -3-4 -7 -19)  (Enter negative only if block ceases to exist)</t>
  </si>
  <si>
    <t>Amount on which depreciation at full rate to be allowed (3 + 4 -5)  (Enter 0, if result is negative)</t>
  </si>
  <si>
    <t>Income from speculative business(40+41-42) (if loss, take the figure to 6xv of schedule CFL)</t>
  </si>
  <si>
    <t xml:space="preserve">Income from Specified Business (47-48) (if loss, take the figure to 7xv of schedule CFL) </t>
  </si>
  <si>
    <t>CG-Pensioners</t>
  </si>
  <si>
    <t>SG-Pensioners</t>
  </si>
  <si>
    <t>PSU-Pensioners</t>
  </si>
  <si>
    <t>Others-Pensioners</t>
  </si>
  <si>
    <t>Gross Salary (1a + 1b + 1c + 1d + 1e)</t>
  </si>
  <si>
    <t>Exempt income received by a judge covered under the payment of salaries to Supreme Court/High Court judges Act /Rules</t>
  </si>
  <si>
    <t>Income from retirement benefit account maintained in a notified country u/s 89A</t>
  </si>
  <si>
    <t>Canada</t>
  </si>
  <si>
    <t xml:space="preserve">Fair market value as per Rule 11UAE(2) </t>
  </si>
  <si>
    <t xml:space="preserve">Fair market value as per Rule 11UAE(3) </t>
  </si>
  <si>
    <t xml:space="preserve">Full value of consideration  (higher of ai or aii)  </t>
  </si>
  <si>
    <t>Short term capital gains from slump sale (2aiii-2b)</t>
  </si>
  <si>
    <t xml:space="preserve">Full value of consideration (higher of ai or aii)  </t>
  </si>
  <si>
    <t>Balance (2aiii - 2b)</t>
  </si>
  <si>
    <t>Interest accrued on contributions to provident fund to the extent taxable as per first proviso to section 10(11)</t>
  </si>
  <si>
    <t>Interest accrued on contributions to provident fund to the extent taxable as per Second proviso to section 10(11)</t>
  </si>
  <si>
    <t xml:space="preserve">Interest accrued on contributions to provident fund to the extent taxable as per first proviso to section 10(12) </t>
  </si>
  <si>
    <t>Interest accrued on contributions to provident fund to the extent taxable as per second proviso to section 10(12)</t>
  </si>
  <si>
    <t>Interest  Gross (bi + bii + biii + biv + bv+bvi+bvii+bviii+bix)</t>
  </si>
  <si>
    <t>Are you required to file a return as per other conditions  prescribed under clause (iv) of seventh proviso to section 139(1)
 (If yes,please furnish following information)</t>
  </si>
  <si>
    <t xml:space="preserve">Whether assessee has a unit in an International Financial Services Centre and derives income solely in convertible foreign exchange? </t>
  </si>
  <si>
    <t>10da</t>
  </si>
  <si>
    <t>income from retirement benefit account maintained in a Country other than notified country u/s 89A"</t>
  </si>
  <si>
    <t>Income claimed for relief from taxation u/s 89A</t>
  </si>
  <si>
    <t>Net Salary (2– 2a - 3)</t>
  </si>
  <si>
    <t>Name(s) of Tenant (s) (if let out)</t>
  </si>
  <si>
    <t>PAN  of Tenant(s) (if available)</t>
  </si>
  <si>
    <t>Aadhaar Number of Tenant (s)</t>
  </si>
  <si>
    <t>Income/ receipts credited to profit and loss account considered under other heads of income or chargeable u/s 115BBF or chargeable u/s 1115BBG</t>
  </si>
  <si>
    <t>Date of purchase/ acquisition</t>
  </si>
  <si>
    <t>Date of sale/transfer</t>
  </si>
  <si>
    <t>Pass Through Income/Loss in the nature of Short Term Capital Gain, (Fill up schedule PTI) (A8a+ A8b + A8c)</t>
  </si>
  <si>
    <t>Cost of improvement</t>
  </si>
  <si>
    <t>Year of Improvement</t>
  </si>
  <si>
    <t>Total (biia + biib + biii)</t>
  </si>
  <si>
    <t>Dividend Income referred in Sl. No. 1a(i)</t>
  </si>
  <si>
    <t>Dividend Income u/s 115A(1)(a)(i)  @ 20% ( Including PTI Income)</t>
  </si>
  <si>
    <t>Dividend Income u/s 115AC   @ 10% (Including PTI Income)</t>
  </si>
  <si>
    <t>Dividend Income u/s 115ACA (1)(a) @ 10% (Including PTI Income)</t>
  </si>
  <si>
    <t>Dividend Income u/s 115A(1)(a)(iiac) @ 10% 
(Including PTI Income)</t>
  </si>
  <si>
    <t>Dividend Income (other than units referred to in section 115AB) u/s 115AD(1)(i) @ 20% (Including PTI Income)</t>
  </si>
  <si>
    <t>Item No.1ai,1b,1c, 1d and 2 in which included</t>
  </si>
  <si>
    <t>Eligible amount of interest expenditure u/s 57(1) – computed value</t>
  </si>
  <si>
    <t>5BBA - 115BBA - Income received by non - residents sportsmen or sports associations</t>
  </si>
  <si>
    <t>5BBF - 115BBF - Income from patent</t>
  </si>
  <si>
    <t>5BBG - 115BBG - Income from Transfer of carbon credits</t>
  </si>
  <si>
    <t xml:space="preserve">5BBG - 115BBG -Income from Transfer of carbon credits   </t>
  </si>
  <si>
    <t>5BBA - 115BBA - Income Received by non - residents sportsmen or sports associations</t>
  </si>
  <si>
    <t>PTI_115BBA-Income received by non-residents sportsmen or sports associations</t>
  </si>
  <si>
    <t>PTI_115BBF- Income from patent</t>
  </si>
  <si>
    <t>PTI_115BBF-Income from patent</t>
  </si>
  <si>
    <t>PTI_115BBG-Income from transfer of carbon credits.</t>
  </si>
  <si>
    <t>PTI_115BBA-Income Received by non-residents sportsmen or sports associations</t>
  </si>
  <si>
    <t>115AC(1)(a)-Income by way of interest from bonds or GDR purchased in foreign currency - non-resident</t>
  </si>
  <si>
    <t>115BBG-Income from transfer of carbon credits.</t>
  </si>
  <si>
    <t>115BBA-Income Received by non-residents sportsmen or sports associations</t>
  </si>
  <si>
    <t>115BBF-Income from patent</t>
  </si>
  <si>
    <t>PTI_5AC1b</t>
  </si>
  <si>
    <t>5AC1b</t>
  </si>
  <si>
    <t>115BBG - Income from transfer of carbon credits</t>
  </si>
  <si>
    <t>115BBA - Income received by non-residents sportsmen or sports associations</t>
  </si>
  <si>
    <t>115BBE - Income referred to in sections 68 or 69 or 69A or 69B or 69C or 69D</t>
  </si>
  <si>
    <t>115BBG-Transfer of carbon credits</t>
  </si>
  <si>
    <t>Pass Through Income/ Loss in the nature of Short Term Capital Gain, chargeable @ 15% other than Section 111A</t>
  </si>
  <si>
    <t>8a2</t>
  </si>
  <si>
    <t>PTI_115BBA-  Income received by non-resident sportsmen or sports associations or entertainer</t>
  </si>
  <si>
    <t>PTI_115BBG- Income from transfer of carbon credits.</t>
  </si>
  <si>
    <t>PTI_115BBE- Income under section 68, 69, 69A, 69B, 69C or 69D</t>
  </si>
  <si>
    <t>Gross tax payable (higher of 1d and 2i) (3a+3b)</t>
  </si>
  <si>
    <t>Tax deferred from earlier years but payable during current AY (Total of col. 7 of schedule Tax Deferred on ESOP)</t>
  </si>
  <si>
    <t>Tax payable after credit under section 115JD (3a + 3c - 4)</t>
  </si>
  <si>
    <t xml:space="preserve">Assessment Year </t>
  </si>
  <si>
    <t xml:space="preserve">Amount of Tax deferred brought forward from earlier AY </t>
  </si>
  <si>
    <t>Such specified security or sweat equity shares were sold</t>
  </si>
  <si>
    <t>Ceased to be the employee of the employer who allotted or transferred such specified security or sweat equity share?  
(5)</t>
  </si>
  <si>
    <t>Forty-eight months have expired from the end of the relevant assessment year in which specified security or sweat equity shares referred to in the said *clause were allotted. If yes, specify date</t>
  </si>
  <si>
    <t xml:space="preserve">Amount of tax payable in the current Assessment Year </t>
  </si>
  <si>
    <t>Balance amount of tax deferred to be carried forward to be next Assessment years Col (3- 7)</t>
  </si>
  <si>
    <t>Tax deferred on ESOP : Information related to Tax deferred - relatable to income on perquisites referred in section 17(2)(vi) received from employer, being an eligible start-up referred to in section 80-IAC"</t>
  </si>
  <si>
    <t>Tax deferred on ESOP</t>
  </si>
  <si>
    <t>Information related to Tax deferred - relatable to income on perquisites referred in section 17(2)(vi) received from employer, being an eligible start-up referred to in section 80-IAC</t>
  </si>
  <si>
    <t>Date of Commencement of Business (DD/MM/YYYY)</t>
  </si>
  <si>
    <t>Date of filing of Form 10IE (DD/MM/YYYY)</t>
  </si>
  <si>
    <t>Date of filing of Original Return (DD/MM/YYYY)</t>
  </si>
  <si>
    <t>Direct Expenses (9i + 9ii + 9iii)</t>
  </si>
  <si>
    <t>Amounts debited to the profit and loss account, to the extent disallowable under section 37 (7J of Part-OI)</t>
  </si>
  <si>
    <t>Amounts debited to the profit and loss account, to the extent disallowable under section 40A (9F of Part-OI)</t>
  </si>
  <si>
    <t>Total (ibi + ibii +ibiii)</t>
  </si>
  <si>
    <t>Dividends, Gross (ai +aii)</t>
  </si>
  <si>
    <t>Income from retirement benefit account maintained in a country other than notified country u/s 89A</t>
  </si>
  <si>
    <t>Any other income chargeable at special rate (total of di to dxx)</t>
  </si>
  <si>
    <t>Expenses / Deductions  other than entered in “C” (in case of other than family pension)</t>
  </si>
  <si>
    <t>Interest expenditure  on dividend u/s 57(1 ) (available only if income offered in 1a)</t>
  </si>
  <si>
    <t>Interest expenditure claimed</t>
  </si>
  <si>
    <t xml:space="preserve">Balance (8a - 8b + 8c + 8d) (if negative take the figure to 10xii of Schedule CFL) </t>
  </si>
  <si>
    <t>Net Income from other sources chargeable at normal applicable rates 1(after reducing income related to DTAA portion)-3+4+5 -5a (If negative take the figure to  4i of schedule CYLA)</t>
  </si>
  <si>
    <t>Total deductions under section  80-IA              
(a1 + a2 )</t>
  </si>
  <si>
    <t xml:space="preserve">Total deduction under section 80-IB (Total of A1 to E2) </t>
  </si>
  <si>
    <t>oi</t>
  </si>
  <si>
    <t>80GGA - Certain donations for scientific research or rural development (Please fill 80GGA Schedule. This field is auto-populated from schedule.)</t>
  </si>
  <si>
    <t>Total Deduction under Part B (total of a to o(i))</t>
  </si>
  <si>
    <t>80IB (F of Schedule 80-IB) - Profits and gains from certain industrial undertakings other than infrastructure development undertakings</t>
  </si>
  <si>
    <t xml:space="preserve">Pass Through Income in the nature of Short Term Capital Gain chargeable @ 15% </t>
  </si>
  <si>
    <t xml:space="preserve">Details of Foreign Depository Accounts held (including any beneficial interest) at any time during the calendar year ending as on 31st December, 2021) </t>
  </si>
  <si>
    <t>Details of Foreign Custodial Accounts held (including any beneficial interest) at any time during the calendar year ending as on 31st December, 2021</t>
  </si>
  <si>
    <t>Details of Foreign Equity and Debt Interest held (including any beneficial interest) in any entity at any time during the calendar year ending as on 31st December, 2021</t>
  </si>
  <si>
    <t>Details of Foreign Cash Value Insurance Contract or Annuity Contract held (including any beneficial interest) at any time during the calendar year ending as on 31st December, 2021</t>
  </si>
  <si>
    <t>Details of Financial Interest in any Entity held (including any beneficial interest) at any time during the calendar year ending as on 31st December, 2021</t>
  </si>
  <si>
    <t>Details of Immovable Property held (including any beneficial interest) at any time during the calendar year ending as on 31st December, 2021</t>
  </si>
  <si>
    <t>Details of any other Capital Asset held (including any beneficial interest) at any time during the calendar year ending as on 31st December, 2021</t>
  </si>
  <si>
    <t>Details of account(s) in which you have signing authority held (including any beneficial interest) at any time during the calendar year ending as on 31st December, 2021 and which has not been included in A to D above.</t>
  </si>
  <si>
    <t>Losses of current year to be carried forward (total of row xv of Schedule CFL)</t>
  </si>
  <si>
    <t>Total (6a + 6b + 6c )</t>
  </si>
  <si>
    <t>Net tax liability (5 – 6d) (Enter 0 if negative)</t>
  </si>
  <si>
    <t>Financial Year in which TDS is deducted
(Col 5)</t>
  </si>
  <si>
    <t>TDS b/f
(Col 6)</t>
  </si>
  <si>
    <t>Deducted in own hands 
(Col 7)</t>
  </si>
  <si>
    <t>Deducted in the hands of spouse as per section 5A or any other person as per rule 37BA(2) (if applicable)
Col (8)</t>
  </si>
  <si>
    <t>Claimed in own hands
(Col 9)</t>
  </si>
  <si>
    <t>Claimed in the hands of spouse as per section 5A or any other person as per rule 37BA(2)(if applicable) 
Col (10)</t>
  </si>
  <si>
    <t>Gross Amount 
(Col 11)</t>
  </si>
  <si>
    <t>Head of Income
(Col 12)</t>
  </si>
  <si>
    <t>Schedule 80GGA</t>
  </si>
  <si>
    <t xml:space="preserve">Details of donations for scientific research or rural development </t>
  </si>
  <si>
    <t>Total amount deemed to be short term capital gains (aXi + aXii + b)</t>
  </si>
  <si>
    <t>Pass Through Income/ Loss in the nature of Short Term Capital Gain, chargeable @ 15%</t>
  </si>
  <si>
    <t>Total short term capital gain (A1e+ A2c+ A3e+A4a+ A4b+ A5e+ A6g +A7 + A8-A9a)</t>
  </si>
  <si>
    <t>Zipcode
(Leave Blank if No Zipcode)</t>
  </si>
  <si>
    <t>ZipCode
(Leave Blank if No Zipcode)</t>
  </si>
  <si>
    <t>Total long term capital gain chargeable under I.T. Act  [B1e +B2e+ B3e +B4e + B5f + B6c + B7e + B8f + B9c+ B9f + B10e + B11 +B12 - B13a]</t>
  </si>
  <si>
    <t>Total deduction claimed ) (1a + 1b + 1c + 1d + 1e + 1f+1g+1h)</t>
  </si>
  <si>
    <t>Pass Through Income/loss in the nature of Long Term Capital Gain,(Fill up schedule PTI) (B12a1+B12a2 + B12b)</t>
  </si>
  <si>
    <t>Total amount deemed to be long-term capital gains (aXi + aXii + b)</t>
  </si>
  <si>
    <t>Long-term Capital Gains on assets at B10 above (10c-10d)</t>
  </si>
  <si>
    <t>You are a citizen of India, who left India, for the purpose of employment, as a member of the crew of an Indian ship and were in India for 182 days or more during the previous year and 365 days or more within the preceding 4 years [Explanation 1(a) of section (6)(1)(c)]</t>
  </si>
  <si>
    <t>You are a citizen of India or a person of Indian origin and have come on a visit to India during the previous year and were in India for a) 182 days or more during the previous year and 365 days or more within the preceding 4 years; or b) 120 days or more during the previous year and 365 days or more within the preceding 4 years if the total income, other than income from foreign sources, exceeds Rs. 15 lakh. [Explanation 1(b) of section (6)(1)(c)]</t>
  </si>
  <si>
    <t>You are a citizen of India or person of Indian origin, who comes on a visit to India, having total income, other than the income from foreign sources, exceeding Rs. 15 lakh and have been in India for 120 days or more but less than 182 days during the previous year [section 6(6)(c)]</t>
  </si>
  <si>
    <t>You are a citizen of India having total income, other than the income from foreign sources, exceeding Rs. 15 lakh during the previous year and not liable to tax in any other country or territory by reason of your domicile or residence or any other criteria of similar nature [section 6(6)(d) read with section 6(1A)]</t>
  </si>
  <si>
    <t>In a case where regular books of account of business or profession are not maintained -furnish the following information as on 31st day of March, 2022, in respect of business or profession)</t>
  </si>
  <si>
    <t>Stock options allotted or transferred by employer being an eligible start-up referred to in section 80-IAC-Tax to be defered</t>
  </si>
  <si>
    <t>Stock options allotted or transferred by employer being an eligible start-up referred to in section 80-IAC-Tax not to be defered</t>
  </si>
  <si>
    <t>Inc 89A</t>
  </si>
  <si>
    <t>Inc 89AOther</t>
  </si>
  <si>
    <t xml:space="preserve">In case any deduction is claimed under sections 35(1)(ii) or 35(1)(iia) or 35(1)(iii) or 35(2AA), please provide the details as per Schedule RA. </t>
  </si>
  <si>
    <t>80GGA</t>
  </si>
  <si>
    <t>Total Cost of Improvement with indexation</t>
  </si>
  <si>
    <t>biia</t>
  </si>
  <si>
    <t>biib</t>
  </si>
  <si>
    <t>ESOP</t>
  </si>
  <si>
    <t>Date of Ceasing
(5i)</t>
  </si>
  <si>
    <t>Note: Leave table blank if specified security or sweat equity shares were not sold</t>
  </si>
  <si>
    <t>Relevant Clause under which deduction is claimed</t>
  </si>
  <si>
    <t>Cost Inflation Index</t>
  </si>
  <si>
    <t>Schedule : ESOP </t>
  </si>
  <si>
    <t>(4i)</t>
  </si>
  <si>
    <t xml:space="preserve"> Total Amount of Table below  (4ii)</t>
  </si>
  <si>
    <t>(4ii)</t>
  </si>
  <si>
    <t xml:space="preserve">Has any of the following events occurred during the previous year relevant to current assessment year    </t>
  </si>
  <si>
    <t>Assessment Year 
i</t>
  </si>
  <si>
    <t xml:space="preserve">Date
(ii) </t>
  </si>
  <si>
    <t xml:space="preserve"> Amount of Tax Attributed out of the sale 
(iii)</t>
  </si>
  <si>
    <t>17A 
IT</t>
  </si>
  <si>
    <t>BALANCE SHEET AS ON 31ST DAY OF MARCH,2022 OR AS ON THE DATE OF CLOSURE OF BUSINESS AS APPLICABLE OF THE PROPRIETORY BUSINESS  OR PROFESSION</t>
  </si>
  <si>
    <t>For other than not opting, please furnish date of filing of form 10-IE along with Acknowledgment number</t>
  </si>
  <si>
    <t>If (b) is Yes, whether the accounts have been audited by an accountant? furnish the following information below</t>
  </si>
  <si>
    <t>United States of America</t>
  </si>
  <si>
    <t>United Kingdom of Great Britain and Northern Ireland</t>
  </si>
  <si>
    <t>80IA (b of Schedule 80-IA) - Profits and gains from industrial undertakings or enterprises engaged in infrastructure development, etc.</t>
  </si>
  <si>
    <t>Income from retirement benefit account maintained in a notified country u/s 89A but not claimed for relief from taxation u/s 89A</t>
  </si>
  <si>
    <t xml:space="preserve">Total  ( ibi + ibii + ibiii) </t>
  </si>
  <si>
    <t>SrNo</t>
  </si>
  <si>
    <t>Date of Commencement</t>
  </si>
  <si>
    <t>Year</t>
  </si>
  <si>
    <t>Month</t>
  </si>
  <si>
    <t>Day</t>
  </si>
  <si>
    <t>BP 234C Calaculation</t>
  </si>
  <si>
    <t>Q1</t>
  </si>
  <si>
    <t>Q2</t>
  </si>
  <si>
    <t>Q3</t>
  </si>
  <si>
    <t>Q4</t>
  </si>
  <si>
    <t>Q5</t>
  </si>
  <si>
    <t>BP Income</t>
  </si>
  <si>
    <t>115AC(1)(a)-Income by way of interest  on bonds purchased in foreign currency</t>
  </si>
  <si>
    <t>5AC1a - 115AC(1)(a) - Income by way of interest  on bonds purchased in foreign currency</t>
  </si>
  <si>
    <t>1bv</t>
  </si>
  <si>
    <t>1bvi</t>
  </si>
  <si>
    <t>1bvii</t>
  </si>
  <si>
    <t>1bviii</t>
  </si>
  <si>
    <t>1bix</t>
  </si>
  <si>
    <t>(ac) developing and building a housing project under a scheme for slum redevelopment or rehabilitation framed by the Central Government or a State Government, as the case may be, and which is notified by the Board in this behalf in accordance</t>
  </si>
  <si>
    <t>(ad) developing and building a housing project under a scheme for affordable housing framed by the Central Government or a State Government, as the case may be, and notified by the Board in this behalf in accordance</t>
  </si>
  <si>
    <t>5AC1a</t>
  </si>
  <si>
    <t>PTI_5AC1a</t>
  </si>
  <si>
    <t>5AC1a - 115AC(1)(a) - Income by way of interest GDR purchased in foreign currency</t>
  </si>
  <si>
    <t>5AC1a-115AC(1)(a)-Income by way of interest GDR purchased in foreign currency</t>
  </si>
  <si>
    <t>115AC(1)(a) - Income by way of interest  on bonds purchased in foreign currency</t>
  </si>
  <si>
    <t>115AC1b -Income by way of dividend  on GDR purchased in foreign currency</t>
  </si>
  <si>
    <t>PTI_115AC(1)(a)-Income by way of interest on bonds purchased in foreign currency - non-resident</t>
  </si>
  <si>
    <t>PTI_5AC1b-PTI -Income by way of Dividend on GDRs purchased in foreign currency - non-resident</t>
  </si>
  <si>
    <t>5BBG - 115BBG -Income from Transfer of carbon credits</t>
  </si>
  <si>
    <t>5AC1abD</t>
  </si>
  <si>
    <t>PTI_5AC1abD</t>
  </si>
  <si>
    <t>5AC1b - 115AC1b - Income by way of Dividend on GDRs purchased in foreign currency - non-resident</t>
  </si>
  <si>
    <t>07/05/2022</t>
  </si>
  <si>
    <t xml:space="preserve">(i) if his total sales, turnover or gross receipts, as the case may be in the business exceeds sixty lakh rupees during the previous year; or </t>
  </si>
  <si>
    <t>(ii) if his total gross receipts in profession exceeds ten lakh rupees during the previous year; or</t>
  </si>
  <si>
    <t xml:space="preserve">(iii) if the aggregate of tax deducted at source and tax collected at source during the previous year, in the case of the person, is twenty-five thousand rupees (fifty-thousand for resident senior citizen) or more; or </t>
  </si>
  <si>
    <t>OS DTAA</t>
  </si>
  <si>
    <t>Amount out of (5) or (6) being carried forward</t>
  </si>
  <si>
    <t>Unique Number/ Document Identification Number</t>
  </si>
  <si>
    <t xml:space="preserve">(iv)  The deposits in one or more savings bank account of the person, in aggregate, is rupees fifty lakh or more, during the previous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</si>
</sst>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
    <numFmt numFmtId="166" formatCode="dd"/>
    <numFmt numFmtId="167" formatCode="mm"/>
    <numFmt numFmtId="168" formatCode="0;[Red]0"/>
    <numFmt numFmtId="169" formatCode="0.00;[Red]0.00"/>
    <numFmt numFmtId="170" formatCode="0_);\(0\)"/>
    <numFmt numFmtId="171" formatCode="0.0000"/>
  </numFmts>
  <fonts count="106" x14ac:knownFonts="1">
    <font>
      <sz val="11"/>
      <color theme="1"/>
      <name val="Calibri"/>
      <family val="2"/>
      <scheme val="minor"/>
    </font>
    <font>
      <sz val="11"/>
      <color indexed="8"/>
      <name val="Calibri"/>
      <family val="2"/>
    </font>
    <font>
      <sz val="10"/>
      <name val="Arial"/>
      <family val="2"/>
    </font>
    <font>
      <b/>
      <sz val="10"/>
      <name val="Times New Roman"/>
      <family val="1"/>
    </font>
    <font>
      <u/>
      <sz val="10"/>
      <color indexed="12"/>
      <name val="Arial"/>
      <family val="2"/>
    </font>
    <font>
      <sz val="10"/>
      <name val="Times New Roman"/>
      <family val="1"/>
    </font>
    <font>
      <sz val="10"/>
      <name val="Arial"/>
      <family val="2"/>
    </font>
    <font>
      <b/>
      <sz val="10"/>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81"/>
      <name val="Tahoma"/>
      <family val="2"/>
    </font>
    <font>
      <b/>
      <sz val="10"/>
      <color indexed="9"/>
      <name val="Times New Roman"/>
      <family val="1"/>
    </font>
    <font>
      <b/>
      <sz val="10"/>
      <color indexed="48"/>
      <name val="Times New Roman"/>
      <family val="1"/>
    </font>
    <font>
      <sz val="10"/>
      <color indexed="48"/>
      <name val="Times New Roman"/>
      <family val="1"/>
    </font>
    <font>
      <b/>
      <sz val="10"/>
      <color indexed="8"/>
      <name val="Times New Roman"/>
      <family val="1"/>
    </font>
    <font>
      <b/>
      <sz val="8"/>
      <color indexed="81"/>
      <name val="Tahoma"/>
      <family val="2"/>
    </font>
    <font>
      <sz val="10"/>
      <color indexed="10"/>
      <name val="Times New Roman"/>
      <family val="1"/>
    </font>
    <font>
      <sz val="10"/>
      <color indexed="8"/>
      <name val="Times New Roman"/>
      <family val="1"/>
    </font>
    <font>
      <sz val="8"/>
      <color indexed="81"/>
      <name val="Tahoma"/>
      <family val="2"/>
    </font>
    <font>
      <sz val="10"/>
      <color indexed="30"/>
      <name val="Times New Roman"/>
      <family val="1"/>
    </font>
    <font>
      <u/>
      <sz val="10"/>
      <color indexed="12"/>
      <name val="Times New Roman"/>
      <family val="1"/>
    </font>
    <font>
      <sz val="9"/>
      <color indexed="81"/>
      <name val="Tahoma"/>
      <family val="2"/>
    </font>
    <font>
      <sz val="11"/>
      <color indexed="8"/>
      <name val="Calibri"/>
      <family val="2"/>
    </font>
    <font>
      <sz val="10"/>
      <name val="MS Sans Serif"/>
      <family val="2"/>
    </font>
    <font>
      <b/>
      <i/>
      <sz val="10"/>
      <name val="Times New Roman"/>
      <family val="1"/>
    </font>
    <font>
      <sz val="10"/>
      <color indexed="9"/>
      <name val="Times New Roman"/>
      <family val="1"/>
    </font>
    <font>
      <b/>
      <i/>
      <sz val="10"/>
      <color indexed="10"/>
      <name val="Times New Roman"/>
      <family val="1"/>
    </font>
    <font>
      <i/>
      <sz val="10"/>
      <color indexed="8"/>
      <name val="Times New Roman"/>
      <family val="1"/>
    </font>
    <font>
      <sz val="10"/>
      <color indexed="12"/>
      <name val="Times New Roman"/>
      <family val="1"/>
    </font>
    <font>
      <b/>
      <sz val="10"/>
      <color indexed="30"/>
      <name val="Times New Roman"/>
      <family val="1"/>
    </font>
    <font>
      <b/>
      <sz val="10"/>
      <color indexed="40"/>
      <name val="Times New Roman"/>
      <family val="1"/>
    </font>
    <font>
      <b/>
      <i/>
      <sz val="10"/>
      <color indexed="8"/>
      <name val="Times New Roman"/>
      <family val="1"/>
    </font>
    <font>
      <i/>
      <sz val="10"/>
      <name val="Times New Roman"/>
      <family val="1"/>
    </font>
    <font>
      <sz val="10"/>
      <color indexed="40"/>
      <name val="Times New Roman"/>
      <family val="1"/>
    </font>
    <font>
      <b/>
      <sz val="10"/>
      <color indexed="22"/>
      <name val="Times New Roman"/>
      <family val="1"/>
    </font>
    <font>
      <b/>
      <sz val="10"/>
      <color indexed="12"/>
      <name val="Times New Roman"/>
      <family val="1"/>
    </font>
    <font>
      <sz val="10"/>
      <color indexed="49"/>
      <name val="Times New Roman"/>
      <family val="1"/>
    </font>
    <font>
      <b/>
      <u/>
      <sz val="10"/>
      <color indexed="8"/>
      <name val="Times New Roman"/>
      <family val="1"/>
    </font>
    <font>
      <b/>
      <vertAlign val="superscript"/>
      <sz val="10"/>
      <color indexed="10"/>
      <name val="Times New Roman"/>
      <family val="1"/>
    </font>
    <font>
      <sz val="11"/>
      <color indexed="8"/>
      <name val="Times New Roman"/>
      <family val="1"/>
    </font>
    <font>
      <vertAlign val="superscript"/>
      <sz val="12"/>
      <color indexed="62"/>
      <name val="Times New Roman"/>
      <family val="1"/>
    </font>
    <font>
      <b/>
      <u/>
      <sz val="10"/>
      <color indexed="48"/>
      <name val="Times New Roman"/>
      <family val="1"/>
    </font>
    <font>
      <sz val="10"/>
      <color indexed="8"/>
      <name val="Times New Roman"/>
      <family val="1"/>
    </font>
    <font>
      <b/>
      <sz val="10"/>
      <color indexed="8"/>
      <name val="Times New Roman"/>
      <family val="1"/>
    </font>
    <font>
      <b/>
      <sz val="10"/>
      <color indexed="9"/>
      <name val="Times New Roman"/>
      <family val="1"/>
    </font>
    <font>
      <b/>
      <sz val="9"/>
      <color indexed="10"/>
      <name val="Times New Roman"/>
      <family val="1"/>
    </font>
    <font>
      <b/>
      <sz val="9"/>
      <color indexed="8"/>
      <name val="Times New Roman"/>
      <family val="1"/>
    </font>
    <font>
      <sz val="10"/>
      <color indexed="55"/>
      <name val="Times New Roman"/>
      <family val="1"/>
    </font>
    <font>
      <b/>
      <sz val="8"/>
      <name val="Times New Roman"/>
      <family val="1"/>
    </font>
    <font>
      <b/>
      <sz val="11"/>
      <color indexed="8"/>
      <name val="Times New Roman"/>
      <family val="1"/>
    </font>
    <font>
      <sz val="10"/>
      <color indexed="8"/>
      <name val="Times New Roman"/>
      <family val="1"/>
    </font>
    <font>
      <b/>
      <sz val="10"/>
      <color indexed="10"/>
      <name val="Times New Roman"/>
      <family val="1"/>
    </font>
    <font>
      <b/>
      <sz val="10"/>
      <color indexed="8"/>
      <name val="Times New Roman"/>
      <family val="1"/>
    </font>
    <font>
      <sz val="10"/>
      <color indexed="62"/>
      <name val="Times New Roman"/>
      <family val="1"/>
    </font>
    <font>
      <b/>
      <sz val="11"/>
      <color indexed="9"/>
      <name val="Times New Roman"/>
      <family val="1"/>
    </font>
    <font>
      <sz val="10"/>
      <color indexed="8"/>
      <name val="Times New Roman"/>
      <family val="1"/>
    </font>
    <font>
      <sz val="11"/>
      <color indexed="8"/>
      <name val="Calibri"/>
      <family val="2"/>
      <charset val="1"/>
    </font>
    <font>
      <b/>
      <sz val="10"/>
      <color indexed="10"/>
      <name val="Times New Roman"/>
      <family val="1"/>
    </font>
    <font>
      <b/>
      <sz val="10"/>
      <color indexed="9"/>
      <name val="Verdana"/>
      <family val="2"/>
    </font>
    <font>
      <sz val="10"/>
      <name val="Verdana"/>
      <family val="2"/>
    </font>
    <font>
      <b/>
      <sz val="11"/>
      <color indexed="8"/>
      <name val="Calibri"/>
      <family val="2"/>
    </font>
    <font>
      <b/>
      <sz val="10"/>
      <color indexed="81"/>
      <name val="Times New Roman"/>
      <family val="1"/>
    </font>
    <font>
      <sz val="11"/>
      <color theme="1"/>
      <name val="Calibri"/>
      <family val="2"/>
      <scheme val="minor"/>
    </font>
    <font>
      <sz val="11"/>
      <color theme="1"/>
      <name val="Calibri"/>
      <family val="2"/>
    </font>
    <font>
      <b/>
      <sz val="10"/>
      <color rgb="FF000000"/>
      <name val="Times New Roman"/>
      <family val="1"/>
    </font>
    <font>
      <sz val="10"/>
      <color rgb="FF000000"/>
      <name val="Times New Roman"/>
      <family val="1"/>
    </font>
    <font>
      <b/>
      <i/>
      <sz val="10"/>
      <color indexed="9"/>
      <name val="Times New Roman"/>
      <family val="1"/>
    </font>
    <font>
      <b/>
      <sz val="9"/>
      <name val="Times New Roman"/>
      <family val="1"/>
    </font>
    <font>
      <b/>
      <u/>
      <sz val="10"/>
      <color indexed="12"/>
      <name val="Times New Roman"/>
      <family val="1"/>
    </font>
    <font>
      <b/>
      <sz val="10"/>
      <color theme="1"/>
      <name val="Times New Roman"/>
      <family val="1"/>
    </font>
    <font>
      <sz val="10"/>
      <color theme="1"/>
      <name val="Times New Roman"/>
      <family val="1"/>
    </font>
    <font>
      <b/>
      <sz val="11"/>
      <name val="Times New Roman"/>
      <family val="1"/>
    </font>
    <font>
      <sz val="11"/>
      <color theme="1"/>
      <name val="Times New Roman"/>
      <family val="1"/>
    </font>
    <font>
      <b/>
      <sz val="11"/>
      <color indexed="48"/>
      <name val="Times New Roman"/>
      <family val="1"/>
    </font>
    <font>
      <b/>
      <sz val="11"/>
      <color theme="1"/>
      <name val="Times New Roman"/>
      <family val="1"/>
    </font>
    <font>
      <sz val="10"/>
      <color rgb="FF3366FF"/>
      <name val="Times New Roman"/>
      <family val="1"/>
    </font>
    <font>
      <b/>
      <sz val="11"/>
      <color rgb="FF000000"/>
      <name val="Calibri"/>
      <family val="2"/>
    </font>
    <font>
      <b/>
      <sz val="11"/>
      <color rgb="FFFF0000"/>
      <name val="Calibri"/>
      <family val="2"/>
    </font>
    <font>
      <b/>
      <sz val="11"/>
      <color rgb="FF3366FF"/>
      <name val="Calibri"/>
      <family val="2"/>
    </font>
    <font>
      <sz val="11"/>
      <color rgb="FF000000"/>
      <name val="Calibri"/>
      <family val="2"/>
    </font>
    <font>
      <sz val="8"/>
      <color rgb="FF000000"/>
      <name val="Segoe UI"/>
      <family val="2"/>
    </font>
    <font>
      <b/>
      <u/>
      <sz val="14"/>
      <color indexed="8"/>
      <name val="Calibri"/>
      <family val="2"/>
    </font>
    <font>
      <sz val="12"/>
      <color indexed="8"/>
      <name val="Calibri"/>
      <family val="2"/>
    </font>
    <font>
      <b/>
      <sz val="12"/>
      <color indexed="8"/>
      <name val="Calibri"/>
      <family val="2"/>
    </font>
    <font>
      <b/>
      <u/>
      <sz val="12"/>
      <color indexed="8"/>
      <name val="Calibri"/>
      <family val="2"/>
    </font>
    <font>
      <b/>
      <sz val="11"/>
      <color theme="0"/>
      <name val="Calibri"/>
      <family val="2"/>
      <scheme val="minor"/>
    </font>
    <font>
      <b/>
      <sz val="10"/>
      <color rgb="FFFF0000"/>
      <name val="Times New Roman"/>
      <family val="1"/>
    </font>
    <font>
      <b/>
      <sz val="9"/>
      <color rgb="FFFF0000"/>
      <name val="Times New Roman"/>
      <family val="1"/>
    </font>
    <font>
      <b/>
      <sz val="10"/>
      <color rgb="FF3366FF"/>
      <name val="Times New Roman"/>
      <family val="1"/>
    </font>
    <font>
      <b/>
      <u/>
      <sz val="10"/>
      <color indexed="12"/>
      <name val="Arial"/>
      <family val="2"/>
    </font>
    <font>
      <sz val="11"/>
      <color rgb="FF00000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13"/>
        <bgColor indexed="64"/>
      </patternFill>
    </fill>
    <fill>
      <patternFill patternType="solid">
        <fgColor indexed="10"/>
        <bgColor indexed="64"/>
      </patternFill>
    </fill>
    <fill>
      <patternFill patternType="solid">
        <fgColor indexed="50"/>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31"/>
        <bgColor indexed="64"/>
      </patternFill>
    </fill>
    <fill>
      <patternFill patternType="solid">
        <fgColor indexed="17"/>
        <bgColor indexed="64"/>
      </patternFill>
    </fill>
    <fill>
      <patternFill patternType="solid">
        <fgColor indexed="40"/>
        <bgColor indexed="64"/>
      </patternFill>
    </fill>
    <fill>
      <patternFill patternType="solid">
        <fgColor indexed="52"/>
        <bgColor indexed="64"/>
      </patternFill>
    </fill>
    <fill>
      <patternFill patternType="solid">
        <fgColor indexed="60"/>
        <bgColor indexed="64"/>
      </patternFill>
    </fill>
    <fill>
      <patternFill patternType="solid">
        <fgColor indexed="11"/>
        <bgColor indexed="64"/>
      </patternFill>
    </fill>
    <fill>
      <patternFill patternType="solid">
        <fgColor indexed="9"/>
        <bgColor indexed="26"/>
      </patternFill>
    </fill>
    <fill>
      <patternFill patternType="solid">
        <fgColor indexed="57"/>
        <bgColor indexed="64"/>
      </patternFill>
    </fill>
    <fill>
      <patternFill patternType="solid">
        <fgColor indexed="56"/>
        <bgColor indexed="64"/>
      </patternFill>
    </fill>
    <fill>
      <patternFill patternType="solid">
        <fgColor rgb="FFD8D8D8"/>
        <bgColor indexed="64"/>
      </patternFill>
    </fill>
    <fill>
      <patternFill patternType="solid">
        <fgColor rgb="FFCCFFCC"/>
        <bgColor indexed="64"/>
      </patternFill>
    </fill>
    <fill>
      <patternFill patternType="solid">
        <fgColor theme="1" tint="0.499984740745262"/>
        <bgColor indexed="64"/>
      </patternFill>
    </fill>
    <fill>
      <patternFill patternType="solid">
        <fgColor rgb="FFFFFFFF"/>
        <bgColor indexed="64"/>
      </patternFill>
    </fill>
    <fill>
      <patternFill patternType="solid">
        <fgColor rgb="FFD8D8D8"/>
        <bgColor indexed="27"/>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rgb="FFFFFFCC"/>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4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0" fontId="12" fillId="21"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7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 fillId="0" borderId="0" applyNumberFormat="0" applyFill="0" applyBorder="0" applyAlignment="0" applyProtection="0">
      <alignment vertical="top"/>
      <protection locked="0"/>
    </xf>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 fillId="0" borderId="0"/>
    <xf numFmtId="0" fontId="77" fillId="0" borderId="0"/>
    <xf numFmtId="0" fontId="78" fillId="0" borderId="0"/>
    <xf numFmtId="0" fontId="2" fillId="0" borderId="0"/>
    <xf numFmtId="0" fontId="2" fillId="0" borderId="0"/>
    <xf numFmtId="0" fontId="2" fillId="0" borderId="0"/>
    <xf numFmtId="0" fontId="2" fillId="0" borderId="0"/>
    <xf numFmtId="0" fontId="77" fillId="0" borderId="0"/>
    <xf numFmtId="0" fontId="6" fillId="0" borderId="0"/>
    <xf numFmtId="0" fontId="2" fillId="0" borderId="0"/>
    <xf numFmtId="0" fontId="77" fillId="0" borderId="0"/>
    <xf numFmtId="0" fontId="6" fillId="0" borderId="0"/>
    <xf numFmtId="0" fontId="2" fillId="0" borderId="0"/>
    <xf numFmtId="0" fontId="6"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6"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6"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8"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37"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77" fillId="0" borderId="0"/>
  </cellStyleXfs>
  <cellXfs count="4031">
    <xf numFmtId="0" fontId="0" fillId="0" borderId="0" xfId="0"/>
    <xf numFmtId="0" fontId="5" fillId="0" borderId="10" xfId="0" applyFont="1" applyBorder="1" applyAlignment="1">
      <alignment vertical="center"/>
    </xf>
    <xf numFmtId="0" fontId="3" fillId="0" borderId="10" xfId="0" applyFont="1" applyBorder="1" applyAlignment="1">
      <alignment horizontal="center" vertical="top"/>
    </xf>
    <xf numFmtId="1" fontId="28" fillId="24" borderId="10" xfId="0" applyNumberFormat="1" applyFont="1" applyFill="1" applyBorder="1" applyAlignment="1" applyProtection="1">
      <alignment horizontal="right" vertical="top" wrapText="1"/>
      <protection hidden="1"/>
    </xf>
    <xf numFmtId="1" fontId="5" fillId="25" borderId="10" xfId="0" applyNumberFormat="1" applyFont="1" applyFill="1" applyBorder="1" applyAlignment="1" applyProtection="1">
      <alignment horizontal="right" vertical="top" wrapText="1"/>
      <protection locked="0"/>
    </xf>
    <xf numFmtId="0" fontId="3" fillId="0" borderId="11" xfId="0" applyFont="1" applyBorder="1"/>
    <xf numFmtId="0" fontId="3" fillId="0" borderId="10" xfId="0" applyFont="1" applyBorder="1" applyAlignment="1">
      <alignment horizontal="center"/>
    </xf>
    <xf numFmtId="1" fontId="5" fillId="25" borderId="10" xfId="0" applyNumberFormat="1" applyFont="1" applyFill="1" applyBorder="1" applyAlignment="1" applyProtection="1">
      <alignment horizontal="right"/>
      <protection locked="0"/>
    </xf>
    <xf numFmtId="0" fontId="3" fillId="0" borderId="10" xfId="0" applyFont="1" applyBorder="1" applyAlignment="1">
      <alignment horizontal="center" vertical="center"/>
    </xf>
    <xf numFmtId="0" fontId="3" fillId="0" borderId="10" xfId="0" applyFont="1" applyBorder="1"/>
    <xf numFmtId="0" fontId="27" fillId="0" borderId="10" xfId="0" applyFont="1" applyBorder="1" applyAlignment="1">
      <alignment horizontal="center"/>
    </xf>
    <xf numFmtId="0" fontId="3" fillId="0" borderId="12" xfId="0" applyFont="1" applyBorder="1"/>
    <xf numFmtId="0" fontId="3" fillId="0" borderId="13" xfId="0" applyFont="1" applyBorder="1"/>
    <xf numFmtId="49" fontId="5" fillId="25" borderId="10" xfId="0" applyNumberFormat="1" applyFont="1" applyFill="1" applyBorder="1" applyAlignment="1" applyProtection="1">
      <alignment horizontal="left" vertical="top" wrapText="1"/>
      <protection locked="0"/>
    </xf>
    <xf numFmtId="0" fontId="27" fillId="0" borderId="10" xfId="0" applyFont="1" applyBorder="1"/>
    <xf numFmtId="0" fontId="3" fillId="26" borderId="10" xfId="0" applyFont="1" applyFill="1" applyBorder="1" applyAlignment="1">
      <alignment horizontal="center"/>
    </xf>
    <xf numFmtId="0" fontId="3" fillId="0" borderId="10" xfId="0" applyFont="1" applyBorder="1" applyAlignment="1">
      <alignment horizontal="center" wrapText="1"/>
    </xf>
    <xf numFmtId="1" fontId="5" fillId="25" borderId="10" xfId="0" applyNumberFormat="1" applyFont="1" applyFill="1" applyBorder="1" applyAlignment="1" applyProtection="1">
      <alignment horizontal="right" wrapText="1"/>
      <protection locked="0"/>
    </xf>
    <xf numFmtId="0" fontId="7" fillId="0" borderId="10" xfId="0" applyFont="1" applyBorder="1" applyAlignment="1">
      <alignment horizontal="center" vertical="top" wrapText="1"/>
    </xf>
    <xf numFmtId="1" fontId="28" fillId="24" borderId="14" xfId="0" applyNumberFormat="1" applyFont="1" applyFill="1" applyBorder="1" applyAlignment="1" applyProtection="1">
      <alignment horizontal="right" vertical="top" wrapText="1"/>
      <protection hidden="1"/>
    </xf>
    <xf numFmtId="0" fontId="5" fillId="0" borderId="10" xfId="0" applyFont="1" applyBorder="1"/>
    <xf numFmtId="0" fontId="5" fillId="0" borderId="0" xfId="0" applyFont="1"/>
    <xf numFmtId="165" fontId="29" fillId="0" borderId="10" xfId="0" applyNumberFormat="1" applyFont="1" applyBorder="1" applyAlignment="1">
      <alignment horizontal="center"/>
    </xf>
    <xf numFmtId="0" fontId="29" fillId="0" borderId="10" xfId="0" applyFont="1" applyBorder="1" applyAlignment="1">
      <alignment horizontal="center"/>
    </xf>
    <xf numFmtId="165" fontId="29" fillId="0" borderId="10" xfId="0" applyNumberFormat="1" applyFont="1" applyBorder="1" applyAlignment="1">
      <alignment horizontal="center" vertical="center"/>
    </xf>
    <xf numFmtId="0" fontId="5" fillId="0" borderId="0" xfId="0" applyFont="1" applyBorder="1"/>
    <xf numFmtId="0" fontId="29" fillId="0" borderId="10" xfId="0" applyFont="1" applyBorder="1" applyAlignment="1">
      <alignment horizontal="center" vertical="center"/>
    </xf>
    <xf numFmtId="0" fontId="27"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3" xfId="0" applyFont="1" applyBorder="1" applyAlignment="1" applyProtection="1">
      <alignment horizontal="center"/>
    </xf>
    <xf numFmtId="0" fontId="27" fillId="0" borderId="10" xfId="0" applyFont="1" applyBorder="1" applyAlignment="1">
      <alignment horizontal="center" vertical="top"/>
    </xf>
    <xf numFmtId="0" fontId="7" fillId="0" borderId="10" xfId="0" applyFont="1" applyBorder="1" applyAlignment="1">
      <alignment horizontal="center" vertical="center" wrapText="1"/>
    </xf>
    <xf numFmtId="0" fontId="3" fillId="0" borderId="15" xfId="0" applyFont="1" applyBorder="1"/>
    <xf numFmtId="0" fontId="5" fillId="25" borderId="10" xfId="0" applyFont="1" applyFill="1" applyBorder="1" applyAlignment="1" applyProtection="1">
      <alignment wrapText="1"/>
      <protection locked="0"/>
    </xf>
    <xf numFmtId="1" fontId="34" fillId="0" borderId="10" xfId="0" applyNumberFormat="1" applyFont="1" applyFill="1" applyBorder="1" applyAlignment="1" applyProtection="1">
      <alignment horizontal="right" vertical="top" wrapText="1"/>
      <protection hidden="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26" fillId="27" borderId="13" xfId="0" applyFont="1" applyFill="1" applyBorder="1"/>
    <xf numFmtId="0" fontId="26" fillId="27" borderId="14" xfId="0" applyFont="1" applyFill="1" applyBorder="1" applyAlignment="1">
      <alignment horizontal="center" vertical="center"/>
    </xf>
    <xf numFmtId="0" fontId="32" fillId="0" borderId="11" xfId="0" applyFont="1" applyBorder="1" applyAlignment="1">
      <alignment horizontal="center" vertical="center"/>
    </xf>
    <xf numFmtId="49" fontId="5" fillId="25" borderId="10" xfId="0" applyNumberFormat="1" applyFont="1" applyFill="1" applyBorder="1" applyAlignment="1" applyProtection="1">
      <alignment horizontal="left" wrapText="1"/>
      <protection locked="0"/>
    </xf>
    <xf numFmtId="1" fontId="5" fillId="26" borderId="10" xfId="0" applyNumberFormat="1" applyFont="1" applyFill="1" applyBorder="1" applyAlignment="1" applyProtection="1">
      <alignment horizontal="right" vertical="top" wrapText="1"/>
      <protection hidden="1"/>
    </xf>
    <xf numFmtId="0" fontId="26" fillId="27" borderId="17" xfId="0" applyFont="1" applyFill="1" applyBorder="1" applyAlignment="1">
      <alignment vertical="center"/>
    </xf>
    <xf numFmtId="0" fontId="26" fillId="27" borderId="18" xfId="0" applyFont="1" applyFill="1" applyBorder="1"/>
    <xf numFmtId="0" fontId="3" fillId="26" borderId="10" xfId="0" applyFont="1" applyFill="1" applyBorder="1"/>
    <xf numFmtId="1" fontId="27" fillId="24" borderId="10" xfId="0" applyNumberFormat="1" applyFont="1" applyFill="1" applyBorder="1" applyAlignment="1" applyProtection="1">
      <alignment horizontal="right"/>
      <protection hidden="1"/>
    </xf>
    <xf numFmtId="0" fontId="3" fillId="24" borderId="10" xfId="0" applyFont="1" applyFill="1" applyBorder="1" applyAlignment="1">
      <alignment horizontal="center"/>
    </xf>
    <xf numFmtId="0" fontId="3" fillId="24" borderId="10" xfId="0" applyFont="1" applyFill="1" applyBorder="1"/>
    <xf numFmtId="0" fontId="3" fillId="24" borderId="14" xfId="0" applyFont="1" applyFill="1" applyBorder="1"/>
    <xf numFmtId="0" fontId="3" fillId="24" borderId="19" xfId="0" applyFont="1" applyFill="1" applyBorder="1" applyAlignment="1">
      <alignment horizontal="center"/>
    </xf>
    <xf numFmtId="0" fontId="3" fillId="24" borderId="16" xfId="0" applyFont="1" applyFill="1" applyBorder="1" applyAlignment="1">
      <alignment vertical="center"/>
    </xf>
    <xf numFmtId="0" fontId="5" fillId="24" borderId="14" xfId="0" applyFont="1" applyFill="1" applyBorder="1"/>
    <xf numFmtId="0" fontId="5" fillId="24" borderId="11" xfId="0" applyFont="1" applyFill="1" applyBorder="1"/>
    <xf numFmtId="0" fontId="5" fillId="24" borderId="19" xfId="0" applyFont="1" applyFill="1" applyBorder="1"/>
    <xf numFmtId="0" fontId="3" fillId="24" borderId="0" xfId="0" applyFont="1" applyFill="1"/>
    <xf numFmtId="0" fontId="3" fillId="24" borderId="0" xfId="0" applyFont="1" applyFill="1" applyAlignment="1">
      <alignment horizontal="center"/>
    </xf>
    <xf numFmtId="0" fontId="5" fillId="24" borderId="0" xfId="0" applyFont="1" applyFill="1" applyBorder="1"/>
    <xf numFmtId="0" fontId="5" fillId="24" borderId="0" xfId="0" applyFont="1" applyFill="1"/>
    <xf numFmtId="0" fontId="3" fillId="24" borderId="12" xfId="0" applyFont="1" applyFill="1" applyBorder="1" applyAlignment="1">
      <alignment vertical="center" wrapText="1"/>
    </xf>
    <xf numFmtId="0" fontId="3" fillId="24" borderId="12" xfId="0" applyFont="1" applyFill="1" applyBorder="1" applyAlignment="1">
      <alignment vertical="center"/>
    </xf>
    <xf numFmtId="0" fontId="3" fillId="24" borderId="13" xfId="0" applyFont="1" applyFill="1" applyBorder="1" applyAlignment="1">
      <alignment vertical="center"/>
    </xf>
    <xf numFmtId="0" fontId="3" fillId="24" borderId="0" xfId="0" applyFont="1" applyFill="1" applyAlignment="1"/>
    <xf numFmtId="0" fontId="5" fillId="24" borderId="10" xfId="0" applyFont="1" applyFill="1" applyBorder="1"/>
    <xf numFmtId="0" fontId="35" fillId="24" borderId="0" xfId="803" applyFont="1" applyFill="1" applyAlignment="1" applyProtection="1"/>
    <xf numFmtId="0" fontId="35" fillId="24" borderId="19" xfId="803" applyFont="1" applyFill="1" applyBorder="1" applyAlignment="1" applyProtection="1"/>
    <xf numFmtId="0" fontId="35" fillId="24" borderId="10" xfId="803" applyFont="1" applyFill="1" applyBorder="1" applyAlignment="1" applyProtection="1"/>
    <xf numFmtId="0" fontId="5" fillId="24" borderId="0" xfId="0" applyFont="1" applyFill="1" applyAlignment="1">
      <alignment horizontal="left"/>
    </xf>
    <xf numFmtId="0" fontId="5" fillId="24" borderId="10" xfId="0" applyFont="1" applyFill="1" applyBorder="1" applyAlignment="1">
      <alignment horizontal="left"/>
    </xf>
    <xf numFmtId="0" fontId="3" fillId="24" borderId="16" xfId="0" applyFont="1" applyFill="1" applyBorder="1"/>
    <xf numFmtId="1" fontId="34" fillId="0" borderId="16" xfId="0" applyNumberFormat="1" applyFont="1" applyFill="1" applyBorder="1" applyAlignment="1" applyProtection="1">
      <alignment horizontal="right" vertical="top" wrapText="1"/>
      <protection hidden="1"/>
    </xf>
    <xf numFmtId="0" fontId="3" fillId="24" borderId="14" xfId="0" applyFont="1" applyFill="1" applyBorder="1" applyAlignment="1">
      <alignment horizontal="center"/>
    </xf>
    <xf numFmtId="1" fontId="5" fillId="25" borderId="10" xfId="0" applyNumberFormat="1" applyFont="1" applyFill="1" applyBorder="1" applyAlignment="1" applyProtection="1">
      <alignment horizontal="left" vertical="top" wrapText="1"/>
      <protection locked="0"/>
    </xf>
    <xf numFmtId="0" fontId="7"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49" fontId="3" fillId="0" borderId="10" xfId="0" applyNumberFormat="1" applyFont="1" applyBorder="1" applyAlignment="1" applyProtection="1">
      <alignment horizontal="center" wrapText="1"/>
      <protection hidden="1"/>
    </xf>
    <xf numFmtId="168" fontId="5" fillId="25" borderId="20" xfId="0" applyNumberFormat="1" applyFont="1" applyFill="1" applyBorder="1" applyAlignment="1" applyProtection="1">
      <alignment horizontal="right" vertical="top" wrapText="1"/>
      <protection locked="0"/>
    </xf>
    <xf numFmtId="0" fontId="3" fillId="24" borderId="21" xfId="0" applyFont="1" applyFill="1" applyBorder="1" applyAlignment="1">
      <alignment vertical="center" wrapText="1"/>
    </xf>
    <xf numFmtId="49" fontId="3" fillId="24" borderId="20" xfId="0" applyNumberFormat="1" applyFont="1" applyFill="1" applyBorder="1" applyAlignment="1" applyProtection="1">
      <alignment horizontal="left"/>
    </xf>
    <xf numFmtId="49" fontId="5" fillId="24" borderId="15" xfId="0" applyNumberFormat="1" applyFont="1" applyFill="1" applyBorder="1" applyAlignment="1" applyProtection="1">
      <alignment horizontal="center"/>
    </xf>
    <xf numFmtId="1" fontId="5" fillId="24" borderId="15" xfId="0" applyNumberFormat="1" applyFont="1" applyFill="1" applyBorder="1" applyAlignment="1" applyProtection="1">
      <alignment horizontal="right"/>
    </xf>
    <xf numFmtId="49" fontId="5" fillId="25" borderId="10" xfId="0" applyNumberFormat="1" applyFont="1" applyFill="1" applyBorder="1" applyAlignment="1" applyProtection="1">
      <alignment horizontal="left"/>
      <protection locked="0"/>
    </xf>
    <xf numFmtId="49" fontId="5" fillId="25" borderId="14" xfId="0" applyNumberFormat="1" applyFont="1" applyFill="1" applyBorder="1" applyAlignment="1" applyProtection="1">
      <alignment horizontal="left"/>
      <protection locked="0"/>
    </xf>
    <xf numFmtId="0" fontId="26" fillId="27" borderId="14" xfId="0" applyFont="1" applyFill="1" applyBorder="1" applyAlignment="1">
      <alignment horizontal="left"/>
    </xf>
    <xf numFmtId="0" fontId="3" fillId="0" borderId="10" xfId="0" applyFont="1" applyBorder="1" applyAlignment="1">
      <alignment vertical="center" textRotation="90" wrapText="1"/>
    </xf>
    <xf numFmtId="0" fontId="29" fillId="0" borderId="13" xfId="0" applyFont="1" applyBorder="1" applyAlignment="1" applyProtection="1">
      <alignment horizontal="center" vertical="top"/>
      <protection hidden="1"/>
    </xf>
    <xf numFmtId="0" fontId="29" fillId="0" borderId="13" xfId="0" applyFont="1" applyBorder="1" applyAlignment="1" applyProtection="1">
      <alignment horizontal="left" vertical="top" wrapText="1"/>
      <protection hidden="1"/>
    </xf>
    <xf numFmtId="0" fontId="3" fillId="0" borderId="13" xfId="0" applyFont="1" applyBorder="1" applyAlignment="1" applyProtection="1">
      <alignment horizontal="center" vertical="top" wrapText="1"/>
      <protection hidden="1"/>
    </xf>
    <xf numFmtId="0" fontId="29" fillId="0" borderId="10" xfId="0" applyFont="1" applyBorder="1" applyAlignment="1" applyProtection="1">
      <alignment horizontal="center" vertical="center"/>
      <protection hidden="1"/>
    </xf>
    <xf numFmtId="0" fontId="29" fillId="0" borderId="10" xfId="0" applyFont="1" applyBorder="1" applyAlignment="1" applyProtection="1">
      <alignment horizontal="left" vertical="center" wrapText="1"/>
      <protection hidden="1"/>
    </xf>
    <xf numFmtId="0" fontId="3" fillId="0" borderId="10" xfId="0" applyFont="1" applyBorder="1" applyAlignment="1" applyProtection="1">
      <alignment horizontal="center" vertical="top" wrapText="1"/>
      <protection hidden="1"/>
    </xf>
    <xf numFmtId="0" fontId="27" fillId="0" borderId="10" xfId="0" applyFont="1" applyBorder="1" applyAlignment="1" applyProtection="1">
      <alignment horizontal="center" vertical="center"/>
      <protection hidden="1"/>
    </xf>
    <xf numFmtId="0" fontId="27" fillId="0" borderId="10" xfId="0" applyFont="1" applyBorder="1" applyAlignment="1" applyProtection="1">
      <alignment horizontal="left" vertical="center" wrapText="1"/>
      <protection hidden="1"/>
    </xf>
    <xf numFmtId="0" fontId="27" fillId="0" borderId="10" xfId="0" applyFont="1" applyBorder="1" applyAlignment="1" applyProtection="1">
      <alignment horizontal="center" vertical="top" wrapText="1"/>
      <protection hidden="1"/>
    </xf>
    <xf numFmtId="0" fontId="27" fillId="0" borderId="10" xfId="0" applyFont="1" applyBorder="1" applyAlignment="1" applyProtection="1">
      <alignment horizontal="center"/>
      <protection hidden="1"/>
    </xf>
    <xf numFmtId="0" fontId="3" fillId="0" borderId="14" xfId="0" applyFont="1" applyBorder="1" applyAlignment="1" applyProtection="1">
      <alignment vertical="top" wrapText="1"/>
      <protection hidden="1"/>
    </xf>
    <xf numFmtId="0" fontId="27" fillId="0" borderId="10" xfId="0" applyFont="1" applyBorder="1" applyAlignment="1" applyProtection="1">
      <protection hidden="1"/>
    </xf>
    <xf numFmtId="0" fontId="27" fillId="0" borderId="10" xfId="0" applyFont="1" applyBorder="1" applyAlignment="1" applyProtection="1">
      <alignment vertical="top" wrapText="1"/>
      <protection hidden="1"/>
    </xf>
    <xf numFmtId="0" fontId="3" fillId="26" borderId="17" xfId="0" applyFont="1" applyFill="1" applyBorder="1" applyAlignment="1" applyProtection="1">
      <protection hidden="1"/>
    </xf>
    <xf numFmtId="0" fontId="3" fillId="26" borderId="20" xfId="0" applyFont="1" applyFill="1" applyBorder="1" applyAlignment="1" applyProtection="1">
      <protection hidden="1"/>
    </xf>
    <xf numFmtId="0" fontId="27" fillId="0" borderId="10" xfId="0" applyFont="1" applyBorder="1" applyAlignment="1" applyProtection="1">
      <alignment horizontal="centerContinuous" vertical="center" wrapText="1"/>
      <protection hidden="1"/>
    </xf>
    <xf numFmtId="0" fontId="3" fillId="0" borderId="0" xfId="0" applyFont="1" applyFill="1" applyBorder="1" applyAlignment="1" applyProtection="1">
      <protection hidden="1"/>
    </xf>
    <xf numFmtId="1" fontId="34" fillId="0" borderId="14" xfId="0" applyNumberFormat="1" applyFont="1" applyFill="1" applyBorder="1" applyAlignment="1" applyProtection="1">
      <alignment horizontal="right" vertical="top" wrapText="1"/>
      <protection hidden="1"/>
    </xf>
    <xf numFmtId="0" fontId="3" fillId="28" borderId="12" xfId="0" applyFont="1" applyFill="1" applyBorder="1" applyAlignment="1" applyProtection="1">
      <protection hidden="1"/>
    </xf>
    <xf numFmtId="0" fontId="3" fillId="28" borderId="22" xfId="0" applyFont="1" applyFill="1" applyBorder="1" applyAlignment="1" applyProtection="1">
      <protection hidden="1"/>
    </xf>
    <xf numFmtId="0" fontId="3" fillId="28" borderId="23" xfId="0" applyFont="1" applyFill="1" applyBorder="1" applyAlignment="1" applyProtection="1">
      <protection hidden="1"/>
    </xf>
    <xf numFmtId="1" fontId="34" fillId="0" borderId="20" xfId="0" applyNumberFormat="1" applyFont="1" applyFill="1" applyBorder="1" applyAlignment="1" applyProtection="1">
      <alignment horizontal="right" vertical="top" wrapText="1"/>
      <protection hidden="1"/>
    </xf>
    <xf numFmtId="0" fontId="3" fillId="0" borderId="19" xfId="0" applyFont="1" applyBorder="1" applyAlignment="1" applyProtection="1">
      <alignment vertical="top" wrapText="1"/>
      <protection hidden="1"/>
    </xf>
    <xf numFmtId="0" fontId="3" fillId="0" borderId="22" xfId="0" applyFont="1" applyBorder="1" applyAlignment="1" applyProtection="1">
      <alignment vertical="top" wrapText="1"/>
      <protection hidden="1"/>
    </xf>
    <xf numFmtId="0" fontId="7" fillId="0" borderId="13" xfId="0" applyFont="1" applyBorder="1" applyAlignment="1">
      <alignment horizontal="center" vertical="center" wrapText="1"/>
    </xf>
    <xf numFmtId="0" fontId="7" fillId="0" borderId="13" xfId="0" applyFont="1" applyBorder="1" applyAlignment="1">
      <alignment horizontal="center" vertical="top" wrapText="1"/>
    </xf>
    <xf numFmtId="0" fontId="3" fillId="0" borderId="12" xfId="0" applyFont="1" applyBorder="1" applyAlignment="1">
      <alignment horizontal="center"/>
    </xf>
    <xf numFmtId="0" fontId="29" fillId="0" borderId="10" xfId="0" applyFont="1" applyBorder="1" applyAlignment="1">
      <alignment vertical="center" wrapText="1"/>
    </xf>
    <xf numFmtId="0" fontId="3" fillId="0" borderId="10" xfId="0" applyFont="1" applyBorder="1" applyAlignment="1">
      <alignment horizontal="left" vertical="top" wrapText="1"/>
    </xf>
    <xf numFmtId="0" fontId="57" fillId="0" borderId="0" xfId="0" applyFont="1"/>
    <xf numFmtId="0" fontId="3" fillId="24" borderId="10" xfId="0" applyFont="1" applyFill="1" applyBorder="1" applyAlignment="1">
      <alignment horizontal="center" vertical="top" wrapText="1"/>
    </xf>
    <xf numFmtId="0" fontId="29" fillId="24" borderId="10" xfId="0" applyFont="1" applyFill="1" applyBorder="1" applyAlignment="1">
      <alignment horizontal="center" vertical="top" wrapText="1"/>
    </xf>
    <xf numFmtId="0" fontId="57" fillId="0" borderId="0" xfId="0" applyFont="1" applyAlignment="1">
      <alignment horizontal="center"/>
    </xf>
    <xf numFmtId="0" fontId="57" fillId="24" borderId="0" xfId="0" applyFont="1" applyFill="1"/>
    <xf numFmtId="0" fontId="3" fillId="24" borderId="0" xfId="878" applyFont="1" applyFill="1" applyBorder="1" applyAlignment="1">
      <alignment horizontal="center" vertical="top" wrapText="1"/>
    </xf>
    <xf numFmtId="0" fontId="5" fillId="24" borderId="0" xfId="878" applyFont="1" applyFill="1" applyBorder="1" applyAlignment="1">
      <alignment horizontal="left" vertical="top" wrapText="1"/>
    </xf>
    <xf numFmtId="0" fontId="5" fillId="24" borderId="0" xfId="878" applyFont="1" applyFill="1" applyBorder="1" applyAlignment="1">
      <alignment vertical="top" wrapText="1"/>
    </xf>
    <xf numFmtId="0" fontId="32" fillId="0" borderId="0" xfId="0" applyFont="1"/>
    <xf numFmtId="49" fontId="5" fillId="28" borderId="14" xfId="878" applyNumberFormat="1" applyFont="1" applyFill="1" applyBorder="1" applyAlignment="1" applyProtection="1">
      <alignment horizontal="left" vertical="top" wrapText="1"/>
    </xf>
    <xf numFmtId="49" fontId="5" fillId="28" borderId="19" xfId="878" applyNumberFormat="1" applyFont="1" applyFill="1" applyBorder="1" applyAlignment="1" applyProtection="1">
      <alignment horizontal="left" vertical="top" wrapText="1"/>
    </xf>
    <xf numFmtId="0" fontId="32" fillId="24" borderId="0" xfId="0" applyFont="1" applyFill="1"/>
    <xf numFmtId="0" fontId="7" fillId="24" borderId="20" xfId="878" applyFont="1" applyFill="1" applyBorder="1" applyAlignment="1">
      <alignment horizontal="left" vertical="top" wrapText="1"/>
    </xf>
    <xf numFmtId="0" fontId="7" fillId="24" borderId="15" xfId="878" applyFont="1" applyFill="1" applyBorder="1" applyAlignment="1">
      <alignment horizontal="left" vertical="top" wrapText="1"/>
    </xf>
    <xf numFmtId="0" fontId="32" fillId="24" borderId="15" xfId="0" applyFont="1" applyFill="1" applyBorder="1" applyAlignment="1"/>
    <xf numFmtId="0" fontId="32" fillId="24" borderId="0" xfId="0" applyFont="1" applyFill="1" applyBorder="1" applyAlignment="1"/>
    <xf numFmtId="0" fontId="7" fillId="0" borderId="17" xfId="878" applyFont="1" applyBorder="1" applyAlignment="1">
      <alignment horizontal="center" vertical="top" wrapText="1"/>
    </xf>
    <xf numFmtId="0" fontId="3" fillId="0" borderId="18" xfId="878" applyFont="1" applyBorder="1" applyAlignment="1">
      <alignment horizontal="left" vertical="top" wrapText="1"/>
    </xf>
    <xf numFmtId="0" fontId="3" fillId="0" borderId="19" xfId="878" applyFont="1" applyBorder="1" applyAlignment="1">
      <alignment horizontal="left" vertical="top" wrapText="1"/>
    </xf>
    <xf numFmtId="0" fontId="3" fillId="0" borderId="15" xfId="878" applyFont="1" applyBorder="1" applyAlignment="1">
      <alignment horizontal="left" vertical="top" wrapText="1"/>
    </xf>
    <xf numFmtId="0" fontId="3" fillId="0" borderId="0" xfId="878" applyFont="1" applyBorder="1" applyAlignment="1">
      <alignment horizontal="left" vertical="top" wrapText="1"/>
    </xf>
    <xf numFmtId="0" fontId="5" fillId="24" borderId="10" xfId="878" applyFont="1" applyFill="1" applyBorder="1" applyAlignment="1">
      <alignment horizontal="center" vertical="top" wrapText="1"/>
    </xf>
    <xf numFmtId="0" fontId="40" fillId="24" borderId="0" xfId="0" applyFont="1" applyFill="1" applyBorder="1"/>
    <xf numFmtId="0" fontId="57" fillId="29" borderId="10" xfId="0" applyFont="1" applyFill="1" applyBorder="1"/>
    <xf numFmtId="0" fontId="57" fillId="30" borderId="10" xfId="0" applyFont="1" applyFill="1" applyBorder="1"/>
    <xf numFmtId="0" fontId="57" fillId="31" borderId="10" xfId="0" applyFont="1" applyFill="1" applyBorder="1"/>
    <xf numFmtId="0" fontId="57" fillId="32" borderId="10" xfId="0" applyFont="1" applyFill="1" applyBorder="1"/>
    <xf numFmtId="0" fontId="57" fillId="33" borderId="10" xfId="0" applyFont="1" applyFill="1" applyBorder="1"/>
    <xf numFmtId="0" fontId="3" fillId="0" borderId="13" xfId="0" applyFont="1" applyBorder="1" applyAlignment="1">
      <alignment horizontal="center" vertical="top" wrapText="1"/>
    </xf>
    <xf numFmtId="0" fontId="57" fillId="26" borderId="12" xfId="0" applyFont="1" applyFill="1" applyBorder="1"/>
    <xf numFmtId="0" fontId="57" fillId="26" borderId="13" xfId="0" applyFont="1" applyFill="1" applyBorder="1"/>
    <xf numFmtId="0" fontId="57" fillId="0" borderId="10" xfId="0" applyFont="1" applyBorder="1"/>
    <xf numFmtId="0" fontId="57" fillId="0" borderId="10" xfId="0" applyFont="1" applyBorder="1" applyAlignment="1">
      <alignment horizontal="center"/>
    </xf>
    <xf numFmtId="0" fontId="57" fillId="24" borderId="0" xfId="0" applyFont="1" applyFill="1" applyProtection="1"/>
    <xf numFmtId="0" fontId="5" fillId="24" borderId="0" xfId="878" applyFont="1" applyFill="1" applyBorder="1" applyAlignment="1" applyProtection="1">
      <alignment vertical="top" wrapText="1"/>
    </xf>
    <xf numFmtId="0" fontId="57" fillId="0" borderId="0" xfId="0" applyFont="1" applyProtection="1"/>
    <xf numFmtId="0" fontId="5" fillId="0" borderId="0" xfId="878" applyFont="1" applyBorder="1" applyAlignment="1">
      <alignment vertical="top" wrapText="1"/>
    </xf>
    <xf numFmtId="0" fontId="3" fillId="24" borderId="16" xfId="0" applyFont="1" applyFill="1" applyBorder="1" applyAlignment="1">
      <alignment horizontal="center" vertical="top" wrapText="1"/>
    </xf>
    <xf numFmtId="0" fontId="3" fillId="26" borderId="14" xfId="0" applyFont="1" applyFill="1" applyBorder="1" applyAlignment="1">
      <alignment vertical="top" wrapText="1"/>
    </xf>
    <xf numFmtId="0" fontId="5" fillId="26" borderId="11" xfId="0" applyFont="1" applyFill="1" applyBorder="1" applyAlignment="1">
      <alignment vertical="top" wrapText="1"/>
    </xf>
    <xf numFmtId="0" fontId="3" fillId="24" borderId="12" xfId="0" applyFont="1" applyFill="1" applyBorder="1" applyAlignment="1">
      <alignment horizontal="center" vertical="top" wrapText="1"/>
    </xf>
    <xf numFmtId="0" fontId="3" fillId="0" borderId="22" xfId="0" applyFont="1" applyBorder="1" applyAlignment="1">
      <alignment horizontal="center" vertical="top" wrapText="1"/>
    </xf>
    <xf numFmtId="0" fontId="3" fillId="24" borderId="21" xfId="0" applyFont="1" applyFill="1" applyBorder="1" applyAlignment="1">
      <alignment horizontal="center" vertical="top" wrapText="1"/>
    </xf>
    <xf numFmtId="0" fontId="5" fillId="0" borderId="14" xfId="0" applyFont="1" applyBorder="1" applyAlignment="1">
      <alignment horizontal="left" vertical="top"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0" xfId="878" applyFont="1" applyBorder="1" applyAlignment="1">
      <alignment horizontal="center" vertical="top" wrapText="1"/>
    </xf>
    <xf numFmtId="0" fontId="5" fillId="0" borderId="0" xfId="878" applyFont="1" applyBorder="1" applyAlignment="1">
      <alignment horizontal="left" vertical="top" wrapText="1"/>
    </xf>
    <xf numFmtId="0" fontId="27" fillId="0" borderId="19" xfId="0" applyFont="1" applyBorder="1" applyAlignment="1">
      <alignment horizontal="center" vertical="top" wrapText="1"/>
    </xf>
    <xf numFmtId="0" fontId="27" fillId="0" borderId="10" xfId="0" applyFont="1" applyBorder="1" applyAlignment="1">
      <alignment horizontal="center" vertical="top" wrapText="1"/>
    </xf>
    <xf numFmtId="0" fontId="27" fillId="0" borderId="24" xfId="0" applyFont="1" applyBorder="1" applyAlignment="1">
      <alignment horizontal="center" vertical="top" wrapText="1"/>
    </xf>
    <xf numFmtId="0" fontId="3" fillId="24" borderId="13" xfId="0" applyFont="1" applyFill="1" applyBorder="1" applyAlignment="1">
      <alignment horizontal="center" vertical="top" wrapText="1"/>
    </xf>
    <xf numFmtId="0" fontId="5" fillId="0" borderId="0" xfId="878" applyFont="1" applyBorder="1" applyAlignment="1" applyProtection="1">
      <alignment vertical="top" wrapText="1"/>
    </xf>
    <xf numFmtId="0" fontId="3" fillId="26" borderId="17" xfId="0" applyFont="1" applyFill="1" applyBorder="1" applyAlignment="1">
      <alignment horizontal="center" vertical="top" wrapText="1"/>
    </xf>
    <xf numFmtId="0" fontId="5" fillId="26" borderId="22" xfId="0" applyFont="1" applyFill="1" applyBorder="1" applyAlignment="1">
      <alignment vertical="top" wrapText="1"/>
    </xf>
    <xf numFmtId="0" fontId="3" fillId="26" borderId="21" xfId="0" applyFont="1" applyFill="1" applyBorder="1" applyAlignment="1">
      <alignment horizontal="center" vertical="top" wrapText="1"/>
    </xf>
    <xf numFmtId="0" fontId="5" fillId="26" borderId="23" xfId="0" applyFont="1" applyFill="1" applyBorder="1" applyAlignment="1">
      <alignment vertical="top" wrapText="1"/>
    </xf>
    <xf numFmtId="0" fontId="3" fillId="0" borderId="10" xfId="0" applyFont="1" applyBorder="1" applyAlignment="1">
      <alignment vertical="top" wrapText="1"/>
    </xf>
    <xf numFmtId="0" fontId="27" fillId="0" borderId="10" xfId="0" applyFont="1" applyBorder="1" applyAlignment="1">
      <alignment vertical="top" wrapText="1"/>
    </xf>
    <xf numFmtId="0" fontId="3" fillId="26" borderId="20" xfId="0" applyFont="1" applyFill="1" applyBorder="1" applyAlignment="1">
      <alignment horizontal="center" vertical="top" wrapText="1"/>
    </xf>
    <xf numFmtId="0" fontId="5" fillId="26" borderId="24" xfId="0" applyFont="1" applyFill="1" applyBorder="1" applyAlignment="1">
      <alignment vertical="top" wrapText="1"/>
    </xf>
    <xf numFmtId="0" fontId="5" fillId="0" borderId="10" xfId="0" applyFont="1" applyBorder="1" applyAlignment="1">
      <alignment vertical="top" wrapText="1"/>
    </xf>
    <xf numFmtId="0" fontId="27" fillId="0" borderId="16" xfId="0" applyFont="1" applyBorder="1" applyAlignment="1">
      <alignment horizontal="center" vertical="top" wrapText="1"/>
    </xf>
    <xf numFmtId="0" fontId="27" fillId="0" borderId="11" xfId="0" applyFont="1" applyBorder="1" applyAlignment="1">
      <alignment horizontal="center" vertical="top" wrapText="1"/>
    </xf>
    <xf numFmtId="0" fontId="3" fillId="0" borderId="16" xfId="0" applyFont="1" applyBorder="1" applyAlignment="1">
      <alignment horizontal="center" vertical="top" wrapText="1"/>
    </xf>
    <xf numFmtId="0" fontId="28" fillId="0" borderId="11"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center" vertical="top" wrapText="1"/>
    </xf>
    <xf numFmtId="0" fontId="5" fillId="0" borderId="24" xfId="0" applyFont="1" applyBorder="1" applyAlignment="1">
      <alignment vertical="top" wrapText="1"/>
    </xf>
    <xf numFmtId="0" fontId="3" fillId="26" borderId="18" xfId="0" applyFont="1" applyFill="1" applyBorder="1" applyAlignment="1">
      <alignment horizontal="center"/>
    </xf>
    <xf numFmtId="0" fontId="5" fillId="26" borderId="22" xfId="0" applyFont="1" applyFill="1" applyBorder="1"/>
    <xf numFmtId="0" fontId="3" fillId="26" borderId="17" xfId="0" applyFont="1" applyFill="1" applyBorder="1" applyAlignment="1">
      <alignment horizontal="center"/>
    </xf>
    <xf numFmtId="0" fontId="27" fillId="0" borderId="11" xfId="0" applyFont="1" applyFill="1" applyBorder="1" applyAlignment="1">
      <alignment horizontal="center" vertical="top" wrapText="1"/>
    </xf>
    <xf numFmtId="0" fontId="3" fillId="24" borderId="12" xfId="0" applyFont="1" applyFill="1" applyBorder="1" applyAlignment="1">
      <alignment vertical="top" wrapText="1"/>
    </xf>
    <xf numFmtId="0" fontId="27" fillId="0" borderId="10" xfId="0" applyFont="1" applyBorder="1" applyAlignment="1">
      <alignment horizontal="center" wrapText="1"/>
    </xf>
    <xf numFmtId="0" fontId="27" fillId="0" borderId="22" xfId="0" applyFont="1" applyBorder="1" applyAlignment="1">
      <alignment horizontal="center" vertical="top" wrapText="1"/>
    </xf>
    <xf numFmtId="0" fontId="57" fillId="24" borderId="12" xfId="0" applyFont="1" applyFill="1" applyBorder="1"/>
    <xf numFmtId="0" fontId="27" fillId="0" borderId="10" xfId="0" applyFont="1" applyBorder="1" applyAlignment="1">
      <alignment horizontal="left" vertical="top" wrapText="1"/>
    </xf>
    <xf numFmtId="0" fontId="28" fillId="0" borderId="10" xfId="0" applyFont="1" applyBorder="1" applyAlignment="1">
      <alignment horizontal="left" vertical="top" wrapText="1"/>
    </xf>
    <xf numFmtId="0" fontId="5" fillId="0" borderId="10" xfId="0" applyFont="1" applyBorder="1" applyAlignment="1">
      <alignment horizontal="left" vertical="top" wrapText="1"/>
    </xf>
    <xf numFmtId="0" fontId="3" fillId="0" borderId="24" xfId="0" applyFont="1" applyBorder="1" applyAlignment="1">
      <alignment horizontal="center" vertical="top" wrapText="1"/>
    </xf>
    <xf numFmtId="0" fontId="27" fillId="0" borderId="12" xfId="0" applyFont="1" applyBorder="1" applyAlignment="1">
      <alignment horizontal="center" vertical="top" wrapText="1"/>
    </xf>
    <xf numFmtId="0" fontId="3" fillId="24" borderId="16" xfId="0" applyFont="1" applyFill="1" applyBorder="1" applyAlignment="1">
      <alignment horizontal="center"/>
    </xf>
    <xf numFmtId="0" fontId="3" fillId="26" borderId="14" xfId="0" applyFont="1" applyFill="1" applyBorder="1" applyAlignment="1">
      <alignment horizontal="center"/>
    </xf>
    <xf numFmtId="0" fontId="5" fillId="26" borderId="11" xfId="0" applyFont="1" applyFill="1" applyBorder="1"/>
    <xf numFmtId="0" fontId="3" fillId="24" borderId="12" xfId="0" applyFont="1" applyFill="1" applyBorder="1" applyAlignment="1">
      <alignment horizontal="center"/>
    </xf>
    <xf numFmtId="0" fontId="3" fillId="0" borderId="11" xfId="0" applyFont="1" applyBorder="1" applyAlignment="1">
      <alignment horizontal="center"/>
    </xf>
    <xf numFmtId="0" fontId="3" fillId="24" borderId="13" xfId="0" applyFont="1" applyFill="1" applyBorder="1" applyAlignment="1">
      <alignment horizontal="center"/>
    </xf>
    <xf numFmtId="0" fontId="3" fillId="0" borderId="16" xfId="0" applyFont="1" applyBorder="1" applyAlignment="1">
      <alignment horizontal="center" vertical="center"/>
    </xf>
    <xf numFmtId="0" fontId="3" fillId="0" borderId="14" xfId="0" applyFont="1" applyBorder="1" applyAlignment="1">
      <alignment horizontal="left" vertical="top"/>
    </xf>
    <xf numFmtId="0" fontId="3" fillId="24" borderId="16" xfId="0" applyFont="1" applyFill="1" applyBorder="1" applyAlignment="1">
      <alignment horizontal="left" wrapText="1"/>
    </xf>
    <xf numFmtId="0" fontId="3" fillId="0" borderId="11" xfId="0" applyFont="1" applyBorder="1" applyAlignment="1">
      <alignment horizontal="center" vertical="top"/>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24" borderId="12" xfId="0" applyFont="1" applyFill="1" applyBorder="1"/>
    <xf numFmtId="0" fontId="3" fillId="24" borderId="13" xfId="0" applyFont="1" applyFill="1" applyBorder="1"/>
    <xf numFmtId="0" fontId="27" fillId="0" borderId="11" xfId="0" applyFont="1" applyBorder="1" applyAlignment="1">
      <alignment horizontal="center" vertical="top"/>
    </xf>
    <xf numFmtId="1" fontId="28" fillId="24" borderId="10" xfId="0" applyNumberFormat="1" applyFont="1" applyFill="1" applyBorder="1" applyAlignment="1" applyProtection="1">
      <alignment horizontal="right"/>
      <protection hidden="1"/>
    </xf>
    <xf numFmtId="0" fontId="3" fillId="24" borderId="11" xfId="0" applyFont="1" applyFill="1" applyBorder="1"/>
    <xf numFmtId="0" fontId="3" fillId="0" borderId="19" xfId="0" applyFont="1" applyBorder="1"/>
    <xf numFmtId="0" fontId="3" fillId="24" borderId="21" xfId="0" applyFont="1" applyFill="1" applyBorder="1" applyAlignment="1">
      <alignment horizontal="center"/>
    </xf>
    <xf numFmtId="0" fontId="3" fillId="24" borderId="11" xfId="0" applyFont="1" applyFill="1" applyBorder="1" applyAlignment="1">
      <alignment horizontal="center" vertical="top"/>
    </xf>
    <xf numFmtId="0" fontId="3" fillId="24" borderId="10" xfId="0" applyFont="1" applyFill="1" applyBorder="1" applyAlignment="1">
      <alignment horizontal="center" vertical="top"/>
    </xf>
    <xf numFmtId="0" fontId="3" fillId="0" borderId="14" xfId="0" applyFont="1" applyBorder="1"/>
    <xf numFmtId="0" fontId="3" fillId="24" borderId="19" xfId="0" applyFont="1" applyFill="1" applyBorder="1" applyAlignment="1"/>
    <xf numFmtId="0" fontId="3" fillId="24" borderId="24" xfId="0" applyFont="1" applyFill="1" applyBorder="1" applyAlignment="1">
      <alignment horizontal="center" vertical="top"/>
    </xf>
    <xf numFmtId="0" fontId="3" fillId="24" borderId="21" xfId="0" applyFont="1" applyFill="1" applyBorder="1" applyAlignment="1"/>
    <xf numFmtId="1" fontId="5" fillId="25" borderId="14" xfId="0" applyNumberFormat="1" applyFont="1" applyFill="1" applyBorder="1" applyAlignment="1" applyProtection="1">
      <alignment horizontal="right"/>
      <protection locked="0"/>
    </xf>
    <xf numFmtId="0" fontId="3" fillId="24" borderId="17" xfId="0" applyFont="1" applyFill="1" applyBorder="1"/>
    <xf numFmtId="0" fontId="3" fillId="24" borderId="12" xfId="0" applyFont="1" applyFill="1" applyBorder="1" applyAlignment="1">
      <alignment horizontal="center" vertical="top"/>
    </xf>
    <xf numFmtId="0" fontId="3" fillId="24" borderId="10" xfId="0" applyFont="1" applyFill="1" applyBorder="1" applyAlignment="1"/>
    <xf numFmtId="0" fontId="3" fillId="24" borderId="17" xfId="0" applyFont="1" applyFill="1" applyBorder="1" applyAlignment="1">
      <alignment horizontal="center"/>
    </xf>
    <xf numFmtId="0" fontId="3" fillId="0" borderId="14" xfId="0" applyFont="1" applyBorder="1" applyAlignment="1">
      <alignment horizontal="center" vertical="center"/>
    </xf>
    <xf numFmtId="0" fontId="3" fillId="24" borderId="20" xfId="0" applyFont="1" applyFill="1" applyBorder="1" applyAlignment="1">
      <alignment horizontal="center"/>
    </xf>
    <xf numFmtId="0" fontId="27" fillId="0" borderId="13" xfId="0" applyFont="1" applyBorder="1"/>
    <xf numFmtId="0" fontId="3" fillId="24" borderId="14" xfId="0" applyFont="1" applyFill="1" applyBorder="1" applyAlignment="1"/>
    <xf numFmtId="0" fontId="27" fillId="0" borderId="13" xfId="0" applyFont="1" applyBorder="1" applyAlignment="1">
      <alignment horizontal="center"/>
    </xf>
    <xf numFmtId="0" fontId="3" fillId="0" borderId="16" xfId="0" applyFont="1" applyBorder="1" applyAlignment="1">
      <alignment horizontal="center"/>
    </xf>
    <xf numFmtId="0" fontId="3" fillId="0" borderId="13" xfId="0" applyFont="1" applyBorder="1" applyAlignment="1">
      <alignment horizontal="center"/>
    </xf>
    <xf numFmtId="0" fontId="3" fillId="0" borderId="10" xfId="0" applyFont="1" applyBorder="1" applyAlignment="1"/>
    <xf numFmtId="0" fontId="3" fillId="24" borderId="11" xfId="0" applyFont="1" applyFill="1" applyBorder="1" applyAlignment="1"/>
    <xf numFmtId="0" fontId="27" fillId="0" borderId="16" xfId="0" applyFont="1" applyBorder="1" applyAlignment="1">
      <alignment horizontal="center" vertical="center"/>
    </xf>
    <xf numFmtId="1" fontId="28" fillId="24" borderId="16" xfId="0" applyNumberFormat="1" applyFont="1" applyFill="1" applyBorder="1" applyAlignment="1" applyProtection="1">
      <alignment horizontal="right"/>
      <protection hidden="1"/>
    </xf>
    <xf numFmtId="1" fontId="28" fillId="24" borderId="13" xfId="0" applyNumberFormat="1" applyFont="1" applyFill="1" applyBorder="1" applyAlignment="1" applyProtection="1">
      <alignment horizontal="right"/>
      <protection hidden="1"/>
    </xf>
    <xf numFmtId="0" fontId="3" fillId="0" borderId="23" xfId="0" applyFont="1" applyBorder="1"/>
    <xf numFmtId="0" fontId="3" fillId="0" borderId="24" xfId="0" applyFont="1" applyBorder="1"/>
    <xf numFmtId="0" fontId="27" fillId="0" borderId="16" xfId="0" applyFont="1" applyBorder="1" applyAlignment="1">
      <alignment horizontal="center"/>
    </xf>
    <xf numFmtId="0" fontId="29" fillId="24" borderId="12" xfId="0" applyFont="1" applyFill="1" applyBorder="1" applyAlignment="1">
      <alignment vertical="center" textRotation="90" wrapText="1"/>
    </xf>
    <xf numFmtId="0" fontId="3" fillId="0" borderId="12" xfId="0" applyFont="1" applyBorder="1" applyAlignment="1">
      <alignment horizontal="center" vertical="center"/>
    </xf>
    <xf numFmtId="0" fontId="3" fillId="28" borderId="17" xfId="0" applyFont="1" applyFill="1" applyBorder="1" applyAlignment="1">
      <alignment horizontal="center"/>
    </xf>
    <xf numFmtId="1" fontId="5" fillId="28" borderId="22" xfId="0" applyNumberFormat="1" applyFont="1" applyFill="1" applyBorder="1" applyAlignment="1" applyProtection="1">
      <alignment horizontal="right" vertical="top" wrapText="1"/>
      <protection hidden="1"/>
    </xf>
    <xf numFmtId="0" fontId="29" fillId="24" borderId="21" xfId="0" applyFont="1" applyFill="1" applyBorder="1" applyAlignment="1">
      <alignment vertical="center" textRotation="90" wrapText="1"/>
    </xf>
    <xf numFmtId="0" fontId="3" fillId="0" borderId="16" xfId="0" applyFont="1" applyBorder="1" applyAlignment="1">
      <alignment horizontal="left"/>
    </xf>
    <xf numFmtId="0" fontId="3" fillId="28" borderId="21" xfId="0" applyFont="1" applyFill="1" applyBorder="1" applyAlignment="1">
      <alignment horizontal="center"/>
    </xf>
    <xf numFmtId="1" fontId="5" fillId="28" borderId="23" xfId="0" applyNumberFormat="1" applyFont="1" applyFill="1" applyBorder="1" applyAlignment="1" applyProtection="1">
      <alignment horizontal="right" vertical="top" wrapText="1"/>
      <protection hidden="1"/>
    </xf>
    <xf numFmtId="0" fontId="3" fillId="0" borderId="12" xfId="0" applyFont="1" applyBorder="1" applyAlignment="1">
      <alignment horizontal="left" wrapText="1"/>
    </xf>
    <xf numFmtId="0" fontId="3" fillId="28" borderId="21" xfId="0" applyFont="1" applyFill="1" applyBorder="1" applyAlignment="1"/>
    <xf numFmtId="0" fontId="3" fillId="28" borderId="23" xfId="0" applyFont="1" applyFill="1" applyBorder="1" applyAlignment="1"/>
    <xf numFmtId="0" fontId="3" fillId="0" borderId="13" xfId="0" applyFont="1" applyBorder="1" applyAlignment="1">
      <alignment horizontal="center" vertical="top"/>
    </xf>
    <xf numFmtId="0" fontId="3" fillId="28" borderId="20" xfId="0" applyFont="1" applyFill="1" applyBorder="1" applyAlignment="1"/>
    <xf numFmtId="0" fontId="27" fillId="0" borderId="13" xfId="0" applyFont="1" applyBorder="1" applyAlignment="1">
      <alignment horizontal="center" vertical="center"/>
    </xf>
    <xf numFmtId="0" fontId="27" fillId="0" borderId="10" xfId="0" applyFont="1" applyBorder="1" applyAlignment="1">
      <alignment horizontal="center" vertical="center" wrapText="1"/>
    </xf>
    <xf numFmtId="0" fontId="29" fillId="24" borderId="13" xfId="0" applyFont="1" applyFill="1" applyBorder="1" applyAlignment="1">
      <alignment vertical="center" textRotation="90" wrapText="1"/>
    </xf>
    <xf numFmtId="0" fontId="57" fillId="0" borderId="19" xfId="0" applyFont="1" applyBorder="1"/>
    <xf numFmtId="0" fontId="3" fillId="0" borderId="13" xfId="0" applyFont="1" applyBorder="1" applyAlignment="1">
      <alignment horizontal="center" vertical="center"/>
    </xf>
    <xf numFmtId="0" fontId="27" fillId="0" borderId="11" xfId="0" applyFont="1" applyBorder="1" applyAlignment="1">
      <alignment horizontal="center" vertical="center"/>
    </xf>
    <xf numFmtId="1" fontId="28" fillId="0" borderId="16" xfId="0" applyNumberFormat="1" applyFont="1" applyFill="1" applyBorder="1" applyAlignment="1" applyProtection="1">
      <alignment horizontal="right"/>
      <protection hidden="1"/>
    </xf>
    <xf numFmtId="0" fontId="3" fillId="0" borderId="23" xfId="0" applyFont="1" applyBorder="1" applyAlignment="1">
      <alignment horizontal="center" vertical="top" wrapText="1"/>
    </xf>
    <xf numFmtId="0" fontId="3" fillId="26" borderId="14" xfId="0" applyFont="1" applyFill="1" applyBorder="1" applyAlignment="1">
      <alignment horizontal="center" vertical="top" wrapText="1"/>
    </xf>
    <xf numFmtId="1" fontId="28" fillId="0" borderId="10" xfId="0" applyNumberFormat="1" applyFont="1" applyFill="1" applyBorder="1" applyAlignment="1" applyProtection="1">
      <alignment horizontal="right"/>
      <protection hidden="1"/>
    </xf>
    <xf numFmtId="0" fontId="57" fillId="0" borderId="13" xfId="0" applyFont="1" applyBorder="1"/>
    <xf numFmtId="0" fontId="57" fillId="0" borderId="24" xfId="0" applyFont="1" applyBorder="1"/>
    <xf numFmtId="0" fontId="7" fillId="24" borderId="19" xfId="0" applyFont="1" applyFill="1" applyBorder="1" applyAlignment="1">
      <alignment horizontal="center" vertical="top" wrapText="1"/>
    </xf>
    <xf numFmtId="0" fontId="3" fillId="24" borderId="11" xfId="0" applyFont="1" applyFill="1" applyBorder="1" applyAlignment="1">
      <alignment wrapText="1"/>
    </xf>
    <xf numFmtId="0" fontId="27" fillId="0" borderId="13" xfId="0" applyFont="1" applyBorder="1" applyAlignment="1">
      <alignment horizontal="center" vertical="top" wrapText="1"/>
    </xf>
    <xf numFmtId="0" fontId="27" fillId="0" borderId="22" xfId="0" applyFont="1" applyFill="1" applyBorder="1" applyAlignment="1">
      <alignment horizontal="center" vertical="top" wrapText="1"/>
    </xf>
    <xf numFmtId="0" fontId="27" fillId="0" borderId="16" xfId="0" applyFont="1" applyBorder="1" applyAlignment="1">
      <alignment horizontal="center" vertical="center" wrapText="1"/>
    </xf>
    <xf numFmtId="0" fontId="7" fillId="0" borderId="19" xfId="0" applyFont="1" applyBorder="1" applyAlignment="1">
      <alignment horizontal="center" vertical="top" wrapText="1"/>
    </xf>
    <xf numFmtId="0" fontId="3" fillId="26" borderId="20" xfId="0" applyFont="1" applyFill="1" applyBorder="1" applyAlignment="1">
      <alignment horizontal="center" wrapText="1"/>
    </xf>
    <xf numFmtId="0" fontId="3" fillId="26" borderId="24" xfId="0" applyFont="1" applyFill="1" applyBorder="1" applyAlignment="1">
      <alignment horizont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24" borderId="19" xfId="0" applyFont="1" applyFill="1" applyBorder="1" applyAlignment="1">
      <alignment horizontal="center" wrapText="1"/>
    </xf>
    <xf numFmtId="0" fontId="27" fillId="24" borderId="11" xfId="0" applyFont="1" applyFill="1" applyBorder="1" applyAlignment="1">
      <alignment wrapText="1"/>
    </xf>
    <xf numFmtId="0" fontId="3" fillId="0" borderId="20" xfId="0" applyFont="1" applyBorder="1" applyAlignment="1">
      <alignment horizontal="center" vertical="top" wrapText="1"/>
    </xf>
    <xf numFmtId="0" fontId="3" fillId="0" borderId="19" xfId="0" applyFont="1" applyBorder="1" applyAlignment="1">
      <alignment horizontal="center" vertical="top" wrapText="1"/>
    </xf>
    <xf numFmtId="0" fontId="3" fillId="0" borderId="19" xfId="0" applyFont="1" applyBorder="1" applyAlignment="1">
      <alignment vertical="top" wrapText="1"/>
    </xf>
    <xf numFmtId="0" fontId="3" fillId="0" borderId="19" xfId="0" applyFont="1" applyBorder="1" applyAlignment="1">
      <alignment wrapText="1"/>
    </xf>
    <xf numFmtId="0" fontId="3" fillId="0" borderId="19" xfId="0" applyFont="1" applyBorder="1" applyAlignment="1">
      <alignment horizontal="center" wrapText="1"/>
    </xf>
    <xf numFmtId="0" fontId="3" fillId="0" borderId="11" xfId="0" applyFont="1" applyBorder="1" applyAlignment="1">
      <alignment wrapText="1"/>
    </xf>
    <xf numFmtId="0" fontId="57" fillId="0" borderId="0" xfId="0" applyFont="1" applyAlignment="1">
      <alignment vertical="top"/>
    </xf>
    <xf numFmtId="0" fontId="26" fillId="27" borderId="10" xfId="0" applyFont="1" applyFill="1" applyBorder="1" applyAlignment="1">
      <alignment horizontal="center" wrapText="1"/>
    </xf>
    <xf numFmtId="0" fontId="5" fillId="25" borderId="10" xfId="0" applyFont="1" applyFill="1" applyBorder="1" applyAlignment="1" applyProtection="1">
      <alignment horizontal="left" wrapText="1"/>
      <protection locked="0"/>
    </xf>
    <xf numFmtId="1" fontId="27" fillId="0" borderId="16" xfId="0" applyNumberFormat="1" applyFont="1" applyBorder="1" applyAlignment="1">
      <alignment horizontal="center" vertical="top" wrapText="1"/>
    </xf>
    <xf numFmtId="1" fontId="3" fillId="24" borderId="16" xfId="0" applyNumberFormat="1" applyFont="1" applyFill="1" applyBorder="1" applyAlignment="1">
      <alignment horizontal="center" vertical="top" wrapText="1"/>
    </xf>
    <xf numFmtId="0" fontId="27" fillId="26" borderId="17" xfId="0" applyFont="1" applyFill="1" applyBorder="1" applyAlignment="1">
      <alignment vertical="top" wrapText="1"/>
    </xf>
    <xf numFmtId="0" fontId="27" fillId="26" borderId="22" xfId="0" applyFont="1" applyFill="1" applyBorder="1" applyAlignment="1">
      <alignment vertical="top" wrapText="1"/>
    </xf>
    <xf numFmtId="1" fontId="27" fillId="24" borderId="12" xfId="0" applyNumberFormat="1" applyFont="1" applyFill="1" applyBorder="1" applyAlignment="1">
      <alignment horizontal="center" vertical="top" wrapText="1"/>
    </xf>
    <xf numFmtId="0" fontId="27" fillId="26" borderId="21" xfId="0" applyFont="1" applyFill="1" applyBorder="1" applyAlignment="1">
      <alignment vertical="top" wrapText="1"/>
    </xf>
    <xf numFmtId="0" fontId="27" fillId="26" borderId="23" xfId="0" applyFont="1" applyFill="1" applyBorder="1" applyAlignment="1">
      <alignment vertical="top" wrapText="1"/>
    </xf>
    <xf numFmtId="0" fontId="27" fillId="24" borderId="12" xfId="0" applyFont="1" applyFill="1" applyBorder="1" applyAlignment="1">
      <alignment vertical="top" wrapText="1"/>
    </xf>
    <xf numFmtId="1" fontId="57" fillId="0" borderId="0" xfId="0" applyNumberFormat="1" applyFont="1"/>
    <xf numFmtId="0" fontId="27" fillId="24" borderId="13" xfId="0" applyFont="1" applyFill="1" applyBorder="1" applyAlignment="1">
      <alignment vertical="top" wrapText="1"/>
    </xf>
    <xf numFmtId="0" fontId="27" fillId="0" borderId="11" xfId="0" applyFont="1" applyBorder="1" applyAlignment="1">
      <alignment horizontal="center" vertical="center" wrapText="1"/>
    </xf>
    <xf numFmtId="0" fontId="27" fillId="26" borderId="21" xfId="0" applyFont="1" applyFill="1" applyBorder="1" applyAlignment="1">
      <alignment horizontal="center" vertical="top" wrapText="1"/>
    </xf>
    <xf numFmtId="0" fontId="27" fillId="26" borderId="23" xfId="0" applyFont="1" applyFill="1" applyBorder="1" applyAlignment="1">
      <alignment horizontal="center" vertical="top" wrapText="1"/>
    </xf>
    <xf numFmtId="0" fontId="27" fillId="26" borderId="20" xfId="0" applyFont="1" applyFill="1" applyBorder="1" applyAlignment="1">
      <alignment horizontal="center" vertical="top" wrapText="1"/>
    </xf>
    <xf numFmtId="0" fontId="27" fillId="26" borderId="24" xfId="0" applyFont="1" applyFill="1" applyBorder="1" applyAlignment="1">
      <alignment horizontal="center" vertical="top" wrapText="1"/>
    </xf>
    <xf numFmtId="0" fontId="28" fillId="0" borderId="14" xfId="0" applyFont="1" applyBorder="1" applyAlignment="1">
      <alignment vertical="top" wrapText="1"/>
    </xf>
    <xf numFmtId="0" fontId="57" fillId="0" borderId="17" xfId="0" applyFont="1" applyBorder="1"/>
    <xf numFmtId="0" fontId="57" fillId="0" borderId="22" xfId="0" applyFont="1" applyBorder="1"/>
    <xf numFmtId="0" fontId="57" fillId="0" borderId="21" xfId="0" applyFont="1" applyBorder="1"/>
    <xf numFmtId="0" fontId="57" fillId="0" borderId="23" xfId="0" applyFont="1" applyBorder="1"/>
    <xf numFmtId="0" fontId="57" fillId="0" borderId="20" xfId="0" applyFont="1" applyBorder="1"/>
    <xf numFmtId="0" fontId="3" fillId="24" borderId="19" xfId="0" applyFont="1" applyFill="1" applyBorder="1" applyAlignment="1">
      <alignment horizontal="center" wrapText="1"/>
    </xf>
    <xf numFmtId="0" fontId="5" fillId="24" borderId="19" xfId="0" applyFont="1" applyFill="1" applyBorder="1" applyAlignment="1">
      <alignment wrapText="1"/>
    </xf>
    <xf numFmtId="0" fontId="57" fillId="0" borderId="18" xfId="0" applyFont="1" applyBorder="1"/>
    <xf numFmtId="0" fontId="57" fillId="0" borderId="0" xfId="0" applyFont="1" applyBorder="1"/>
    <xf numFmtId="1" fontId="29" fillId="24" borderId="16" xfId="0" applyNumberFormat="1" applyFont="1" applyFill="1" applyBorder="1" applyAlignment="1">
      <alignment horizontal="center" vertical="top" wrapText="1"/>
    </xf>
    <xf numFmtId="0" fontId="3" fillId="26" borderId="22" xfId="0" applyFont="1" applyFill="1" applyBorder="1" applyAlignment="1">
      <alignment vertical="top" wrapText="1"/>
    </xf>
    <xf numFmtId="1" fontId="3" fillId="24" borderId="12" xfId="0" applyNumberFormat="1" applyFont="1" applyFill="1" applyBorder="1" applyAlignment="1">
      <alignment horizontal="center" vertical="top" wrapText="1"/>
    </xf>
    <xf numFmtId="0" fontId="29" fillId="0" borderId="11" xfId="0" applyFont="1" applyBorder="1" applyAlignment="1">
      <alignment horizontal="center" vertical="center" wrapText="1"/>
    </xf>
    <xf numFmtId="0" fontId="29" fillId="0" borderId="10" xfId="0" applyFont="1" applyBorder="1" applyAlignment="1">
      <alignment horizontal="center" vertical="top" wrapText="1"/>
    </xf>
    <xf numFmtId="0" fontId="3" fillId="26" borderId="23" xfId="0" applyFont="1" applyFill="1" applyBorder="1" applyAlignment="1">
      <alignment vertical="top" wrapText="1"/>
    </xf>
    <xf numFmtId="1" fontId="29" fillId="0" borderId="13" xfId="0" applyNumberFormat="1" applyFont="1" applyBorder="1" applyAlignment="1">
      <alignment horizontal="center" vertical="top" wrapText="1"/>
    </xf>
    <xf numFmtId="1" fontId="29" fillId="0" borderId="10" xfId="0" applyNumberFormat="1" applyFont="1" applyBorder="1" applyAlignment="1">
      <alignment horizontal="center" vertical="top" wrapText="1"/>
    </xf>
    <xf numFmtId="1" fontId="29" fillId="0" borderId="16" xfId="0" applyNumberFormat="1" applyFont="1" applyBorder="1" applyAlignment="1">
      <alignment horizontal="center" vertical="top" wrapText="1"/>
    </xf>
    <xf numFmtId="1" fontId="29" fillId="24" borderId="12" xfId="0" applyNumberFormat="1" applyFont="1" applyFill="1" applyBorder="1" applyAlignment="1">
      <alignment horizontal="center" vertical="top" wrapText="1"/>
    </xf>
    <xf numFmtId="0" fontId="27" fillId="0" borderId="13" xfId="0" applyFont="1" applyBorder="1" applyAlignment="1">
      <alignment horizontal="left" vertical="top" wrapText="1"/>
    </xf>
    <xf numFmtId="0" fontId="27" fillId="0" borderId="13" xfId="0" applyFont="1" applyBorder="1" applyAlignment="1">
      <alignment horizontal="center" vertical="top"/>
    </xf>
    <xf numFmtId="0" fontId="27" fillId="28" borderId="21" xfId="0" applyFont="1" applyFill="1" applyBorder="1" applyAlignment="1">
      <alignment horizontal="center" vertical="top" wrapText="1"/>
    </xf>
    <xf numFmtId="1" fontId="28" fillId="28" borderId="23" xfId="0" applyNumberFormat="1" applyFont="1" applyFill="1" applyBorder="1" applyAlignment="1" applyProtection="1">
      <alignment horizontal="right" vertical="top" wrapText="1"/>
    </xf>
    <xf numFmtId="0" fontId="27" fillId="28" borderId="20" xfId="0" applyFont="1" applyFill="1" applyBorder="1" applyAlignment="1">
      <alignment horizontal="center" vertical="top" wrapText="1"/>
    </xf>
    <xf numFmtId="1" fontId="28" fillId="28" borderId="24" xfId="0" applyNumberFormat="1" applyFont="1" applyFill="1" applyBorder="1" applyAlignment="1" applyProtection="1">
      <alignment horizontal="right" vertical="top" wrapText="1"/>
    </xf>
    <xf numFmtId="1" fontId="29" fillId="24" borderId="13" xfId="0" applyNumberFormat="1" applyFont="1" applyFill="1" applyBorder="1" applyAlignment="1">
      <alignment horizontal="center" vertical="top" wrapText="1"/>
    </xf>
    <xf numFmtId="0" fontId="57" fillId="0" borderId="15" xfId="0" applyFont="1" applyBorder="1"/>
    <xf numFmtId="0" fontId="29" fillId="0" borderId="11" xfId="0" applyFont="1" applyFill="1" applyBorder="1" applyAlignment="1">
      <alignment horizontal="center" vertical="top" wrapText="1"/>
    </xf>
    <xf numFmtId="0" fontId="3" fillId="26" borderId="24" xfId="0" applyFont="1" applyFill="1" applyBorder="1" applyAlignment="1">
      <alignment vertical="top" wrapText="1"/>
    </xf>
    <xf numFmtId="1" fontId="3" fillId="24" borderId="13" xfId="0" applyNumberFormat="1" applyFont="1" applyFill="1" applyBorder="1" applyAlignment="1">
      <alignment horizontal="center" vertical="top" wrapText="1"/>
    </xf>
    <xf numFmtId="1" fontId="29" fillId="0" borderId="12" xfId="0" applyNumberFormat="1" applyFont="1" applyBorder="1" applyAlignment="1">
      <alignment horizontal="center" vertical="top" wrapText="1"/>
    </xf>
    <xf numFmtId="0" fontId="7" fillId="0" borderId="24"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22" xfId="0" applyFont="1" applyFill="1" applyBorder="1" applyAlignment="1">
      <alignment horizontal="center" vertical="top" wrapText="1"/>
    </xf>
    <xf numFmtId="1" fontId="27" fillId="0" borderId="12" xfId="0" applyNumberFormat="1" applyFont="1" applyBorder="1" applyAlignment="1">
      <alignment horizontal="center" vertical="top" wrapText="1"/>
    </xf>
    <xf numFmtId="0" fontId="3" fillId="24" borderId="16" xfId="0" applyFont="1" applyFill="1" applyBorder="1" applyAlignment="1">
      <alignment vertical="center" textRotation="90" wrapText="1"/>
    </xf>
    <xf numFmtId="1" fontId="27" fillId="0" borderId="24" xfId="0" applyNumberFormat="1" applyFont="1" applyBorder="1" applyAlignment="1">
      <alignment horizontal="center" vertical="top" wrapText="1"/>
    </xf>
    <xf numFmtId="0" fontId="3" fillId="24" borderId="12" xfId="0" applyFont="1" applyFill="1" applyBorder="1" applyAlignment="1">
      <alignment vertical="center" textRotation="90" wrapText="1"/>
    </xf>
    <xf numFmtId="1" fontId="27" fillId="0" borderId="11" xfId="0" applyNumberFormat="1" applyFont="1" applyBorder="1" applyAlignment="1">
      <alignment horizontal="center" vertical="top" wrapText="1"/>
    </xf>
    <xf numFmtId="0" fontId="7" fillId="0" borderId="10" xfId="0" applyFont="1" applyBorder="1"/>
    <xf numFmtId="49" fontId="5" fillId="25" borderId="22" xfId="0" applyNumberFormat="1" applyFont="1" applyFill="1" applyBorder="1" applyAlignment="1" applyProtection="1">
      <alignment horizontal="left"/>
      <protection locked="0"/>
    </xf>
    <xf numFmtId="0" fontId="7" fillId="24" borderId="17" xfId="0" applyFont="1" applyFill="1" applyBorder="1" applyAlignment="1">
      <alignment horizontal="left"/>
    </xf>
    <xf numFmtId="1" fontId="7" fillId="0" borderId="16" xfId="0" applyNumberFormat="1" applyFont="1" applyBorder="1" applyAlignment="1">
      <alignment horizontal="center" vertical="top" wrapText="1"/>
    </xf>
    <xf numFmtId="0" fontId="7" fillId="0" borderId="19" xfId="0" applyFont="1" applyBorder="1" applyAlignment="1">
      <alignment vertical="top" wrapText="1"/>
    </xf>
    <xf numFmtId="0" fontId="7" fillId="0" borderId="11" xfId="0" applyFont="1" applyBorder="1" applyAlignment="1">
      <alignment vertical="top" wrapText="1"/>
    </xf>
    <xf numFmtId="1" fontId="5" fillId="25" borderId="22" xfId="0" applyNumberFormat="1" applyFont="1" applyFill="1" applyBorder="1" applyAlignment="1" applyProtection="1">
      <alignment horizontal="right" wrapText="1"/>
      <protection locked="0"/>
    </xf>
    <xf numFmtId="0" fontId="3" fillId="24" borderId="16" xfId="0" applyFont="1" applyFill="1" applyBorder="1" applyAlignment="1">
      <alignment horizontal="center" vertical="center" wrapText="1"/>
    </xf>
    <xf numFmtId="0" fontId="29" fillId="24" borderId="14" xfId="0" applyFont="1" applyFill="1" applyBorder="1" applyAlignment="1">
      <alignment horizontal="center" vertical="top" wrapText="1"/>
    </xf>
    <xf numFmtId="0" fontId="7" fillId="26" borderId="18" xfId="0" applyFont="1" applyFill="1" applyBorder="1" applyAlignment="1" applyProtection="1">
      <alignment horizontal="center" vertical="center" wrapText="1"/>
      <protection hidden="1"/>
    </xf>
    <xf numFmtId="0" fontId="7" fillId="26" borderId="22" xfId="0" applyFont="1" applyFill="1" applyBorder="1" applyAlignment="1" applyProtection="1">
      <alignment horizontal="center" vertical="center" wrapText="1"/>
      <protection hidden="1"/>
    </xf>
    <xf numFmtId="49" fontId="5" fillId="26" borderId="0" xfId="0" applyNumberFormat="1" applyFont="1" applyFill="1" applyBorder="1" applyAlignment="1" applyProtection="1">
      <protection hidden="1"/>
    </xf>
    <xf numFmtId="49" fontId="5" fillId="26" borderId="23" xfId="0" applyNumberFormat="1" applyFont="1" applyFill="1" applyBorder="1" applyAlignment="1" applyProtection="1">
      <protection hidden="1"/>
    </xf>
    <xf numFmtId="0" fontId="57" fillId="24" borderId="0" xfId="0" applyFont="1" applyFill="1" applyBorder="1"/>
    <xf numFmtId="0" fontId="3" fillId="24" borderId="14" xfId="0" applyFont="1" applyFill="1" applyBorder="1" applyAlignment="1">
      <alignment horizontal="center" vertical="top" wrapText="1"/>
    </xf>
    <xf numFmtId="0" fontId="7" fillId="26" borderId="0" xfId="0" applyFont="1" applyFill="1" applyBorder="1" applyAlignment="1" applyProtection="1">
      <alignment horizontal="center" vertical="center" wrapText="1"/>
      <protection hidden="1"/>
    </xf>
    <xf numFmtId="0" fontId="7" fillId="26" borderId="23" xfId="0" applyFont="1" applyFill="1" applyBorder="1" applyAlignment="1" applyProtection="1">
      <alignment horizontal="center" vertical="center" wrapText="1"/>
      <protection hidden="1"/>
    </xf>
    <xf numFmtId="49" fontId="5" fillId="25" borderId="10" xfId="0" applyNumberFormat="1" applyFont="1" applyFill="1" applyBorder="1" applyAlignment="1" applyProtection="1">
      <alignment horizontal="left" vertical="center" wrapText="1"/>
      <protection locked="0"/>
    </xf>
    <xf numFmtId="0" fontId="3" fillId="24" borderId="21" xfId="0" applyFont="1" applyFill="1" applyBorder="1" applyAlignment="1">
      <alignment vertical="center" textRotation="90" wrapText="1"/>
    </xf>
    <xf numFmtId="0" fontId="3" fillId="24" borderId="20" xfId="0" applyFont="1" applyFill="1" applyBorder="1" applyAlignment="1">
      <alignment vertical="center" textRotation="90" wrapText="1"/>
    </xf>
    <xf numFmtId="0" fontId="57" fillId="26" borderId="0" xfId="0" applyFont="1" applyFill="1" applyBorder="1"/>
    <xf numFmtId="0" fontId="3" fillId="24" borderId="10" xfId="0" applyFont="1" applyFill="1" applyBorder="1" applyAlignment="1">
      <alignment horizontal="center" vertical="center" wrapText="1"/>
    </xf>
    <xf numFmtId="0" fontId="3" fillId="0" borderId="20" xfId="0" applyFont="1" applyBorder="1" applyAlignment="1">
      <alignment horizontal="center" vertical="top"/>
    </xf>
    <xf numFmtId="0" fontId="29" fillId="0" borderId="17" xfId="0" applyFont="1" applyBorder="1" applyAlignment="1" applyProtection="1">
      <alignment horizontal="center"/>
      <protection hidden="1"/>
    </xf>
    <xf numFmtId="0" fontId="29" fillId="0" borderId="18" xfId="0" applyFont="1" applyBorder="1" applyAlignment="1" applyProtection="1">
      <alignment horizontal="center"/>
      <protection hidden="1"/>
    </xf>
    <xf numFmtId="0" fontId="29" fillId="0" borderId="22" xfId="0" applyFont="1" applyBorder="1" applyAlignment="1" applyProtection="1">
      <alignment horizontal="center"/>
      <protection hidden="1"/>
    </xf>
    <xf numFmtId="0" fontId="29" fillId="0" borderId="20" xfId="0" applyFont="1" applyBorder="1" applyAlignment="1" applyProtection="1">
      <alignment horizontal="center"/>
      <protection hidden="1"/>
    </xf>
    <xf numFmtId="0" fontId="29" fillId="0" borderId="15" xfId="0" applyFont="1" applyBorder="1" applyAlignment="1" applyProtection="1">
      <alignment horizontal="center"/>
      <protection hidden="1"/>
    </xf>
    <xf numFmtId="0" fontId="29" fillId="0" borderId="24" xfId="0" applyFont="1" applyBorder="1" applyAlignment="1" applyProtection="1">
      <alignment horizontal="center"/>
      <protection hidden="1"/>
    </xf>
    <xf numFmtId="1" fontId="7" fillId="24" borderId="13" xfId="0" applyNumberFormat="1" applyFont="1" applyFill="1" applyBorder="1" applyAlignment="1">
      <alignment horizontal="center" vertical="top" wrapText="1"/>
    </xf>
    <xf numFmtId="0" fontId="57" fillId="24" borderId="20" xfId="0" applyFont="1" applyFill="1" applyBorder="1"/>
    <xf numFmtId="0" fontId="3" fillId="0" borderId="14" xfId="0" applyFont="1" applyBorder="1" applyAlignment="1">
      <alignment horizontal="center" wrapText="1"/>
    </xf>
    <xf numFmtId="0" fontId="3" fillId="24" borderId="12" xfId="0" applyFont="1" applyFill="1" applyBorder="1" applyAlignment="1">
      <alignment wrapText="1"/>
    </xf>
    <xf numFmtId="0" fontId="5" fillId="0" borderId="14" xfId="0" applyFont="1" applyBorder="1" applyAlignment="1">
      <alignment horizontal="center" wrapText="1"/>
    </xf>
    <xf numFmtId="0" fontId="3" fillId="24" borderId="13" xfId="0" applyFont="1" applyFill="1" applyBorder="1" applyAlignment="1">
      <alignment wrapText="1"/>
    </xf>
    <xf numFmtId="0" fontId="29" fillId="34" borderId="10" xfId="0" applyFont="1" applyFill="1" applyBorder="1" applyAlignment="1">
      <alignment wrapText="1"/>
    </xf>
    <xf numFmtId="0" fontId="29" fillId="34" borderId="10" xfId="0" applyFont="1" applyFill="1" applyBorder="1"/>
    <xf numFmtId="11" fontId="57" fillId="0" borderId="0" xfId="0" applyNumberFormat="1" applyFont="1"/>
    <xf numFmtId="0" fontId="57" fillId="0" borderId="10" xfId="0" applyFont="1" applyBorder="1" applyProtection="1"/>
    <xf numFmtId="0" fontId="57" fillId="0" borderId="10" xfId="0" applyFont="1" applyBorder="1" applyAlignment="1">
      <alignment horizontal="right"/>
    </xf>
    <xf numFmtId="0" fontId="3" fillId="0" borderId="10" xfId="0" applyFont="1" applyBorder="1" applyAlignment="1" applyProtection="1">
      <alignment horizontal="center"/>
    </xf>
    <xf numFmtId="0" fontId="31" fillId="24" borderId="10" xfId="0" applyFont="1" applyFill="1" applyBorder="1" applyAlignment="1" applyProtection="1">
      <alignment vertical="top" wrapText="1"/>
    </xf>
    <xf numFmtId="0" fontId="57" fillId="0" borderId="11" xfId="0" applyFont="1" applyBorder="1"/>
    <xf numFmtId="0" fontId="42" fillId="0" borderId="0" xfId="0" applyFont="1" applyProtection="1"/>
    <xf numFmtId="0" fontId="3" fillId="24" borderId="0" xfId="0" applyFont="1" applyFill="1" applyBorder="1" applyAlignment="1"/>
    <xf numFmtId="0" fontId="3" fillId="0" borderId="0" xfId="0" applyFont="1" applyBorder="1" applyAlignment="1"/>
    <xf numFmtId="0" fontId="3" fillId="0" borderId="10" xfId="0" applyFont="1" applyBorder="1" applyAlignment="1">
      <alignment vertical="center" wrapText="1"/>
    </xf>
    <xf numFmtId="0" fontId="7" fillId="0" borderId="10" xfId="0" applyFont="1" applyBorder="1" applyAlignment="1">
      <alignment vertical="center" wrapText="1"/>
    </xf>
    <xf numFmtId="0" fontId="3" fillId="0" borderId="10" xfId="0" applyNumberFormat="1" applyFont="1" applyBorder="1" applyAlignment="1">
      <alignment horizontal="center" vertical="center" wrapText="1"/>
    </xf>
    <xf numFmtId="0" fontId="5" fillId="25" borderId="10" xfId="0" applyFont="1" applyFill="1" applyBorder="1" applyAlignment="1" applyProtection="1">
      <alignment horizontal="left" vertical="center" wrapText="1"/>
      <protection locked="0"/>
    </xf>
    <xf numFmtId="1" fontId="5" fillId="25" borderId="10" xfId="0" applyNumberFormat="1" applyFont="1" applyFill="1" applyBorder="1" applyAlignment="1" applyProtection="1">
      <alignment horizontal="right" vertical="center" wrapText="1"/>
      <protection locked="0"/>
    </xf>
    <xf numFmtId="0" fontId="3" fillId="24" borderId="0" xfId="0" applyFont="1" applyFill="1" applyBorder="1"/>
    <xf numFmtId="0" fontId="40" fillId="24" borderId="19" xfId="0" applyFont="1" applyFill="1" applyBorder="1" applyProtection="1">
      <protection hidden="1"/>
    </xf>
    <xf numFmtId="1" fontId="27" fillId="24" borderId="10" xfId="0" applyNumberFormat="1" applyFont="1" applyFill="1" applyBorder="1" applyProtection="1">
      <protection hidden="1"/>
    </xf>
    <xf numFmtId="0" fontId="3" fillId="0" borderId="13" xfId="0" applyFont="1" applyBorder="1" applyAlignment="1">
      <alignment horizontal="center" vertical="center" wrapText="1"/>
    </xf>
    <xf numFmtId="0" fontId="7" fillId="0" borderId="10" xfId="0" applyNumberFormat="1" applyFont="1" applyBorder="1" applyAlignment="1">
      <alignment horizontal="center" vertical="center" wrapText="1"/>
    </xf>
    <xf numFmtId="0" fontId="26" fillId="27" borderId="10" xfId="0" applyFont="1" applyFill="1" applyBorder="1"/>
    <xf numFmtId="0" fontId="3" fillId="24" borderId="24" xfId="0" applyFont="1" applyFill="1" applyBorder="1"/>
    <xf numFmtId="49" fontId="3" fillId="0" borderId="10" xfId="0" applyNumberFormat="1" applyFont="1" applyBorder="1" applyAlignment="1">
      <alignment horizontal="center" vertical="center" wrapText="1"/>
    </xf>
    <xf numFmtId="0" fontId="7" fillId="0" borderId="10"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0" xfId="0" applyNumberFormat="1" applyFont="1" applyBorder="1" applyAlignment="1">
      <alignment horizontal="center" wrapText="1"/>
    </xf>
    <xf numFmtId="0" fontId="57" fillId="24" borderId="19" xfId="0" applyFont="1" applyFill="1" applyBorder="1"/>
    <xf numFmtId="0" fontId="27" fillId="24" borderId="21" xfId="0" applyFont="1" applyFill="1" applyBorder="1" applyProtection="1">
      <protection hidden="1"/>
    </xf>
    <xf numFmtId="0" fontId="29" fillId="24" borderId="10" xfId="0" applyFont="1" applyFill="1" applyBorder="1"/>
    <xf numFmtId="0" fontId="3" fillId="24" borderId="12" xfId="0" applyFont="1" applyFill="1" applyBorder="1" applyAlignment="1">
      <alignment vertical="center" textRotation="90"/>
    </xf>
    <xf numFmtId="0" fontId="3" fillId="24" borderId="13" xfId="0" applyFont="1" applyFill="1" applyBorder="1" applyAlignment="1">
      <alignment vertical="center" textRotation="90"/>
    </xf>
    <xf numFmtId="0" fontId="3" fillId="26" borderId="22" xfId="0" applyFont="1" applyFill="1" applyBorder="1" applyAlignment="1"/>
    <xf numFmtId="0" fontId="3" fillId="26" borderId="21" xfId="0" applyFont="1" applyFill="1" applyBorder="1" applyAlignment="1">
      <alignment horizontal="center"/>
    </xf>
    <xf numFmtId="0" fontId="3" fillId="26" borderId="23" xfId="0" applyFont="1" applyFill="1" applyBorder="1" applyAlignment="1"/>
    <xf numFmtId="0" fontId="3" fillId="26" borderId="20" xfId="0" applyFont="1" applyFill="1" applyBorder="1" applyAlignment="1">
      <alignment horizontal="center"/>
    </xf>
    <xf numFmtId="0" fontId="3" fillId="24" borderId="16" xfId="0" applyFont="1" applyFill="1" applyBorder="1" applyAlignment="1">
      <alignment vertical="center" wrapText="1"/>
    </xf>
    <xf numFmtId="0" fontId="3" fillId="24" borderId="22" xfId="0" applyFont="1" applyFill="1" applyBorder="1" applyAlignment="1">
      <alignment vertical="top"/>
    </xf>
    <xf numFmtId="0" fontId="7" fillId="0" borderId="22" xfId="0" applyFont="1" applyBorder="1" applyAlignment="1">
      <alignment horizontal="left" vertical="center" wrapText="1"/>
    </xf>
    <xf numFmtId="0" fontId="7" fillId="0" borderId="16" xfId="0" applyFont="1" applyBorder="1" applyAlignment="1">
      <alignment horizontal="center" vertical="center"/>
    </xf>
    <xf numFmtId="0" fontId="7" fillId="0" borderId="16" xfId="0" applyFont="1" applyBorder="1" applyAlignment="1">
      <alignment vertical="center"/>
    </xf>
    <xf numFmtId="0" fontId="29" fillId="0" borderId="16" xfId="0" applyFont="1" applyBorder="1" applyAlignment="1">
      <alignment vertical="center"/>
    </xf>
    <xf numFmtId="0" fontId="3" fillId="24" borderId="23" xfId="0" applyFont="1" applyFill="1" applyBorder="1" applyAlignment="1">
      <alignment vertical="top"/>
    </xf>
    <xf numFmtId="0" fontId="3" fillId="24" borderId="12" xfId="0" applyFont="1" applyFill="1" applyBorder="1" applyAlignment="1">
      <alignment vertical="top"/>
    </xf>
    <xf numFmtId="0" fontId="5" fillId="26" borderId="23" xfId="0" applyFont="1" applyFill="1" applyBorder="1" applyAlignment="1">
      <alignment vertical="top"/>
    </xf>
    <xf numFmtId="0" fontId="7" fillId="0" borderId="10" xfId="0" applyFont="1" applyBorder="1" applyAlignment="1">
      <alignment horizontal="center" vertical="center"/>
    </xf>
    <xf numFmtId="0" fontId="7" fillId="0" borderId="10" xfId="0" applyFont="1" applyBorder="1" applyAlignment="1">
      <alignment horizontal="left" vertical="center" wrapText="1"/>
    </xf>
    <xf numFmtId="0" fontId="29" fillId="0" borderId="10" xfId="0" applyFont="1" applyBorder="1" applyAlignment="1" applyProtection="1">
      <alignment horizontal="center"/>
      <protection hidden="1"/>
    </xf>
    <xf numFmtId="49" fontId="5" fillId="26" borderId="16" xfId="0" applyNumberFormat="1" applyFont="1" applyFill="1" applyBorder="1" applyAlignment="1" applyProtection="1">
      <alignment horizontal="left" vertical="top"/>
      <protection hidden="1"/>
    </xf>
    <xf numFmtId="0" fontId="3" fillId="26" borderId="0" xfId="0" applyFont="1" applyFill="1" applyBorder="1" applyAlignment="1">
      <alignment horizontal="center" vertical="top"/>
    </xf>
    <xf numFmtId="0" fontId="3" fillId="24" borderId="13" xfId="0" applyFont="1" applyFill="1" applyBorder="1" applyAlignment="1">
      <alignment vertical="top"/>
    </xf>
    <xf numFmtId="0" fontId="3" fillId="26" borderId="17" xfId="0" applyFont="1" applyFill="1" applyBorder="1" applyAlignment="1"/>
    <xf numFmtId="0" fontId="5" fillId="26" borderId="22" xfId="0" applyFont="1" applyFill="1" applyBorder="1" applyAlignment="1"/>
    <xf numFmtId="0" fontId="3" fillId="26" borderId="21" xfId="0" applyFont="1" applyFill="1" applyBorder="1" applyAlignment="1"/>
    <xf numFmtId="0" fontId="5" fillId="26" borderId="23" xfId="0" applyFont="1" applyFill="1" applyBorder="1" applyAlignment="1"/>
    <xf numFmtId="0" fontId="27" fillId="24" borderId="10" xfId="0" applyFont="1" applyFill="1" applyBorder="1" applyAlignment="1">
      <alignment horizontal="center" vertical="top"/>
    </xf>
    <xf numFmtId="0" fontId="3" fillId="26" borderId="20" xfId="0" applyFont="1" applyFill="1" applyBorder="1" applyAlignment="1"/>
    <xf numFmtId="0" fontId="5" fillId="26" borderId="24" xfId="0" applyFont="1" applyFill="1" applyBorder="1" applyAlignment="1"/>
    <xf numFmtId="0" fontId="27" fillId="0" borderId="12" xfId="0" applyFont="1" applyBorder="1" applyAlignment="1">
      <alignment horizontal="center"/>
    </xf>
    <xf numFmtId="1" fontId="28" fillId="0" borderId="10" xfId="0" applyNumberFormat="1" applyFont="1" applyBorder="1" applyProtection="1">
      <protection hidden="1"/>
    </xf>
    <xf numFmtId="0" fontId="57" fillId="24" borderId="0" xfId="0" applyFont="1" applyFill="1" applyAlignment="1"/>
    <xf numFmtId="0" fontId="3" fillId="24" borderId="22" xfId="0" applyFont="1" applyFill="1" applyBorder="1" applyAlignment="1">
      <alignment horizontal="center" vertical="top" wrapText="1"/>
    </xf>
    <xf numFmtId="0" fontId="3" fillId="26" borderId="11" xfId="0" applyFont="1" applyFill="1" applyBorder="1" applyAlignment="1">
      <alignment vertical="top" wrapText="1"/>
    </xf>
    <xf numFmtId="0" fontId="3" fillId="24" borderId="23" xfId="0" applyFont="1" applyFill="1" applyBorder="1" applyAlignment="1">
      <alignment vertical="top" wrapText="1"/>
    </xf>
    <xf numFmtId="0" fontId="3" fillId="26" borderId="17" xfId="0" applyFont="1" applyFill="1" applyBorder="1" applyAlignment="1" applyProtection="1">
      <alignment horizontal="center" vertical="top" wrapText="1"/>
      <protection hidden="1"/>
    </xf>
    <xf numFmtId="0" fontId="3" fillId="26" borderId="22" xfId="0" applyFont="1" applyFill="1" applyBorder="1" applyAlignment="1" applyProtection="1">
      <alignment vertical="top" wrapText="1"/>
      <protection hidden="1"/>
    </xf>
    <xf numFmtId="0" fontId="3" fillId="26" borderId="21" xfId="0" applyFont="1" applyFill="1" applyBorder="1" applyAlignment="1" applyProtection="1">
      <alignment horizontal="center" vertical="top" wrapText="1"/>
      <protection hidden="1"/>
    </xf>
    <xf numFmtId="0" fontId="3" fillId="26" borderId="23" xfId="0" applyFont="1" applyFill="1" applyBorder="1" applyAlignment="1" applyProtection="1">
      <alignment vertical="top" wrapText="1"/>
      <protection hidden="1"/>
    </xf>
    <xf numFmtId="0" fontId="3" fillId="24" borderId="0" xfId="0" applyFont="1" applyFill="1" applyBorder="1" applyAlignment="1">
      <alignment vertical="top" wrapText="1"/>
    </xf>
    <xf numFmtId="0" fontId="3" fillId="26" borderId="23" xfId="0" applyFont="1" applyFill="1" applyBorder="1" applyAlignment="1" applyProtection="1">
      <alignment horizontal="left" vertical="top" wrapText="1"/>
      <protection hidden="1"/>
    </xf>
    <xf numFmtId="0" fontId="57" fillId="25" borderId="0" xfId="0" applyFont="1" applyFill="1" applyProtection="1">
      <protection locked="0"/>
    </xf>
    <xf numFmtId="0" fontId="3" fillId="26" borderId="20" xfId="0" applyFont="1" applyFill="1" applyBorder="1" applyAlignment="1" applyProtection="1">
      <alignment horizontal="center" vertical="top" wrapText="1"/>
      <protection hidden="1"/>
    </xf>
    <xf numFmtId="0" fontId="3" fillId="26" borderId="24" xfId="0" applyFont="1" applyFill="1" applyBorder="1" applyAlignment="1" applyProtection="1">
      <alignment horizontal="left" vertical="top" wrapText="1"/>
      <protection hidden="1"/>
    </xf>
    <xf numFmtId="0" fontId="3" fillId="26" borderId="22" xfId="0" applyFont="1" applyFill="1" applyBorder="1" applyAlignment="1">
      <alignment horizontal="left" vertical="top" wrapText="1"/>
    </xf>
    <xf numFmtId="0" fontId="3" fillId="26" borderId="23" xfId="0" applyFont="1" applyFill="1" applyBorder="1" applyAlignment="1">
      <alignment horizontal="left" vertical="top" wrapText="1"/>
    </xf>
    <xf numFmtId="0" fontId="3" fillId="26" borderId="24" xfId="0" applyFont="1" applyFill="1" applyBorder="1" applyAlignment="1">
      <alignment horizontal="left" vertical="top" wrapText="1"/>
    </xf>
    <xf numFmtId="0" fontId="3" fillId="24" borderId="23" xfId="0" applyFont="1" applyFill="1" applyBorder="1" applyAlignment="1">
      <alignment horizontal="center" vertical="top" wrapText="1"/>
    </xf>
    <xf numFmtId="0" fontId="3" fillId="24" borderId="0" xfId="0" applyFont="1" applyFill="1" applyBorder="1" applyAlignment="1">
      <alignment horizontal="center" vertical="top" wrapText="1"/>
    </xf>
    <xf numFmtId="0" fontId="3" fillId="0" borderId="12" xfId="0" applyFont="1" applyBorder="1" applyAlignment="1">
      <alignment horizontal="center" vertical="top" wrapText="1"/>
    </xf>
    <xf numFmtId="0" fontId="3" fillId="24" borderId="13" xfId="0" applyFont="1" applyFill="1" applyBorder="1" applyAlignment="1">
      <alignment vertical="top" wrapText="1"/>
    </xf>
    <xf numFmtId="0" fontId="3" fillId="0" borderId="11" xfId="0" applyFont="1" applyBorder="1" applyAlignment="1">
      <alignment horizontal="center" vertical="center" wrapText="1"/>
    </xf>
    <xf numFmtId="0" fontId="27" fillId="0" borderId="23" xfId="0" applyFont="1" applyBorder="1" applyAlignment="1">
      <alignment horizontal="center" vertical="top" wrapText="1"/>
    </xf>
    <xf numFmtId="0" fontId="27" fillId="0" borderId="14" xfId="0" applyFont="1" applyBorder="1" applyAlignment="1">
      <alignment horizontal="center" vertical="top" wrapText="1"/>
    </xf>
    <xf numFmtId="0" fontId="3" fillId="0" borderId="0" xfId="0" applyFont="1"/>
    <xf numFmtId="1" fontId="27" fillId="0" borderId="19" xfId="0" applyNumberFormat="1" applyFont="1" applyBorder="1" applyAlignment="1" applyProtection="1">
      <alignment horizontal="right" vertical="center"/>
      <protection hidden="1"/>
    </xf>
    <xf numFmtId="0" fontId="3" fillId="24" borderId="13" xfId="0" applyFont="1" applyFill="1" applyBorder="1" applyAlignment="1" applyProtection="1">
      <alignment horizontal="center"/>
      <protection hidden="1"/>
    </xf>
    <xf numFmtId="0" fontId="57" fillId="0" borderId="0" xfId="0" applyFont="1" applyFill="1"/>
    <xf numFmtId="0" fontId="57" fillId="0" borderId="0" xfId="0" applyFont="1" applyFill="1" applyProtection="1">
      <protection locked="0"/>
    </xf>
    <xf numFmtId="0" fontId="57" fillId="0" borderId="0" xfId="0" applyFont="1" applyFill="1" applyAlignment="1" applyProtection="1">
      <alignment horizontal="center"/>
      <protection locked="0"/>
    </xf>
    <xf numFmtId="165" fontId="29" fillId="0" borderId="10" xfId="0" applyNumberFormat="1" applyFont="1" applyBorder="1" applyAlignment="1">
      <alignment horizontal="center" vertical="top"/>
    </xf>
    <xf numFmtId="0" fontId="29" fillId="0" borderId="10" xfId="0" applyFont="1" applyBorder="1" applyAlignment="1">
      <alignment vertical="top"/>
    </xf>
    <xf numFmtId="9" fontId="57" fillId="0" borderId="0" xfId="0" applyNumberFormat="1" applyFont="1"/>
    <xf numFmtId="165" fontId="27" fillId="0" borderId="10" xfId="0" applyNumberFormat="1" applyFont="1" applyBorder="1" applyAlignment="1">
      <alignment horizontal="center" vertical="top" wrapText="1"/>
    </xf>
    <xf numFmtId="0" fontId="3" fillId="0" borderId="0" xfId="0" applyFont="1" applyBorder="1" applyAlignment="1">
      <alignment horizontal="center" vertical="center" textRotation="90"/>
    </xf>
    <xf numFmtId="165" fontId="29" fillId="0" borderId="0" xfId="0" applyNumberFormat="1" applyFont="1" applyBorder="1" applyAlignment="1">
      <alignment horizontal="center" vertical="top" wrapText="1"/>
    </xf>
    <xf numFmtId="0" fontId="3" fillId="0" borderId="0" xfId="0" applyFont="1" applyFill="1" applyBorder="1" applyAlignment="1">
      <alignment horizontal="left" vertical="top" wrapText="1"/>
    </xf>
    <xf numFmtId="1" fontId="43" fillId="0" borderId="10" xfId="0" applyNumberFormat="1" applyFont="1" applyFill="1" applyBorder="1" applyAlignment="1" applyProtection="1">
      <alignment horizontal="center" vertical="top"/>
      <protection hidden="1"/>
    </xf>
    <xf numFmtId="0" fontId="3" fillId="24" borderId="0" xfId="0" applyFont="1" applyFill="1" applyBorder="1" applyAlignment="1">
      <alignment horizontal="center" vertical="top"/>
    </xf>
    <xf numFmtId="0" fontId="29" fillId="24" borderId="0" xfId="0" applyFont="1" applyFill="1" applyBorder="1" applyAlignment="1">
      <alignment vertical="top"/>
    </xf>
    <xf numFmtId="0" fontId="3" fillId="24" borderId="0" xfId="0" applyFont="1" applyFill="1" applyBorder="1" applyAlignment="1">
      <alignment horizontal="center"/>
    </xf>
    <xf numFmtId="0" fontId="3" fillId="26" borderId="17" xfId="0" applyFont="1" applyFill="1" applyBorder="1" applyAlignment="1">
      <alignment horizontal="left"/>
    </xf>
    <xf numFmtId="0" fontId="27" fillId="0" borderId="10" xfId="0" applyFont="1" applyBorder="1" applyAlignment="1">
      <alignment horizontal="left" vertical="center" wrapText="1"/>
    </xf>
    <xf numFmtId="1" fontId="28" fillId="0" borderId="14" xfId="0" applyNumberFormat="1" applyFont="1" applyFill="1" applyBorder="1" applyAlignment="1" applyProtection="1">
      <alignment horizontal="right"/>
      <protection hidden="1"/>
    </xf>
    <xf numFmtId="0" fontId="3" fillId="26" borderId="21" xfId="0" applyFont="1" applyFill="1" applyBorder="1"/>
    <xf numFmtId="0" fontId="5" fillId="26" borderId="23" xfId="0" applyFont="1" applyFill="1" applyBorder="1"/>
    <xf numFmtId="0" fontId="3" fillId="26" borderId="20" xfId="0" applyFont="1" applyFill="1" applyBorder="1"/>
    <xf numFmtId="0" fontId="5" fillId="26" borderId="24" xfId="0" applyFont="1" applyFill="1" applyBorder="1"/>
    <xf numFmtId="165" fontId="29" fillId="24" borderId="16" xfId="0" applyNumberFormat="1" applyFont="1" applyFill="1" applyBorder="1" applyAlignment="1">
      <alignment horizontal="center"/>
    </xf>
    <xf numFmtId="0" fontId="3" fillId="26" borderId="17" xfId="0" applyFont="1" applyFill="1" applyBorder="1"/>
    <xf numFmtId="0" fontId="27" fillId="24" borderId="12" xfId="0" applyFont="1" applyFill="1" applyBorder="1" applyAlignment="1">
      <alignment horizontal="center" vertical="center"/>
    </xf>
    <xf numFmtId="1" fontId="28" fillId="0" borderId="14" xfId="0" applyNumberFormat="1" applyFont="1" applyFill="1" applyBorder="1" applyAlignment="1" applyProtection="1">
      <alignment horizontal="right" vertical="center"/>
      <protection hidden="1"/>
    </xf>
    <xf numFmtId="0" fontId="27" fillId="26" borderId="17" xfId="0" applyFont="1" applyFill="1" applyBorder="1"/>
    <xf numFmtId="0" fontId="28" fillId="26" borderId="22" xfId="0" applyFont="1" applyFill="1" applyBorder="1"/>
    <xf numFmtId="0" fontId="27" fillId="26" borderId="21" xfId="0" applyFont="1" applyFill="1" applyBorder="1"/>
    <xf numFmtId="0" fontId="28" fillId="26" borderId="23" xfId="0" applyFont="1" applyFill="1" applyBorder="1"/>
    <xf numFmtId="0" fontId="27" fillId="26" borderId="20" xfId="0" applyFont="1" applyFill="1" applyBorder="1"/>
    <xf numFmtId="0" fontId="28" fillId="26" borderId="24" xfId="0" applyFont="1" applyFill="1" applyBorder="1"/>
    <xf numFmtId="0" fontId="27" fillId="24" borderId="12" xfId="0" applyFont="1" applyFill="1" applyBorder="1" applyAlignment="1">
      <alignment vertical="center"/>
    </xf>
    <xf numFmtId="0" fontId="3" fillId="24" borderId="13" xfId="0" applyFont="1" applyFill="1" applyBorder="1" applyAlignment="1">
      <alignment horizontal="center" vertical="center"/>
    </xf>
    <xf numFmtId="0" fontId="3" fillId="24" borderId="10" xfId="0" applyFont="1" applyFill="1" applyBorder="1" applyAlignment="1">
      <alignment horizontal="center" vertical="center"/>
    </xf>
    <xf numFmtId="0" fontId="3" fillId="28" borderId="17" xfId="0" applyFont="1" applyFill="1" applyBorder="1" applyAlignment="1" applyProtection="1">
      <alignment horizontal="center"/>
    </xf>
    <xf numFmtId="0" fontId="3" fillId="28" borderId="22" xfId="0" applyFont="1" applyFill="1" applyBorder="1" applyProtection="1"/>
    <xf numFmtId="0" fontId="3" fillId="28" borderId="21" xfId="0" applyFont="1" applyFill="1" applyBorder="1" applyAlignment="1" applyProtection="1">
      <alignment horizontal="center"/>
    </xf>
    <xf numFmtId="0" fontId="3" fillId="28" borderId="23" xfId="0" applyFont="1" applyFill="1" applyBorder="1" applyProtection="1"/>
    <xf numFmtId="0" fontId="29" fillId="31" borderId="10" xfId="0" applyFont="1" applyFill="1" applyBorder="1" applyAlignment="1">
      <alignment horizontal="right"/>
    </xf>
    <xf numFmtId="0" fontId="3" fillId="24" borderId="12" xfId="0" applyFont="1" applyFill="1" applyBorder="1" applyAlignment="1" applyProtection="1">
      <alignment vertical="center" textRotation="90"/>
    </xf>
    <xf numFmtId="0" fontId="29" fillId="0" borderId="13" xfId="0" applyFont="1" applyBorder="1" applyAlignment="1" applyProtection="1">
      <alignment horizontal="center"/>
    </xf>
    <xf numFmtId="1" fontId="5" fillId="28" borderId="23" xfId="0" applyNumberFormat="1" applyFont="1" applyFill="1" applyBorder="1" applyAlignment="1" applyProtection="1">
      <alignment horizontal="right"/>
    </xf>
    <xf numFmtId="0" fontId="44" fillId="0" borderId="10" xfId="0" applyFont="1" applyBorder="1"/>
    <xf numFmtId="0" fontId="29" fillId="0" borderId="10" xfId="0" applyFont="1" applyBorder="1" applyAlignment="1" applyProtection="1">
      <alignment horizontal="center"/>
    </xf>
    <xf numFmtId="0" fontId="29" fillId="0" borderId="10" xfId="0" applyFont="1" applyBorder="1" applyAlignment="1" applyProtection="1">
      <alignment horizontal="center" vertical="center"/>
    </xf>
    <xf numFmtId="0" fontId="29" fillId="0" borderId="10" xfId="0" applyFont="1" applyBorder="1" applyAlignment="1" applyProtection="1">
      <alignment horizontal="center" vertical="top"/>
    </xf>
    <xf numFmtId="0" fontId="29" fillId="24" borderId="10" xfId="0" applyFont="1" applyFill="1" applyBorder="1" applyAlignment="1" applyProtection="1">
      <alignment horizontal="center"/>
    </xf>
    <xf numFmtId="0" fontId="29" fillId="24" borderId="10" xfId="0" applyFont="1" applyFill="1" applyBorder="1" applyAlignment="1" applyProtection="1">
      <alignment horizontal="center" vertical="top"/>
    </xf>
    <xf numFmtId="0" fontId="27" fillId="24" borderId="10" xfId="0" applyFont="1" applyFill="1" applyBorder="1" applyAlignment="1" applyProtection="1">
      <alignment horizontal="center"/>
    </xf>
    <xf numFmtId="0" fontId="29" fillId="0" borderId="10" xfId="877" applyFont="1" applyBorder="1"/>
    <xf numFmtId="0" fontId="27" fillId="0" borderId="10" xfId="0" applyFont="1" applyBorder="1" applyAlignment="1" applyProtection="1">
      <alignment horizontal="center" vertical="center"/>
    </xf>
    <xf numFmtId="0" fontId="29" fillId="0" borderId="14" xfId="0" applyFont="1" applyBorder="1" applyAlignment="1" applyProtection="1">
      <alignment horizontal="center" vertical="center"/>
    </xf>
    <xf numFmtId="0" fontId="29" fillId="24" borderId="11" xfId="0" applyFont="1" applyFill="1" applyBorder="1" applyAlignment="1" applyProtection="1">
      <alignment horizontal="center"/>
    </xf>
    <xf numFmtId="0" fontId="27" fillId="0" borderId="14" xfId="0" applyFont="1" applyBorder="1" applyProtection="1"/>
    <xf numFmtId="0" fontId="27" fillId="0" borderId="10" xfId="0" applyFont="1" applyFill="1" applyBorder="1" applyAlignment="1" applyProtection="1">
      <alignment horizontal="center" vertical="center"/>
    </xf>
    <xf numFmtId="0" fontId="27" fillId="24" borderId="14" xfId="0" applyFont="1" applyFill="1" applyBorder="1" applyProtection="1"/>
    <xf numFmtId="0" fontId="27" fillId="0" borderId="10" xfId="0" applyFont="1" applyFill="1" applyBorder="1" applyAlignment="1" applyProtection="1">
      <alignment horizontal="center"/>
    </xf>
    <xf numFmtId="0" fontId="3" fillId="0" borderId="14"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27" fillId="24" borderId="19" xfId="0" applyFont="1" applyFill="1" applyBorder="1" applyProtection="1"/>
    <xf numFmtId="0" fontId="27" fillId="24" borderId="11" xfId="0" applyFont="1" applyFill="1" applyBorder="1" applyProtection="1"/>
    <xf numFmtId="0" fontId="27" fillId="0" borderId="10" xfId="0" applyFont="1" applyFill="1" applyBorder="1" applyAlignment="1" applyProtection="1">
      <alignment horizontal="center" vertical="top"/>
    </xf>
    <xf numFmtId="0" fontId="3" fillId="24" borderId="23" xfId="0" applyFont="1" applyFill="1" applyBorder="1" applyAlignment="1" applyProtection="1">
      <alignment vertical="center" textRotation="90"/>
    </xf>
    <xf numFmtId="0" fontId="3" fillId="26" borderId="21" xfId="0" applyFont="1" applyFill="1" applyBorder="1" applyAlignment="1" applyProtection="1">
      <alignment horizontal="center"/>
    </xf>
    <xf numFmtId="0" fontId="3" fillId="26" borderId="23" xfId="0" applyFont="1" applyFill="1" applyBorder="1" applyProtection="1"/>
    <xf numFmtId="0" fontId="3" fillId="0" borderId="24" xfId="0" applyFont="1" applyBorder="1" applyAlignment="1" applyProtection="1">
      <alignment horizontal="center"/>
    </xf>
    <xf numFmtId="0" fontId="3" fillId="0" borderId="10" xfId="0" applyFont="1" applyBorder="1" applyAlignment="1" applyProtection="1">
      <alignment horizontal="center" vertical="top"/>
    </xf>
    <xf numFmtId="0" fontId="27" fillId="0" borderId="0" xfId="0" applyFont="1" applyFill="1" applyBorder="1" applyAlignment="1" applyProtection="1">
      <alignment horizontal="center" vertical="center"/>
    </xf>
    <xf numFmtId="0" fontId="27" fillId="0" borderId="14" xfId="0" applyFont="1" applyFill="1" applyBorder="1" applyAlignment="1" applyProtection="1">
      <alignment vertical="top"/>
    </xf>
    <xf numFmtId="0" fontId="3" fillId="26" borderId="17" xfId="0" applyFont="1" applyFill="1" applyBorder="1" applyAlignment="1" applyProtection="1">
      <alignment horizontal="center"/>
    </xf>
    <xf numFmtId="0" fontId="3" fillId="26" borderId="22" xfId="0" applyFont="1" applyFill="1" applyBorder="1" applyProtection="1"/>
    <xf numFmtId="165" fontId="29" fillId="24" borderId="12" xfId="0" applyNumberFormat="1" applyFont="1" applyFill="1" applyBorder="1" applyAlignment="1" applyProtection="1">
      <alignment vertical="top"/>
    </xf>
    <xf numFmtId="1" fontId="5" fillId="25" borderId="10" xfId="0" applyNumberFormat="1" applyFont="1" applyFill="1" applyBorder="1" applyAlignment="1" applyProtection="1">
      <alignment horizontal="right" vertical="top"/>
      <protection locked="0"/>
    </xf>
    <xf numFmtId="165" fontId="29" fillId="24" borderId="13" xfId="0" applyNumberFormat="1" applyFont="1" applyFill="1" applyBorder="1" applyAlignment="1" applyProtection="1">
      <alignment vertical="top"/>
    </xf>
    <xf numFmtId="0" fontId="3" fillId="24" borderId="19" xfId="0" applyFont="1" applyFill="1" applyBorder="1" applyAlignment="1" applyProtection="1">
      <alignment horizontal="center"/>
    </xf>
    <xf numFmtId="0" fontId="3" fillId="24" borderId="11" xfId="0" applyFont="1" applyFill="1" applyBorder="1" applyProtection="1"/>
    <xf numFmtId="0" fontId="3" fillId="24" borderId="16" xfId="0" applyFont="1" applyFill="1" applyBorder="1" applyAlignment="1" applyProtection="1">
      <alignment horizontal="center"/>
    </xf>
    <xf numFmtId="0" fontId="3" fillId="24" borderId="12" xfId="0" applyFont="1" applyFill="1" applyBorder="1" applyAlignment="1" applyProtection="1">
      <alignment vertical="top"/>
    </xf>
    <xf numFmtId="0" fontId="3" fillId="0" borderId="12" xfId="0" applyFont="1" applyBorder="1" applyAlignment="1" applyProtection="1">
      <alignment horizontal="center"/>
    </xf>
    <xf numFmtId="0" fontId="3" fillId="26" borderId="14" xfId="0" applyFont="1" applyFill="1" applyBorder="1" applyAlignment="1" applyProtection="1">
      <alignment horizontal="center"/>
    </xf>
    <xf numFmtId="0" fontId="3" fillId="26" borderId="11" xfId="0" applyFont="1" applyFill="1" applyBorder="1" applyProtection="1"/>
    <xf numFmtId="0" fontId="3" fillId="26" borderId="0" xfId="0" applyFont="1" applyFill="1" applyBorder="1" applyAlignment="1" applyProtection="1">
      <alignment horizontal="center"/>
    </xf>
    <xf numFmtId="0" fontId="3" fillId="24" borderId="10" xfId="0" applyFont="1" applyFill="1" applyBorder="1" applyAlignment="1" applyProtection="1">
      <alignment horizontal="center"/>
    </xf>
    <xf numFmtId="0" fontId="3" fillId="24" borderId="24" xfId="0" applyFont="1" applyFill="1" applyBorder="1" applyAlignment="1" applyProtection="1">
      <alignment horizontal="left"/>
    </xf>
    <xf numFmtId="0" fontId="29" fillId="24" borderId="10" xfId="0" applyFont="1" applyFill="1" applyBorder="1" applyAlignment="1" applyProtection="1">
      <alignment horizontal="center" wrapText="1"/>
    </xf>
    <xf numFmtId="0" fontId="3" fillId="24" borderId="19" xfId="0" applyFont="1" applyFill="1" applyBorder="1" applyAlignment="1" applyProtection="1">
      <alignment wrapText="1"/>
    </xf>
    <xf numFmtId="0" fontId="3" fillId="24" borderId="11" xfId="0" applyFont="1" applyFill="1" applyBorder="1" applyAlignment="1" applyProtection="1">
      <alignment wrapText="1"/>
    </xf>
    <xf numFmtId="0" fontId="29" fillId="0" borderId="10" xfId="0" applyFont="1" applyBorder="1" applyAlignment="1" applyProtection="1">
      <alignment horizontal="center" vertical="top" wrapText="1"/>
    </xf>
    <xf numFmtId="0" fontId="3" fillId="26" borderId="20" xfId="0" applyFont="1" applyFill="1" applyBorder="1" applyAlignment="1" applyProtection="1">
      <alignment horizontal="center" vertical="center"/>
    </xf>
    <xf numFmtId="0" fontId="3" fillId="26" borderId="24" xfId="0" applyFont="1" applyFill="1" applyBorder="1" applyProtection="1"/>
    <xf numFmtId="0" fontId="3" fillId="24" borderId="13" xfId="0" applyFont="1" applyFill="1" applyBorder="1" applyAlignment="1" applyProtection="1">
      <alignment vertical="top"/>
    </xf>
    <xf numFmtId="1" fontId="28" fillId="0" borderId="10" xfId="0" applyNumberFormat="1" applyFont="1" applyFill="1" applyBorder="1" applyAlignment="1" applyProtection="1">
      <alignment horizontal="right" vertical="top"/>
      <protection hidden="1"/>
    </xf>
    <xf numFmtId="0" fontId="3" fillId="0" borderId="19" xfId="0" applyFont="1" applyBorder="1" applyAlignment="1" applyProtection="1">
      <alignment horizontal="left"/>
    </xf>
    <xf numFmtId="0" fontId="3" fillId="0" borderId="11" xfId="0" applyFont="1" applyBorder="1" applyAlignment="1" applyProtection="1">
      <alignment horizontal="center"/>
    </xf>
    <xf numFmtId="0" fontId="27" fillId="0" borderId="24" xfId="0" applyFont="1" applyFill="1" applyBorder="1" applyAlignment="1" applyProtection="1">
      <alignment horizontal="center"/>
    </xf>
    <xf numFmtId="0" fontId="27" fillId="0" borderId="14" xfId="0" applyFont="1" applyFill="1" applyBorder="1" applyAlignment="1" applyProtection="1">
      <alignment horizontal="center"/>
      <protection hidden="1"/>
    </xf>
    <xf numFmtId="0" fontId="27" fillId="0" borderId="10" xfId="0" applyFont="1" applyBorder="1" applyAlignment="1" applyProtection="1">
      <alignment horizontal="center" vertical="top"/>
    </xf>
    <xf numFmtId="0" fontId="27" fillId="0" borderId="16" xfId="0" applyFont="1" applyFill="1" applyBorder="1" applyAlignment="1" applyProtection="1">
      <alignment horizontal="center"/>
    </xf>
    <xf numFmtId="165" fontId="29" fillId="0" borderId="10" xfId="0" applyNumberFormat="1" applyFont="1" applyBorder="1" applyAlignment="1" applyProtection="1">
      <alignment horizontal="center" vertical="top"/>
    </xf>
    <xf numFmtId="0" fontId="27" fillId="0" borderId="19" xfId="0" applyFont="1" applyFill="1" applyBorder="1" applyAlignment="1" applyProtection="1">
      <alignment horizontal="center"/>
    </xf>
    <xf numFmtId="1" fontId="28" fillId="0" borderId="22" xfId="0" applyNumberFormat="1" applyFont="1" applyFill="1" applyBorder="1" applyAlignment="1" applyProtection="1">
      <alignment horizontal="right"/>
      <protection hidden="1"/>
    </xf>
    <xf numFmtId="165" fontId="29" fillId="24" borderId="10" xfId="0" applyNumberFormat="1" applyFont="1" applyFill="1" applyBorder="1" applyAlignment="1" applyProtection="1">
      <alignment horizontal="center" vertical="top"/>
    </xf>
    <xf numFmtId="0" fontId="3" fillId="26" borderId="17" xfId="0" applyFont="1" applyFill="1" applyBorder="1" applyProtection="1"/>
    <xf numFmtId="165" fontId="29" fillId="24" borderId="12" xfId="0" applyNumberFormat="1" applyFont="1" applyFill="1" applyBorder="1" applyAlignment="1" applyProtection="1">
      <alignment horizontal="center" vertical="top"/>
    </xf>
    <xf numFmtId="0" fontId="3" fillId="26" borderId="21" xfId="0" applyFont="1" applyFill="1" applyBorder="1" applyProtection="1"/>
    <xf numFmtId="0" fontId="3" fillId="0" borderId="10" xfId="0" applyFont="1" applyFill="1" applyBorder="1" applyAlignment="1" applyProtection="1">
      <alignment horizontal="center"/>
    </xf>
    <xf numFmtId="0" fontId="3" fillId="24" borderId="21" xfId="0" applyFont="1" applyFill="1" applyBorder="1" applyAlignment="1" applyProtection="1">
      <alignment horizontal="center"/>
    </xf>
    <xf numFmtId="0" fontId="27" fillId="0" borderId="20" xfId="0" applyFont="1" applyFill="1" applyBorder="1" applyAlignment="1" applyProtection="1">
      <alignment horizontal="center"/>
    </xf>
    <xf numFmtId="165" fontId="27" fillId="0" borderId="10" xfId="0" applyNumberFormat="1" applyFont="1" applyFill="1" applyBorder="1" applyAlignment="1" applyProtection="1">
      <alignment horizontal="center"/>
      <protection hidden="1"/>
    </xf>
    <xf numFmtId="0" fontId="27" fillId="0" borderId="14" xfId="0" applyFont="1" applyFill="1" applyBorder="1" applyAlignment="1" applyProtection="1">
      <alignment horizontal="left"/>
      <protection hidden="1"/>
    </xf>
    <xf numFmtId="0" fontId="27" fillId="24" borderId="19" xfId="0" applyFont="1" applyFill="1" applyBorder="1" applyAlignment="1" applyProtection="1">
      <alignment horizontal="left"/>
      <protection hidden="1"/>
    </xf>
    <xf numFmtId="0" fontId="27" fillId="24" borderId="11" xfId="0" applyFont="1" applyFill="1" applyBorder="1" applyAlignment="1" applyProtection="1">
      <alignment horizontal="left"/>
      <protection hidden="1"/>
    </xf>
    <xf numFmtId="0" fontId="3" fillId="24" borderId="23" xfId="0" applyFont="1" applyFill="1" applyBorder="1" applyAlignment="1" applyProtection="1">
      <alignment vertical="center" textRotation="90"/>
      <protection hidden="1"/>
    </xf>
    <xf numFmtId="0" fontId="3" fillId="24" borderId="12" xfId="0" applyFont="1" applyFill="1" applyBorder="1" applyAlignment="1" applyProtection="1">
      <alignment vertical="center" textRotation="90"/>
      <protection hidden="1"/>
    </xf>
    <xf numFmtId="0" fontId="57" fillId="0" borderId="10" xfId="0" applyFont="1" applyBorder="1" applyProtection="1">
      <protection hidden="1"/>
    </xf>
    <xf numFmtId="1" fontId="57" fillId="0" borderId="10" xfId="0" applyNumberFormat="1" applyFont="1" applyBorder="1" applyProtection="1">
      <protection hidden="1"/>
    </xf>
    <xf numFmtId="165" fontId="3" fillId="0" borderId="16" xfId="0" applyNumberFormat="1" applyFont="1" applyBorder="1" applyAlignment="1" applyProtection="1">
      <alignment horizontal="center"/>
      <protection hidden="1"/>
    </xf>
    <xf numFmtId="165" fontId="3" fillId="24" borderId="16" xfId="0" applyNumberFormat="1" applyFont="1" applyFill="1" applyBorder="1" applyAlignment="1" applyProtection="1">
      <alignment horizontal="center"/>
      <protection hidden="1"/>
    </xf>
    <xf numFmtId="0" fontId="3" fillId="0" borderId="11" xfId="0" applyFont="1" applyBorder="1" applyAlignment="1" applyProtection="1">
      <alignment horizontal="center" vertical="top"/>
      <protection hidden="1"/>
    </xf>
    <xf numFmtId="0" fontId="3" fillId="0" borderId="10" xfId="0" applyFont="1" applyBorder="1" applyAlignment="1" applyProtection="1">
      <alignment horizontal="center" vertical="top"/>
      <protection hidden="1"/>
    </xf>
    <xf numFmtId="0" fontId="3" fillId="26" borderId="17" xfId="0" applyFont="1" applyFill="1" applyBorder="1" applyAlignment="1" applyProtection="1">
      <alignment horizontal="center"/>
      <protection hidden="1"/>
    </xf>
    <xf numFmtId="0" fontId="3" fillId="26" borderId="22" xfId="0" applyFont="1" applyFill="1" applyBorder="1" applyProtection="1">
      <protection hidden="1"/>
    </xf>
    <xf numFmtId="165" fontId="3" fillId="24" borderId="12" xfId="0" applyNumberFormat="1" applyFont="1" applyFill="1" applyBorder="1" applyAlignment="1" applyProtection="1">
      <alignment horizontal="center"/>
      <protection hidden="1"/>
    </xf>
    <xf numFmtId="0" fontId="3" fillId="26" borderId="21" xfId="0" applyFont="1" applyFill="1" applyBorder="1" applyAlignment="1" applyProtection="1">
      <alignment horizontal="center"/>
      <protection hidden="1"/>
    </xf>
    <xf numFmtId="0" fontId="3" fillId="26" borderId="23" xfId="0" applyFont="1" applyFill="1" applyBorder="1" applyProtection="1">
      <protection hidden="1"/>
    </xf>
    <xf numFmtId="165" fontId="3" fillId="24" borderId="13" xfId="0" applyNumberFormat="1" applyFont="1" applyFill="1" applyBorder="1" applyAlignment="1" applyProtection="1">
      <alignment horizontal="center"/>
      <protection hidden="1"/>
    </xf>
    <xf numFmtId="0" fontId="27" fillId="0" borderId="14" xfId="0" applyFont="1" applyBorder="1" applyAlignment="1" applyProtection="1">
      <alignment horizontal="center"/>
      <protection hidden="1"/>
    </xf>
    <xf numFmtId="0" fontId="45" fillId="0" borderId="10" xfId="0" applyFont="1" applyBorder="1"/>
    <xf numFmtId="0" fontId="29" fillId="24" borderId="19" xfId="0" applyFont="1" applyFill="1" applyBorder="1" applyAlignment="1" applyProtection="1">
      <alignment vertical="top"/>
    </xf>
    <xf numFmtId="0" fontId="27" fillId="0" borderId="11" xfId="0" applyFont="1" applyFill="1" applyBorder="1" applyAlignment="1" applyProtection="1">
      <alignment horizontal="center"/>
    </xf>
    <xf numFmtId="0" fontId="27" fillId="26" borderId="21" xfId="0" applyFont="1" applyFill="1" applyBorder="1" applyAlignment="1" applyProtection="1">
      <alignment horizontal="center"/>
    </xf>
    <xf numFmtId="0" fontId="27" fillId="26" borderId="23" xfId="0" applyFont="1" applyFill="1" applyBorder="1" applyProtection="1"/>
    <xf numFmtId="0" fontId="27" fillId="0" borderId="14" xfId="0" applyFont="1" applyFill="1" applyBorder="1" applyAlignment="1" applyProtection="1">
      <alignment horizontal="center"/>
    </xf>
    <xf numFmtId="0" fontId="29" fillId="0" borderId="14" xfId="0" applyFont="1" applyBorder="1" applyAlignment="1" applyProtection="1">
      <alignment vertical="top"/>
    </xf>
    <xf numFmtId="0" fontId="29" fillId="0" borderId="16" xfId="0" applyFont="1" applyBorder="1" applyAlignment="1" applyProtection="1">
      <alignment horizontal="left" vertical="top"/>
    </xf>
    <xf numFmtId="0" fontId="3" fillId="0" borderId="14" xfId="0" applyFont="1" applyBorder="1" applyAlignment="1" applyProtection="1"/>
    <xf numFmtId="0" fontId="27" fillId="0" borderId="10" xfId="0" applyFont="1" applyFill="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24" borderId="19" xfId="0" applyFont="1" applyFill="1" applyBorder="1" applyAlignment="1" applyProtection="1">
      <alignment vertical="center" wrapText="1"/>
    </xf>
    <xf numFmtId="0" fontId="29" fillId="24" borderId="18" xfId="0" applyFont="1" applyFill="1" applyBorder="1" applyAlignment="1" applyProtection="1">
      <alignment vertical="center" wrapText="1"/>
    </xf>
    <xf numFmtId="0" fontId="3" fillId="24" borderId="18" xfId="0" applyFont="1" applyFill="1" applyBorder="1" applyAlignment="1" applyProtection="1">
      <alignment wrapText="1"/>
    </xf>
    <xf numFmtId="0" fontId="3" fillId="24" borderId="22" xfId="0" applyFont="1" applyFill="1" applyBorder="1" applyAlignment="1" applyProtection="1">
      <alignment wrapText="1"/>
    </xf>
    <xf numFmtId="0" fontId="27" fillId="0" borderId="10" xfId="0" applyFont="1" applyFill="1" applyBorder="1" applyAlignment="1" applyProtection="1">
      <alignment horizontal="left"/>
    </xf>
    <xf numFmtId="0" fontId="27" fillId="24" borderId="20" xfId="0" applyFont="1" applyFill="1" applyBorder="1" applyProtection="1"/>
    <xf numFmtId="0" fontId="27" fillId="24" borderId="15" xfId="0" applyFont="1" applyFill="1" applyBorder="1" applyProtection="1"/>
    <xf numFmtId="0" fontId="27" fillId="24" borderId="24" xfId="0" applyFont="1" applyFill="1" applyBorder="1" applyProtection="1"/>
    <xf numFmtId="0" fontId="3" fillId="0" borderId="10" xfId="0" applyFont="1" applyBorder="1" applyAlignment="1" applyProtection="1">
      <alignment horizontal="left" vertical="top"/>
    </xf>
    <xf numFmtId="0" fontId="27" fillId="0" borderId="10" xfId="0" applyFont="1" applyBorder="1" applyAlignment="1" applyProtection="1">
      <alignment horizontal="center"/>
    </xf>
    <xf numFmtId="0" fontId="27" fillId="0" borderId="10" xfId="0" applyFont="1" applyBorder="1" applyAlignment="1" applyProtection="1">
      <alignment horizontal="left" vertical="top"/>
    </xf>
    <xf numFmtId="165" fontId="29" fillId="0" borderId="16" xfId="0" applyNumberFormat="1" applyFont="1" applyBorder="1" applyAlignment="1" applyProtection="1">
      <alignment horizontal="center" vertical="center"/>
    </xf>
    <xf numFmtId="0" fontId="3" fillId="24" borderId="21" xfId="0" applyFont="1" applyFill="1" applyBorder="1" applyAlignment="1" applyProtection="1">
      <alignment vertical="center" textRotation="90"/>
    </xf>
    <xf numFmtId="165" fontId="29" fillId="24" borderId="16" xfId="0" applyNumberFormat="1" applyFont="1" applyFill="1" applyBorder="1" applyAlignment="1" applyProtection="1">
      <alignment horizontal="center" vertical="center"/>
    </xf>
    <xf numFmtId="0" fontId="29" fillId="0" borderId="19" xfId="0" applyFont="1" applyBorder="1" applyAlignment="1" applyProtection="1">
      <alignment horizontal="left" vertical="top"/>
    </xf>
    <xf numFmtId="165" fontId="29" fillId="24" borderId="12" xfId="0" applyNumberFormat="1" applyFont="1" applyFill="1" applyBorder="1" applyAlignment="1" applyProtection="1">
      <alignment horizontal="center" vertical="center"/>
    </xf>
    <xf numFmtId="0" fontId="29" fillId="24" borderId="11" xfId="0" applyFont="1" applyFill="1" applyBorder="1" applyAlignment="1" applyProtection="1">
      <alignment vertical="top"/>
    </xf>
    <xf numFmtId="165" fontId="29" fillId="24" borderId="13" xfId="0" applyNumberFormat="1" applyFont="1" applyFill="1" applyBorder="1" applyAlignment="1" applyProtection="1">
      <alignment horizontal="center" vertical="center"/>
    </xf>
    <xf numFmtId="165" fontId="29" fillId="0" borderId="12" xfId="0" applyNumberFormat="1" applyFont="1" applyBorder="1" applyAlignment="1" applyProtection="1">
      <alignment vertical="top"/>
    </xf>
    <xf numFmtId="0" fontId="3" fillId="0" borderId="10" xfId="0" applyFont="1" applyBorder="1" applyAlignment="1" applyProtection="1">
      <alignment horizontal="left"/>
    </xf>
    <xf numFmtId="0" fontId="3" fillId="0" borderId="16" xfId="0" applyFont="1" applyBorder="1" applyAlignment="1" applyProtection="1">
      <alignment horizontal="center"/>
    </xf>
    <xf numFmtId="0" fontId="29" fillId="0" borderId="19" xfId="0" applyFont="1" applyBorder="1" applyAlignment="1" applyProtection="1">
      <alignment vertical="center" wrapText="1"/>
    </xf>
    <xf numFmtId="165" fontId="29" fillId="24" borderId="21" xfId="0" applyNumberFormat="1" applyFont="1" applyFill="1" applyBorder="1" applyAlignment="1" applyProtection="1">
      <alignment vertical="top"/>
    </xf>
    <xf numFmtId="0" fontId="29" fillId="0" borderId="11" xfId="0" applyFont="1" applyBorder="1" applyAlignment="1" applyProtection="1">
      <alignment horizontal="center" vertical="center"/>
    </xf>
    <xf numFmtId="0" fontId="29" fillId="0" borderId="18" xfId="0" applyFont="1" applyBorder="1" applyAlignment="1" applyProtection="1">
      <alignment vertical="center"/>
    </xf>
    <xf numFmtId="0" fontId="3" fillId="0" borderId="18" xfId="0" applyFont="1" applyBorder="1" applyAlignment="1" applyProtection="1"/>
    <xf numFmtId="0" fontId="3" fillId="0" borderId="19" xfId="0" applyFont="1" applyBorder="1" applyAlignment="1" applyProtection="1"/>
    <xf numFmtId="0" fontId="3" fillId="24" borderId="15" xfId="0" applyFont="1" applyFill="1" applyBorder="1" applyAlignment="1" applyProtection="1">
      <alignment wrapText="1"/>
    </xf>
    <xf numFmtId="0" fontId="3" fillId="24" borderId="24" xfId="0" applyFont="1" applyFill="1" applyBorder="1" applyAlignment="1" applyProtection="1">
      <alignment wrapText="1"/>
    </xf>
    <xf numFmtId="0" fontId="27" fillId="0" borderId="15" xfId="0" applyFont="1" applyFill="1" applyBorder="1" applyAlignment="1" applyProtection="1">
      <alignment horizontal="center" vertical="top"/>
    </xf>
    <xf numFmtId="0" fontId="27" fillId="0" borderId="10" xfId="0" applyFont="1" applyFill="1" applyBorder="1" applyAlignment="1" applyProtection="1">
      <alignment horizontal="left" vertical="top"/>
    </xf>
    <xf numFmtId="0" fontId="27" fillId="0" borderId="14" xfId="0" applyFont="1" applyBorder="1" applyAlignment="1" applyProtection="1"/>
    <xf numFmtId="0" fontId="27" fillId="0" borderId="13" xfId="0" applyFont="1" applyFill="1" applyBorder="1" applyAlignment="1" applyProtection="1">
      <alignment horizontal="center"/>
    </xf>
    <xf numFmtId="0" fontId="3" fillId="0" borderId="16" xfId="0" applyFont="1" applyBorder="1" applyAlignment="1" applyProtection="1">
      <alignment horizontal="left"/>
    </xf>
    <xf numFmtId="0" fontId="27" fillId="0" borderId="17" xfId="0" applyFont="1" applyBorder="1" applyProtection="1"/>
    <xf numFmtId="0" fontId="27" fillId="24" borderId="18" xfId="0" applyFont="1" applyFill="1" applyBorder="1" applyProtection="1"/>
    <xf numFmtId="0" fontId="27" fillId="24" borderId="22" xfId="0" applyFont="1" applyFill="1" applyBorder="1" applyProtection="1"/>
    <xf numFmtId="0" fontId="3" fillId="0" borderId="25" xfId="0" applyFont="1" applyBorder="1" applyAlignment="1" applyProtection="1"/>
    <xf numFmtId="0" fontId="5" fillId="0" borderId="19" xfId="0" applyFont="1" applyBorder="1" applyAlignment="1" applyProtection="1"/>
    <xf numFmtId="0" fontId="5" fillId="24" borderId="19" xfId="0" applyFont="1" applyFill="1" applyBorder="1" applyAlignment="1" applyProtection="1"/>
    <xf numFmtId="0" fontId="5" fillId="24" borderId="11" xfId="0" applyFont="1" applyFill="1" applyBorder="1" applyAlignment="1" applyProtection="1"/>
    <xf numFmtId="0" fontId="3" fillId="24" borderId="12" xfId="0" applyFont="1" applyFill="1" applyBorder="1" applyAlignment="1" applyProtection="1">
      <alignment horizontal="center"/>
    </xf>
    <xf numFmtId="0" fontId="5" fillId="0" borderId="26" xfId="0" applyFont="1" applyBorder="1" applyAlignment="1" applyProtection="1"/>
    <xf numFmtId="0" fontId="3" fillId="0" borderId="27" xfId="0" applyFont="1" applyBorder="1" applyAlignment="1" applyProtection="1"/>
    <xf numFmtId="0" fontId="5" fillId="0" borderId="28" xfId="0" applyFont="1" applyBorder="1" applyAlignment="1" applyProtection="1"/>
    <xf numFmtId="0" fontId="5" fillId="24" borderId="18" xfId="0" applyFont="1" applyFill="1" applyBorder="1" applyAlignment="1" applyProtection="1"/>
    <xf numFmtId="0" fontId="5" fillId="24" borderId="22" xfId="0" applyFont="1" applyFill="1" applyBorder="1" applyAlignment="1" applyProtection="1"/>
    <xf numFmtId="0" fontId="27" fillId="24" borderId="13" xfId="0" applyFont="1" applyFill="1" applyBorder="1" applyAlignment="1" applyProtection="1">
      <alignment horizontal="left"/>
    </xf>
    <xf numFmtId="0" fontId="3" fillId="24" borderId="11" xfId="0" applyFont="1" applyFill="1" applyBorder="1" applyAlignment="1" applyProtection="1">
      <alignment horizontal="center"/>
    </xf>
    <xf numFmtId="0" fontId="5" fillId="24" borderId="15" xfId="0" applyFont="1" applyFill="1" applyBorder="1" applyAlignment="1" applyProtection="1"/>
    <xf numFmtId="0" fontId="3" fillId="24" borderId="15" xfId="0" applyFont="1" applyFill="1" applyBorder="1" applyAlignment="1" applyProtection="1">
      <alignment horizontal="center"/>
    </xf>
    <xf numFmtId="0" fontId="3" fillId="24" borderId="24" xfId="0" applyFont="1" applyFill="1" applyBorder="1" applyAlignment="1" applyProtection="1">
      <alignment horizontal="center"/>
    </xf>
    <xf numFmtId="0" fontId="3" fillId="0" borderId="14" xfId="0" applyFont="1" applyBorder="1" applyAlignment="1" applyProtection="1">
      <alignment vertical="top"/>
    </xf>
    <xf numFmtId="0" fontId="3" fillId="24" borderId="13" xfId="0" applyFont="1" applyFill="1" applyBorder="1" applyAlignment="1" applyProtection="1">
      <alignment horizontal="center"/>
    </xf>
    <xf numFmtId="0" fontId="27" fillId="24" borderId="19" xfId="0" applyFont="1" applyFill="1" applyBorder="1" applyAlignment="1" applyProtection="1">
      <alignment wrapText="1"/>
    </xf>
    <xf numFmtId="0" fontId="27" fillId="24" borderId="11" xfId="0" applyFont="1" applyFill="1" applyBorder="1" applyAlignment="1" applyProtection="1">
      <alignment wrapText="1"/>
    </xf>
    <xf numFmtId="0" fontId="28" fillId="24" borderId="15" xfId="0" applyFont="1" applyFill="1" applyBorder="1" applyAlignment="1" applyProtection="1"/>
    <xf numFmtId="0" fontId="27" fillId="24" borderId="15" xfId="0" applyFont="1" applyFill="1" applyBorder="1" applyAlignment="1" applyProtection="1">
      <alignment horizontal="center"/>
    </xf>
    <xf numFmtId="0" fontId="27" fillId="24" borderId="24" xfId="0" applyFont="1" applyFill="1" applyBorder="1" applyAlignment="1" applyProtection="1">
      <alignment horizontal="center"/>
    </xf>
    <xf numFmtId="1" fontId="28" fillId="0" borderId="10" xfId="0" applyNumberFormat="1" applyFont="1" applyFill="1" applyBorder="1" applyAlignment="1" applyProtection="1">
      <alignment horizontal="right"/>
    </xf>
    <xf numFmtId="1" fontId="28" fillId="0" borderId="22" xfId="0" applyNumberFormat="1" applyFont="1" applyFill="1" applyBorder="1" applyAlignment="1" applyProtection="1">
      <alignment horizontal="right"/>
    </xf>
    <xf numFmtId="0" fontId="3" fillId="26" borderId="0" xfId="0" applyFont="1" applyFill="1" applyBorder="1" applyProtection="1">
      <protection hidden="1"/>
    </xf>
    <xf numFmtId="0" fontId="3" fillId="26" borderId="21" xfId="0" applyFont="1" applyFill="1" applyBorder="1" applyProtection="1">
      <protection hidden="1"/>
    </xf>
    <xf numFmtId="0" fontId="3" fillId="26" borderId="20" xfId="0" applyFont="1" applyFill="1" applyBorder="1" applyProtection="1">
      <protection hidden="1"/>
    </xf>
    <xf numFmtId="0" fontId="3" fillId="26" borderId="24" xfId="0" applyFont="1" applyFill="1" applyBorder="1" applyProtection="1">
      <protection hidden="1"/>
    </xf>
    <xf numFmtId="0" fontId="3" fillId="0" borderId="14" xfId="0" applyFont="1" applyFill="1" applyBorder="1" applyAlignment="1" applyProtection="1">
      <alignment horizontal="center"/>
    </xf>
    <xf numFmtId="1" fontId="57" fillId="0" borderId="10" xfId="0" applyNumberFormat="1" applyFont="1" applyBorder="1"/>
    <xf numFmtId="0" fontId="27" fillId="0" borderId="16" xfId="0" applyFont="1" applyFill="1" applyBorder="1" applyAlignment="1" applyProtection="1">
      <alignment horizontal="center" vertical="top"/>
    </xf>
    <xf numFmtId="0" fontId="3" fillId="24" borderId="19" xfId="0" applyFont="1" applyFill="1" applyBorder="1" applyAlignment="1" applyProtection="1">
      <alignment horizontal="left" vertical="top" wrapText="1"/>
    </xf>
    <xf numFmtId="0" fontId="3" fillId="24" borderId="15" xfId="0" applyFont="1" applyFill="1" applyBorder="1" applyAlignment="1" applyProtection="1">
      <alignment horizontal="left" vertical="top" wrapText="1"/>
    </xf>
    <xf numFmtId="0" fontId="3" fillId="24" borderId="0" xfId="0" applyFont="1" applyFill="1" applyBorder="1" applyProtection="1">
      <protection hidden="1"/>
    </xf>
    <xf numFmtId="0" fontId="3" fillId="0" borderId="0" xfId="0" applyFont="1" applyProtection="1"/>
    <xf numFmtId="0" fontId="3" fillId="24" borderId="12" xfId="0" applyFont="1" applyFill="1" applyBorder="1" applyAlignment="1" applyProtection="1">
      <alignment vertical="top" wrapText="1"/>
    </xf>
    <xf numFmtId="0" fontId="3" fillId="0" borderId="10" xfId="0" applyFont="1" applyBorder="1" applyAlignment="1" applyProtection="1">
      <alignment horizontal="center" vertical="top" wrapText="1"/>
    </xf>
    <xf numFmtId="0" fontId="3" fillId="24" borderId="11" xfId="0" applyFont="1" applyFill="1" applyBorder="1" applyAlignment="1" applyProtection="1">
      <alignment horizontal="left" vertical="top" wrapText="1"/>
    </xf>
    <xf numFmtId="0" fontId="3" fillId="24" borderId="16" xfId="0" applyFont="1" applyFill="1" applyBorder="1" applyAlignment="1" applyProtection="1">
      <alignment vertical="top" wrapText="1"/>
    </xf>
    <xf numFmtId="0" fontId="3" fillId="24" borderId="0" xfId="0" applyFont="1" applyFill="1" applyBorder="1" applyAlignment="1" applyProtection="1">
      <alignment horizontal="left" vertical="top" wrapText="1"/>
    </xf>
    <xf numFmtId="0" fontId="3" fillId="24" borderId="0" xfId="0" applyFont="1" applyFill="1" applyBorder="1" applyAlignment="1" applyProtection="1">
      <alignment horizontal="center" vertical="top" wrapText="1"/>
    </xf>
    <xf numFmtId="0" fontId="3" fillId="24" borderId="0" xfId="0" applyFont="1" applyFill="1" applyBorder="1" applyProtection="1"/>
    <xf numFmtId="0" fontId="3" fillId="0" borderId="0" xfId="0" applyFont="1" applyBorder="1" applyAlignment="1" applyProtection="1">
      <alignment horizontal="center" vertical="top" wrapText="1"/>
    </xf>
    <xf numFmtId="0" fontId="57" fillId="24" borderId="22" xfId="0" applyFont="1" applyFill="1" applyBorder="1"/>
    <xf numFmtId="0" fontId="57" fillId="24" borderId="23" xfId="0" applyFont="1" applyFill="1" applyBorder="1"/>
    <xf numFmtId="0" fontId="57" fillId="24" borderId="24" xfId="0" applyFont="1" applyFill="1" applyBorder="1"/>
    <xf numFmtId="0" fontId="3" fillId="24" borderId="13" xfId="0" applyFont="1" applyFill="1" applyBorder="1" applyAlignment="1" applyProtection="1">
      <alignment vertical="top" wrapText="1"/>
    </xf>
    <xf numFmtId="0" fontId="27" fillId="0" borderId="10" xfId="0" applyFont="1" applyFill="1" applyBorder="1" applyAlignment="1" applyProtection="1">
      <alignment horizontal="center" wrapText="1"/>
    </xf>
    <xf numFmtId="0" fontId="27" fillId="0" borderId="10" xfId="0" applyFont="1" applyFill="1" applyBorder="1" applyAlignment="1" applyProtection="1">
      <alignment horizontal="center" vertical="top" wrapText="1"/>
    </xf>
    <xf numFmtId="0" fontId="28" fillId="0" borderId="10" xfId="0" applyNumberFormat="1" applyFont="1" applyFill="1" applyBorder="1" applyAlignment="1" applyProtection="1">
      <alignment horizontal="right" vertical="top"/>
    </xf>
    <xf numFmtId="9" fontId="3" fillId="24"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center" wrapText="1"/>
      <protection hidden="1"/>
    </xf>
    <xf numFmtId="9" fontId="3" fillId="24" borderId="10" xfId="0" applyNumberFormat="1" applyFont="1" applyFill="1" applyBorder="1" applyAlignment="1" applyProtection="1">
      <alignment horizontal="center" vertical="center" wrapText="1"/>
      <protection hidden="1"/>
    </xf>
    <xf numFmtId="0" fontId="3" fillId="24" borderId="14" xfId="0" applyFont="1" applyFill="1" applyBorder="1" applyAlignment="1" applyProtection="1">
      <alignment horizontal="center" vertical="top" wrapText="1"/>
      <protection hidden="1"/>
    </xf>
    <xf numFmtId="0" fontId="3" fillId="26" borderId="17" xfId="0" applyFont="1" applyFill="1" applyBorder="1" applyProtection="1">
      <protection hidden="1"/>
    </xf>
    <xf numFmtId="9" fontId="3" fillId="0" borderId="14" xfId="0" applyNumberFormat="1" applyFont="1" applyBorder="1" applyAlignment="1" applyProtection="1">
      <alignment horizontal="center" wrapText="1"/>
      <protection hidden="1"/>
    </xf>
    <xf numFmtId="0" fontId="3" fillId="26" borderId="10" xfId="0" applyFont="1" applyFill="1" applyBorder="1" applyProtection="1">
      <protection hidden="1"/>
    </xf>
    <xf numFmtId="0" fontId="5" fillId="26" borderId="10" xfId="0" applyFont="1" applyFill="1" applyBorder="1" applyProtection="1">
      <protection hidden="1"/>
    </xf>
    <xf numFmtId="9" fontId="3" fillId="0" borderId="14" xfId="0" applyNumberFormat="1" applyFont="1" applyBorder="1" applyAlignment="1" applyProtection="1">
      <alignment horizontal="center" vertical="center" wrapText="1"/>
      <protection hidden="1"/>
    </xf>
    <xf numFmtId="9" fontId="3" fillId="0" borderId="10" xfId="0" applyNumberFormat="1" applyFont="1" applyBorder="1" applyAlignment="1" applyProtection="1">
      <alignment horizontal="center" vertical="center" wrapText="1"/>
      <protection hidden="1"/>
    </xf>
    <xf numFmtId="0" fontId="3" fillId="24" borderId="17" xfId="0" applyFont="1" applyFill="1" applyBorder="1" applyAlignment="1" applyProtection="1">
      <alignment horizontal="center" vertical="top" wrapText="1"/>
      <protection hidden="1"/>
    </xf>
    <xf numFmtId="0" fontId="3" fillId="24" borderId="15" xfId="0" applyFont="1" applyFill="1" applyBorder="1" applyAlignment="1" applyProtection="1">
      <alignment vertical="top"/>
    </xf>
    <xf numFmtId="0" fontId="3" fillId="24" borderId="11" xfId="0" applyNumberFormat="1" applyFont="1" applyFill="1" applyBorder="1" applyAlignment="1" applyProtection="1">
      <alignment horizontal="center" vertical="center" wrapText="1"/>
    </xf>
    <xf numFmtId="0" fontId="39" fillId="24" borderId="29" xfId="0" applyFont="1" applyFill="1" applyBorder="1" applyAlignment="1" applyProtection="1"/>
    <xf numFmtId="0" fontId="3" fillId="24" borderId="16" xfId="0" applyFont="1" applyFill="1" applyBorder="1" applyAlignment="1"/>
    <xf numFmtId="0" fontId="3" fillId="24" borderId="12" xfId="0" applyFont="1" applyFill="1" applyBorder="1" applyAlignment="1"/>
    <xf numFmtId="0" fontId="29" fillId="0" borderId="16" xfId="0" applyFont="1" applyBorder="1" applyAlignment="1">
      <alignment horizontal="center" vertical="top"/>
    </xf>
    <xf numFmtId="0" fontId="3" fillId="26" borderId="0" xfId="0" applyFont="1" applyFill="1" applyBorder="1" applyAlignment="1">
      <alignment horizontal="center"/>
    </xf>
    <xf numFmtId="0" fontId="29" fillId="0" borderId="17" xfId="0" applyFont="1" applyBorder="1" applyAlignment="1">
      <alignment horizontal="center"/>
    </xf>
    <xf numFmtId="0" fontId="29" fillId="24" borderId="21" xfId="0" applyFont="1" applyFill="1" applyBorder="1" applyAlignment="1">
      <alignment horizontal="center"/>
    </xf>
    <xf numFmtId="0" fontId="29" fillId="0" borderId="11" xfId="0" applyFont="1" applyBorder="1" applyAlignment="1">
      <alignment horizontal="center"/>
    </xf>
    <xf numFmtId="0" fontId="29" fillId="0" borderId="10" xfId="0" applyFont="1" applyBorder="1"/>
    <xf numFmtId="0" fontId="48" fillId="0" borderId="10" xfId="0" applyFont="1" applyBorder="1"/>
    <xf numFmtId="0" fontId="5" fillId="0" borderId="12" xfId="0" applyFont="1" applyFill="1" applyBorder="1" applyAlignment="1" applyProtection="1">
      <alignment vertical="top" wrapText="1"/>
      <protection hidden="1"/>
    </xf>
    <xf numFmtId="1" fontId="48" fillId="0" borderId="10" xfId="0" applyNumberFormat="1" applyFont="1" applyBorder="1"/>
    <xf numFmtId="0" fontId="29" fillId="0" borderId="18" xfId="0" applyFont="1" applyBorder="1" applyAlignment="1">
      <alignment horizontal="center"/>
    </xf>
    <xf numFmtId="0" fontId="5" fillId="0" borderId="18" xfId="0" applyFont="1" applyFill="1" applyBorder="1" applyAlignment="1" applyProtection="1">
      <alignment vertical="top" wrapText="1"/>
      <protection hidden="1"/>
    </xf>
    <xf numFmtId="0" fontId="29" fillId="0" borderId="0" xfId="0" applyFont="1" applyBorder="1"/>
    <xf numFmtId="1" fontId="48" fillId="0" borderId="0" xfId="0" applyNumberFormat="1" applyFont="1" applyBorder="1"/>
    <xf numFmtId="0" fontId="57" fillId="24" borderId="17" xfId="0" applyFont="1" applyFill="1" applyBorder="1"/>
    <xf numFmtId="0" fontId="57" fillId="24" borderId="21" xfId="0" applyFont="1" applyFill="1" applyBorder="1"/>
    <xf numFmtId="0" fontId="29" fillId="0" borderId="19" xfId="0" applyFont="1" applyBorder="1" applyAlignment="1"/>
    <xf numFmtId="0" fontId="3" fillId="24" borderId="10" xfId="0" applyFont="1" applyFill="1" applyBorder="1" applyAlignment="1">
      <alignment wrapText="1"/>
    </xf>
    <xf numFmtId="0" fontId="29" fillId="24" borderId="10" xfId="0" applyFont="1" applyFill="1" applyBorder="1" applyAlignment="1">
      <alignment wrapText="1"/>
    </xf>
    <xf numFmtId="0" fontId="3" fillId="24" borderId="24" xfId="0" applyFont="1" applyFill="1" applyBorder="1" applyAlignment="1">
      <alignment horizontal="center"/>
    </xf>
    <xf numFmtId="0" fontId="3" fillId="24" borderId="11" xfId="0" applyFont="1" applyFill="1" applyBorder="1" applyAlignment="1">
      <alignment horizontal="center"/>
    </xf>
    <xf numFmtId="0" fontId="3" fillId="0" borderId="14" xfId="0" applyFont="1" applyBorder="1" applyAlignment="1">
      <alignment horizontal="center"/>
    </xf>
    <xf numFmtId="0" fontId="3" fillId="0" borderId="10" xfId="0" applyFont="1" applyBorder="1" applyAlignment="1">
      <alignment vertical="center"/>
    </xf>
    <xf numFmtId="0" fontId="27" fillId="0" borderId="10" xfId="0" applyFont="1" applyFill="1" applyBorder="1" applyAlignment="1">
      <alignment horizontal="center" vertical="center" wrapText="1"/>
    </xf>
    <xf numFmtId="0" fontId="27" fillId="0" borderId="10" xfId="0" applyFont="1" applyFill="1" applyBorder="1" applyAlignment="1" applyProtection="1">
      <alignment horizontal="center" wrapText="1"/>
      <protection hidden="1"/>
    </xf>
    <xf numFmtId="0" fontId="27" fillId="0" borderId="14" xfId="0" applyFont="1" applyFill="1" applyBorder="1" applyAlignment="1">
      <alignment horizontal="center" vertical="center" wrapText="1"/>
    </xf>
    <xf numFmtId="0" fontId="3" fillId="0" borderId="13" xfId="0" applyFont="1" applyBorder="1" applyAlignment="1">
      <alignment horizontal="left"/>
    </xf>
    <xf numFmtId="1" fontId="28" fillId="24" borderId="10" xfId="0" applyNumberFormat="1" applyFont="1" applyFill="1" applyBorder="1" applyAlignment="1" applyProtection="1">
      <alignment horizontal="right" vertical="center" wrapText="1"/>
      <protection hidden="1"/>
    </xf>
    <xf numFmtId="0" fontId="3" fillId="0" borderId="10" xfId="0" applyFont="1" applyBorder="1" applyProtection="1">
      <protection hidden="1"/>
    </xf>
    <xf numFmtId="0" fontId="3" fillId="26" borderId="10" xfId="0" applyFont="1" applyFill="1" applyBorder="1" applyAlignment="1"/>
    <xf numFmtId="0" fontId="3" fillId="0" borderId="1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7" fillId="0" borderId="0" xfId="0" applyFont="1" applyAlignment="1">
      <alignment wrapText="1"/>
    </xf>
    <xf numFmtId="0" fontId="3" fillId="26" borderId="10" xfId="0" applyFont="1" applyFill="1" applyBorder="1" applyAlignment="1" applyProtection="1">
      <protection hidden="1"/>
    </xf>
    <xf numFmtId="0" fontId="5" fillId="26" borderId="17" xfId="0" applyFont="1" applyFill="1" applyBorder="1" applyAlignment="1">
      <alignment vertical="center" wrapText="1"/>
    </xf>
    <xf numFmtId="49" fontId="27" fillId="26" borderId="16" xfId="0" applyNumberFormat="1" applyFont="1" applyFill="1" applyBorder="1" applyAlignment="1" applyProtection="1">
      <alignment vertical="center" wrapText="1"/>
      <protection hidden="1"/>
    </xf>
    <xf numFmtId="0" fontId="57" fillId="24" borderId="15" xfId="0" applyFont="1" applyFill="1" applyBorder="1"/>
    <xf numFmtId="0" fontId="32" fillId="0" borderId="10" xfId="0" applyFont="1" applyBorder="1"/>
    <xf numFmtId="1" fontId="27" fillId="24" borderId="13" xfId="0" applyNumberFormat="1" applyFont="1" applyFill="1" applyBorder="1" applyAlignment="1" applyProtection="1">
      <alignment horizontal="right" vertical="center"/>
    </xf>
    <xf numFmtId="0" fontId="5" fillId="0" borderId="19" xfId="0" applyFont="1" applyBorder="1"/>
    <xf numFmtId="0" fontId="3" fillId="0" borderId="11" xfId="0" applyFont="1" applyFill="1" applyBorder="1"/>
    <xf numFmtId="0" fontId="57" fillId="24" borderId="0" xfId="0" applyFont="1" applyFill="1" applyAlignment="1">
      <alignment horizontal="center"/>
    </xf>
    <xf numFmtId="0" fontId="29" fillId="0" borderId="14" xfId="0" applyFont="1" applyBorder="1" applyAlignment="1"/>
    <xf numFmtId="0" fontId="29" fillId="0" borderId="15" xfId="0" applyFont="1" applyBorder="1" applyAlignment="1"/>
    <xf numFmtId="0" fontId="32" fillId="0" borderId="15" xfId="0" applyFont="1" applyBorder="1" applyAlignment="1"/>
    <xf numFmtId="0" fontId="3" fillId="0" borderId="24" xfId="0" applyFont="1" applyFill="1" applyBorder="1"/>
    <xf numFmtId="0" fontId="29" fillId="0" borderId="13" xfId="0" applyFont="1" applyBorder="1" applyAlignment="1">
      <alignment vertical="top" wrapText="1"/>
    </xf>
    <xf numFmtId="0" fontId="29" fillId="0" borderId="13" xfId="0" applyFont="1" applyBorder="1" applyAlignment="1">
      <alignment wrapText="1"/>
    </xf>
    <xf numFmtId="0" fontId="3" fillId="0" borderId="16" xfId="0" applyFont="1" applyBorder="1" applyAlignment="1"/>
    <xf numFmtId="0" fontId="3" fillId="0" borderId="10" xfId="0" applyFont="1" applyBorder="1" applyAlignment="1">
      <alignment horizontal="left"/>
    </xf>
    <xf numFmtId="0" fontId="32" fillId="0" borderId="11" xfId="0" applyFont="1" applyBorder="1" applyAlignment="1"/>
    <xf numFmtId="0" fontId="57" fillId="24" borderId="18" xfId="0" applyFont="1" applyFill="1" applyBorder="1"/>
    <xf numFmtId="0" fontId="3" fillId="0" borderId="11" xfId="0" applyFont="1" applyFill="1" applyBorder="1" applyAlignment="1">
      <alignment horizontal="center"/>
    </xf>
    <xf numFmtId="1" fontId="27" fillId="0" borderId="10" xfId="0" applyNumberFormat="1" applyFont="1" applyBorder="1" applyAlignment="1" applyProtection="1">
      <alignment horizontal="right" vertical="center"/>
      <protection hidden="1"/>
    </xf>
    <xf numFmtId="0" fontId="27" fillId="0" borderId="10" xfId="0" applyFont="1" applyFill="1" applyBorder="1" applyAlignment="1">
      <alignment horizontal="center" vertical="center"/>
    </xf>
    <xf numFmtId="1" fontId="27" fillId="0" borderId="10" xfId="0" applyNumberFormat="1" applyFont="1" applyFill="1" applyBorder="1" applyAlignment="1" applyProtection="1">
      <alignment horizontal="right" vertical="center"/>
      <protection hidden="1"/>
    </xf>
    <xf numFmtId="0" fontId="3" fillId="24" borderId="21" xfId="0" applyFont="1" applyFill="1" applyBorder="1"/>
    <xf numFmtId="0" fontId="50" fillId="0" borderId="10" xfId="803" applyFont="1" applyBorder="1" applyAlignment="1" applyProtection="1">
      <alignment horizontal="center"/>
    </xf>
    <xf numFmtId="0" fontId="5" fillId="26" borderId="0" xfId="803" applyFont="1" applyFill="1" applyBorder="1" applyAlignment="1" applyProtection="1"/>
    <xf numFmtId="0" fontId="57" fillId="35" borderId="10" xfId="0" applyFont="1" applyFill="1" applyBorder="1"/>
    <xf numFmtId="0" fontId="57" fillId="26" borderId="10" xfId="0" applyFont="1" applyFill="1" applyBorder="1"/>
    <xf numFmtId="0" fontId="3" fillId="28" borderId="0" xfId="0" applyFont="1" applyFill="1" applyBorder="1"/>
    <xf numFmtId="0" fontId="5" fillId="28" borderId="0" xfId="803" applyFont="1" applyFill="1" applyBorder="1" applyAlignment="1" applyProtection="1"/>
    <xf numFmtId="0" fontId="3" fillId="28" borderId="14" xfId="0" applyFont="1" applyFill="1" applyBorder="1" applyAlignment="1">
      <alignment horizontal="center" vertical="center"/>
    </xf>
    <xf numFmtId="0" fontId="32" fillId="0" borderId="11" xfId="0" applyFont="1" applyBorder="1" applyAlignment="1" applyProtection="1">
      <alignment horizontal="center" vertical="center"/>
      <protection hidden="1"/>
    </xf>
    <xf numFmtId="0" fontId="3" fillId="0" borderId="0" xfId="0" applyFont="1" applyBorder="1" applyAlignment="1">
      <alignment vertical="center"/>
    </xf>
    <xf numFmtId="0" fontId="29" fillId="24" borderId="19" xfId="0" applyFont="1" applyFill="1" applyBorder="1" applyAlignment="1">
      <alignment vertical="center"/>
    </xf>
    <xf numFmtId="0" fontId="32" fillId="0" borderId="10" xfId="0" applyFont="1" applyBorder="1" applyAlignment="1" applyProtection="1">
      <alignment horizontal="center" vertical="center"/>
      <protection hidden="1"/>
    </xf>
    <xf numFmtId="0" fontId="3" fillId="24" borderId="0" xfId="0" applyFont="1" applyFill="1" applyBorder="1" applyAlignment="1">
      <alignment vertical="center"/>
    </xf>
    <xf numFmtId="0" fontId="40" fillId="0" borderId="0" xfId="0" applyFont="1"/>
    <xf numFmtId="0" fontId="3" fillId="0" borderId="24" xfId="0" applyFont="1" applyBorder="1" applyAlignment="1"/>
    <xf numFmtId="0" fontId="7" fillId="0" borderId="13" xfId="0" applyFont="1" applyBorder="1" applyAlignment="1">
      <alignment horizontal="center" vertical="center"/>
    </xf>
    <xf numFmtId="0" fontId="3" fillId="24" borderId="20" xfId="0" applyFont="1" applyFill="1" applyBorder="1"/>
    <xf numFmtId="1" fontId="5" fillId="24" borderId="10" xfId="0" applyNumberFormat="1" applyFont="1" applyFill="1" applyBorder="1" applyProtection="1">
      <protection hidden="1"/>
    </xf>
    <xf numFmtId="0" fontId="3" fillId="33" borderId="10" xfId="0" applyFont="1" applyFill="1" applyBorder="1" applyAlignment="1">
      <alignment horizontal="left"/>
    </xf>
    <xf numFmtId="0" fontId="5" fillId="24" borderId="10" xfId="0" applyFont="1" applyFill="1" applyBorder="1" applyAlignment="1" applyProtection="1">
      <alignment horizontal="left"/>
      <protection hidden="1"/>
    </xf>
    <xf numFmtId="0" fontId="5" fillId="24" borderId="10" xfId="0" applyFont="1" applyFill="1" applyBorder="1" applyProtection="1">
      <protection hidden="1"/>
    </xf>
    <xf numFmtId="0" fontId="3" fillId="24" borderId="21" xfId="0" applyFont="1" applyFill="1" applyBorder="1" applyAlignment="1">
      <alignment vertical="center" textRotation="90"/>
    </xf>
    <xf numFmtId="1" fontId="5" fillId="0" borderId="0" xfId="0" applyNumberFormat="1" applyFont="1" applyFill="1" applyBorder="1" applyAlignment="1" applyProtection="1">
      <alignment horizontal="right"/>
      <protection locked="0"/>
    </xf>
    <xf numFmtId="1" fontId="28" fillId="24" borderId="0" xfId="0" applyNumberFormat="1" applyFont="1" applyFill="1" applyBorder="1" applyAlignment="1" applyProtection="1">
      <alignment horizontal="right"/>
      <protection hidden="1"/>
    </xf>
    <xf numFmtId="0" fontId="3" fillId="24" borderId="14" xfId="0" applyFont="1" applyFill="1" applyBorder="1" applyAlignment="1">
      <alignment horizontal="right"/>
    </xf>
    <xf numFmtId="0" fontId="3" fillId="24" borderId="19" xfId="0" applyFont="1" applyFill="1" applyBorder="1" applyAlignment="1">
      <alignment horizontal="right"/>
    </xf>
    <xf numFmtId="0" fontId="29" fillId="0" borderId="0" xfId="0" applyFont="1"/>
    <xf numFmtId="0" fontId="3" fillId="0" borderId="19" xfId="0" applyFont="1" applyBorder="1" applyAlignment="1">
      <alignment horizontal="center"/>
    </xf>
    <xf numFmtId="165" fontId="29" fillId="0" borderId="13" xfId="0" applyNumberFormat="1" applyFont="1" applyBorder="1" applyAlignment="1">
      <alignment horizontal="center" vertical="center"/>
    </xf>
    <xf numFmtId="1" fontId="34" fillId="0" borderId="13" xfId="0" applyNumberFormat="1" applyFont="1" applyFill="1" applyBorder="1" applyAlignment="1" applyProtection="1">
      <alignment horizontal="right" vertical="center"/>
      <protection hidden="1"/>
    </xf>
    <xf numFmtId="1" fontId="34" fillId="0" borderId="10" xfId="0" applyNumberFormat="1" applyFont="1" applyFill="1" applyBorder="1" applyAlignment="1" applyProtection="1">
      <alignment horizontal="right" vertical="center"/>
      <protection hidden="1"/>
    </xf>
    <xf numFmtId="0" fontId="29" fillId="0" borderId="10" xfId="0" applyFont="1" applyFill="1" applyBorder="1" applyAlignment="1" applyProtection="1">
      <alignment vertical="top" wrapText="1"/>
      <protection hidden="1"/>
    </xf>
    <xf numFmtId="0" fontId="5" fillId="28" borderId="14" xfId="0" applyFont="1" applyFill="1" applyBorder="1" applyAlignment="1" applyProtection="1">
      <alignment horizontal="right" vertical="top"/>
      <protection hidden="1"/>
    </xf>
    <xf numFmtId="1" fontId="5" fillId="28" borderId="14" xfId="0" applyNumberFormat="1" applyFont="1" applyFill="1" applyBorder="1" applyAlignment="1" applyProtection="1">
      <alignment horizontal="right" vertical="top"/>
      <protection hidden="1"/>
    </xf>
    <xf numFmtId="1" fontId="27" fillId="0" borderId="10" xfId="0" applyNumberFormat="1" applyFont="1" applyFill="1" applyBorder="1" applyAlignment="1">
      <alignment horizontal="center" vertical="center"/>
    </xf>
    <xf numFmtId="1" fontId="57" fillId="24" borderId="0" xfId="0" applyNumberFormat="1" applyFont="1" applyFill="1"/>
    <xf numFmtId="0" fontId="29" fillId="24" borderId="16" xfId="0" applyFont="1" applyFill="1" applyBorder="1" applyAlignment="1">
      <alignment horizontal="center" vertical="top" wrapText="1"/>
    </xf>
    <xf numFmtId="1" fontId="5" fillId="26" borderId="16" xfId="0" applyNumberFormat="1" applyFont="1" applyFill="1" applyBorder="1" applyAlignment="1" applyProtection="1">
      <alignment horizontal="right"/>
      <protection hidden="1"/>
    </xf>
    <xf numFmtId="1" fontId="5" fillId="26" borderId="12" xfId="0" applyNumberFormat="1" applyFont="1" applyFill="1" applyBorder="1" applyAlignment="1" applyProtection="1">
      <alignment horizontal="right"/>
      <protection hidden="1"/>
    </xf>
    <xf numFmtId="0" fontId="29" fillId="0" borderId="16" xfId="0" applyFont="1" applyBorder="1" applyAlignment="1">
      <alignment horizontal="center" vertical="top" wrapText="1"/>
    </xf>
    <xf numFmtId="0" fontId="3" fillId="0" borderId="0" xfId="0" applyFont="1" applyBorder="1"/>
    <xf numFmtId="0" fontId="3" fillId="0" borderId="13" xfId="0" applyFont="1" applyBorder="1" applyAlignment="1">
      <alignment horizontal="left" vertical="center"/>
    </xf>
    <xf numFmtId="1" fontId="5" fillId="25" borderId="10" xfId="0" applyNumberFormat="1" applyFont="1" applyFill="1" applyBorder="1" applyAlignment="1" applyProtection="1">
      <alignment horizontal="right" vertical="center"/>
      <protection locked="0"/>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1" fontId="5" fillId="25" borderId="13" xfId="0" applyNumberFormat="1" applyFont="1" applyFill="1" applyBorder="1" applyAlignment="1" applyProtection="1">
      <alignment horizontal="right" vertical="center"/>
      <protection locked="0"/>
    </xf>
    <xf numFmtId="0" fontId="3" fillId="0" borderId="20" xfId="0" applyFont="1" applyBorder="1" applyAlignment="1">
      <alignment horizontal="center" vertical="center"/>
    </xf>
    <xf numFmtId="1" fontId="5" fillId="25" borderId="13" xfId="0" applyNumberFormat="1" applyFont="1" applyFill="1" applyBorder="1" applyAlignment="1" applyProtection="1">
      <alignment horizontal="left" vertical="center" wrapText="1"/>
      <protection locked="0"/>
    </xf>
    <xf numFmtId="1" fontId="5" fillId="25" borderId="16" xfId="0" applyNumberFormat="1" applyFont="1" applyFill="1" applyBorder="1" applyAlignment="1" applyProtection="1">
      <alignment horizontal="left" vertical="center" wrapText="1"/>
      <protection locked="0"/>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0" fontId="40" fillId="27" borderId="30" xfId="0" applyFont="1" applyFill="1" applyBorder="1" applyAlignment="1">
      <alignment vertical="center" wrapText="1"/>
    </xf>
    <xf numFmtId="0" fontId="3" fillId="0" borderId="13" xfId="0" applyFont="1" applyFill="1" applyBorder="1" applyAlignment="1">
      <alignment horizontal="left" vertical="center"/>
    </xf>
    <xf numFmtId="0" fontId="3" fillId="0" borderId="15" xfId="0" applyFont="1" applyFill="1" applyBorder="1" applyAlignment="1">
      <alignment horizontal="center" vertical="center"/>
    </xf>
    <xf numFmtId="0" fontId="26" fillId="27" borderId="10" xfId="0" applyFont="1" applyFill="1" applyBorder="1" applyAlignment="1">
      <alignment horizontal="center" vertical="center"/>
    </xf>
    <xf numFmtId="1" fontId="34" fillId="24" borderId="10" xfId="0" applyNumberFormat="1" applyFont="1" applyFill="1" applyBorder="1" applyProtection="1">
      <protection hidden="1"/>
    </xf>
    <xf numFmtId="0" fontId="32" fillId="0" borderId="11" xfId="0" applyFont="1" applyBorder="1" applyAlignment="1">
      <alignment horizontal="left" vertical="top" wrapText="1"/>
    </xf>
    <xf numFmtId="49" fontId="32" fillId="0" borderId="10" xfId="0" applyNumberFormat="1" applyFont="1" applyBorder="1" applyAlignment="1">
      <alignment horizontal="center" vertical="center" wrapText="1"/>
    </xf>
    <xf numFmtId="1" fontId="32" fillId="0" borderId="10" xfId="0" applyNumberFormat="1" applyFont="1" applyBorder="1" applyAlignment="1">
      <alignment horizontal="right" vertical="top" wrapText="1"/>
    </xf>
    <xf numFmtId="1" fontId="5" fillId="25" borderId="10" xfId="0" applyNumberFormat="1" applyFont="1" applyFill="1" applyBorder="1" applyAlignment="1" applyProtection="1">
      <alignment horizontal="center" wrapText="1"/>
      <protection locked="0"/>
    </xf>
    <xf numFmtId="0" fontId="32" fillId="0" borderId="10" xfId="0" applyFont="1" applyBorder="1" applyAlignment="1">
      <alignment horizontal="left" vertical="top" wrapText="1"/>
    </xf>
    <xf numFmtId="0" fontId="32" fillId="24" borderId="0" xfId="0" applyFont="1" applyFill="1" applyBorder="1" applyAlignment="1">
      <alignment horizontal="center" vertical="center"/>
    </xf>
    <xf numFmtId="0" fontId="29" fillId="24" borderId="0" xfId="0" applyFont="1" applyFill="1" applyBorder="1"/>
    <xf numFmtId="0" fontId="32" fillId="24" borderId="18" xfId="0" applyFont="1" applyFill="1" applyBorder="1" applyAlignment="1">
      <alignment horizontal="center" vertical="center"/>
    </xf>
    <xf numFmtId="0" fontId="5" fillId="24" borderId="18" xfId="0" applyFont="1" applyFill="1" applyBorder="1" applyAlignment="1" applyProtection="1">
      <alignment horizontal="left" vertical="center" wrapText="1"/>
      <protection hidden="1"/>
    </xf>
    <xf numFmtId="0" fontId="5" fillId="24" borderId="18" xfId="0" applyFont="1" applyFill="1" applyBorder="1" applyAlignment="1" applyProtection="1">
      <alignment horizontal="left" wrapText="1"/>
      <protection hidden="1"/>
    </xf>
    <xf numFmtId="0" fontId="5" fillId="24" borderId="18" xfId="0" applyFont="1" applyFill="1" applyBorder="1" applyAlignment="1" applyProtection="1">
      <alignment wrapText="1"/>
      <protection hidden="1"/>
    </xf>
    <xf numFmtId="49" fontId="5" fillId="24" borderId="18" xfId="0" applyNumberFormat="1" applyFont="1" applyFill="1" applyBorder="1" applyAlignment="1" applyProtection="1">
      <alignment horizontal="right" wrapText="1"/>
      <protection hidden="1"/>
    </xf>
    <xf numFmtId="0" fontId="5" fillId="24" borderId="19" xfId="0" applyFont="1" applyFill="1" applyBorder="1" applyAlignment="1" applyProtection="1">
      <alignment horizontal="left" wrapText="1"/>
      <protection hidden="1"/>
    </xf>
    <xf numFmtId="0" fontId="5" fillId="24" borderId="19" xfId="0" applyFont="1" applyFill="1" applyBorder="1" applyAlignment="1" applyProtection="1">
      <alignment wrapText="1"/>
      <protection hidden="1"/>
    </xf>
    <xf numFmtId="1" fontId="43" fillId="24" borderId="10" xfId="0" applyNumberFormat="1" applyFont="1" applyFill="1" applyBorder="1" applyAlignment="1" applyProtection="1">
      <alignment horizontal="right" wrapText="1"/>
      <protection hidden="1"/>
    </xf>
    <xf numFmtId="0" fontId="29" fillId="24" borderId="14" xfId="0" applyFont="1" applyFill="1" applyBorder="1" applyAlignment="1">
      <alignment vertical="center"/>
    </xf>
    <xf numFmtId="1" fontId="43" fillId="24" borderId="10" xfId="0" applyNumberFormat="1" applyFont="1" applyFill="1" applyBorder="1" applyAlignment="1" applyProtection="1">
      <alignment vertical="center"/>
      <protection hidden="1"/>
    </xf>
    <xf numFmtId="1" fontId="43" fillId="24" borderId="10" xfId="0" applyNumberFormat="1" applyFont="1" applyFill="1" applyBorder="1" applyProtection="1">
      <protection hidden="1"/>
    </xf>
    <xf numFmtId="0" fontId="57" fillId="24" borderId="0" xfId="0" applyFont="1" applyFill="1" applyBorder="1" applyAlignment="1"/>
    <xf numFmtId="0" fontId="26" fillId="27" borderId="10" xfId="0" applyFont="1" applyFill="1" applyBorder="1" applyAlignment="1">
      <alignment vertical="center"/>
    </xf>
    <xf numFmtId="0" fontId="26" fillId="0" borderId="17" xfId="0" applyFont="1" applyFill="1" applyBorder="1" applyAlignment="1">
      <alignment horizontal="center" vertical="center"/>
    </xf>
    <xf numFmtId="0" fontId="32" fillId="0" borderId="21" xfId="0" applyFont="1" applyBorder="1"/>
    <xf numFmtId="0" fontId="32" fillId="0" borderId="12" xfId="0" applyFont="1" applyBorder="1"/>
    <xf numFmtId="0" fontId="32" fillId="28" borderId="23" xfId="0" applyFont="1" applyFill="1" applyBorder="1"/>
    <xf numFmtId="0" fontId="32" fillId="0" borderId="18" xfId="0" applyFont="1" applyBorder="1"/>
    <xf numFmtId="0" fontId="32" fillId="0" borderId="22" xfId="0" applyFont="1" applyBorder="1"/>
    <xf numFmtId="0" fontId="32" fillId="28" borderId="23" xfId="0" applyFont="1" applyFill="1" applyBorder="1" applyAlignment="1">
      <alignment vertical="top"/>
    </xf>
    <xf numFmtId="0" fontId="29" fillId="28" borderId="16" xfId="0" applyFont="1" applyFill="1" applyBorder="1"/>
    <xf numFmtId="0" fontId="32" fillId="28" borderId="12" xfId="0" applyFont="1" applyFill="1" applyBorder="1"/>
    <xf numFmtId="0" fontId="32" fillId="0" borderId="19" xfId="0" applyFont="1" applyBorder="1"/>
    <xf numFmtId="0" fontId="32" fillId="0" borderId="11" xfId="0" applyFont="1" applyBorder="1"/>
    <xf numFmtId="0" fontId="32" fillId="0" borderId="0" xfId="0" applyFont="1" applyBorder="1"/>
    <xf numFmtId="0" fontId="32" fillId="0" borderId="15" xfId="0" applyFont="1" applyBorder="1"/>
    <xf numFmtId="0" fontId="29" fillId="0" borderId="11" xfId="0" applyFont="1" applyBorder="1" applyAlignment="1"/>
    <xf numFmtId="0" fontId="32" fillId="0" borderId="13" xfId="0" applyFont="1" applyBorder="1"/>
    <xf numFmtId="49" fontId="57" fillId="36" borderId="10" xfId="0" applyNumberFormat="1" applyFont="1" applyFill="1" applyBorder="1" applyProtection="1"/>
    <xf numFmtId="0" fontId="57" fillId="37" borderId="10" xfId="0" applyFont="1" applyFill="1" applyBorder="1" applyAlignment="1" applyProtection="1">
      <alignment horizontal="right"/>
    </xf>
    <xf numFmtId="0" fontId="29" fillId="37" borderId="10" xfId="0" applyFont="1" applyFill="1" applyBorder="1" applyAlignment="1" applyProtection="1">
      <alignment horizontal="right"/>
    </xf>
    <xf numFmtId="0" fontId="57" fillId="38" borderId="10" xfId="0" applyFont="1" applyFill="1" applyBorder="1" applyProtection="1"/>
    <xf numFmtId="0" fontId="57" fillId="36" borderId="10" xfId="0" applyFont="1" applyFill="1" applyBorder="1" applyProtection="1"/>
    <xf numFmtId="0" fontId="57" fillId="37" borderId="10" xfId="0" applyFont="1" applyFill="1" applyBorder="1" applyAlignment="1" applyProtection="1">
      <alignment horizontal="left"/>
    </xf>
    <xf numFmtId="0" fontId="29" fillId="0" borderId="31" xfId="0" applyFont="1" applyBorder="1" applyAlignment="1" applyProtection="1">
      <alignment horizontal="center"/>
    </xf>
    <xf numFmtId="0" fontId="29" fillId="0" borderId="10" xfId="0" applyFont="1" applyFill="1" applyBorder="1" applyAlignment="1" applyProtection="1">
      <alignment horizontal="center"/>
    </xf>
    <xf numFmtId="0" fontId="29" fillId="0" borderId="32" xfId="0" applyFont="1" applyBorder="1" applyAlignment="1" applyProtection="1">
      <alignment horizontal="center"/>
    </xf>
    <xf numFmtId="0" fontId="57" fillId="37" borderId="13" xfId="0" applyFont="1" applyFill="1" applyBorder="1" applyAlignment="1" applyProtection="1">
      <alignment horizontal="right"/>
    </xf>
    <xf numFmtId="0" fontId="29" fillId="0" borderId="13" xfId="0" applyFont="1" applyFill="1" applyBorder="1" applyProtection="1"/>
    <xf numFmtId="0" fontId="57" fillId="36" borderId="20" xfId="0" applyFont="1" applyFill="1" applyBorder="1" applyProtection="1"/>
    <xf numFmtId="0" fontId="29" fillId="0" borderId="10" xfId="0" applyFont="1" applyBorder="1" applyProtection="1"/>
    <xf numFmtId="0" fontId="57" fillId="30" borderId="10" xfId="0" applyFont="1" applyFill="1" applyBorder="1" applyProtection="1"/>
    <xf numFmtId="0" fontId="29" fillId="34" borderId="0" xfId="0" applyFont="1" applyFill="1"/>
    <xf numFmtId="0" fontId="57" fillId="0" borderId="16" xfId="0" applyFont="1" applyBorder="1" applyProtection="1"/>
    <xf numFmtId="0" fontId="42" fillId="0" borderId="0" xfId="0" applyFont="1"/>
    <xf numFmtId="0" fontId="31" fillId="24" borderId="0" xfId="0" applyFont="1" applyFill="1" applyBorder="1" applyAlignment="1" applyProtection="1">
      <alignment vertical="top" wrapText="1"/>
    </xf>
    <xf numFmtId="0" fontId="29" fillId="39" borderId="0" xfId="0" applyFont="1" applyFill="1" applyProtection="1">
      <protection hidden="1"/>
    </xf>
    <xf numFmtId="0" fontId="57" fillId="39" borderId="0" xfId="0" applyFont="1" applyFill="1" applyProtection="1">
      <protection hidden="1"/>
    </xf>
    <xf numFmtId="0" fontId="57" fillId="31" borderId="10" xfId="0" applyFont="1" applyFill="1" applyBorder="1" applyProtection="1">
      <protection hidden="1"/>
    </xf>
    <xf numFmtId="0" fontId="57" fillId="0" borderId="0" xfId="0" applyFont="1" applyProtection="1">
      <protection hidden="1"/>
    </xf>
    <xf numFmtId="49" fontId="57" fillId="0" borderId="10" xfId="0" applyNumberFormat="1" applyFont="1" applyBorder="1" applyProtection="1">
      <protection hidden="1"/>
    </xf>
    <xf numFmtId="0" fontId="57" fillId="0" borderId="10" xfId="0" applyFont="1" applyBorder="1" applyAlignment="1" applyProtection="1">
      <alignment horizontal="right"/>
      <protection hidden="1"/>
    </xf>
    <xf numFmtId="0" fontId="57" fillId="31" borderId="11" xfId="0" applyFont="1" applyFill="1" applyBorder="1" applyAlignment="1" applyProtection="1">
      <alignment horizontal="right"/>
      <protection hidden="1"/>
    </xf>
    <xf numFmtId="0" fontId="57" fillId="0" borderId="16" xfId="0" applyFont="1" applyBorder="1" applyProtection="1">
      <protection hidden="1"/>
    </xf>
    <xf numFmtId="14" fontId="57" fillId="0" borderId="10" xfId="0" applyNumberFormat="1" applyFont="1" applyBorder="1" applyAlignment="1" applyProtection="1">
      <alignment horizontal="right"/>
      <protection hidden="1"/>
    </xf>
    <xf numFmtId="0" fontId="57" fillId="31" borderId="11" xfId="0" applyFont="1" applyFill="1" applyBorder="1" applyProtection="1">
      <protection hidden="1"/>
    </xf>
    <xf numFmtId="14" fontId="57" fillId="0" borderId="0" xfId="0" applyNumberFormat="1" applyFont="1" applyProtection="1">
      <protection hidden="1"/>
    </xf>
    <xf numFmtId="0" fontId="29" fillId="31" borderId="10" xfId="0" applyFont="1" applyFill="1" applyBorder="1" applyProtection="1">
      <protection hidden="1"/>
    </xf>
    <xf numFmtId="0" fontId="29" fillId="39" borderId="0" xfId="0" applyFont="1" applyFill="1" applyAlignment="1" applyProtection="1">
      <alignment wrapText="1"/>
      <protection hidden="1"/>
    </xf>
    <xf numFmtId="0" fontId="57" fillId="31" borderId="10" xfId="0" applyFont="1" applyFill="1" applyBorder="1" applyAlignment="1" applyProtection="1">
      <alignment horizontal="left"/>
      <protection hidden="1"/>
    </xf>
    <xf numFmtId="0" fontId="57" fillId="40" borderId="0" xfId="0" applyFont="1" applyFill="1" applyProtection="1">
      <protection hidden="1"/>
    </xf>
    <xf numFmtId="0" fontId="29" fillId="37" borderId="0" xfId="0" applyFont="1" applyFill="1" applyProtection="1">
      <protection hidden="1"/>
    </xf>
    <xf numFmtId="0" fontId="57" fillId="37" borderId="0" xfId="0" applyFont="1" applyFill="1" applyProtection="1">
      <protection hidden="1"/>
    </xf>
    <xf numFmtId="0" fontId="57" fillId="0" borderId="0" xfId="0" applyFont="1" applyFill="1" applyBorder="1" applyProtection="1">
      <protection hidden="1"/>
    </xf>
    <xf numFmtId="0" fontId="29" fillId="37" borderId="0" xfId="0" applyFont="1" applyFill="1" applyAlignment="1" applyProtection="1">
      <alignment wrapText="1"/>
      <protection hidden="1"/>
    </xf>
    <xf numFmtId="0" fontId="57" fillId="37" borderId="0" xfId="0" applyFont="1" applyFill="1" applyAlignment="1" applyProtection="1">
      <alignment wrapText="1"/>
      <protection hidden="1"/>
    </xf>
    <xf numFmtId="1" fontId="57" fillId="37" borderId="0" xfId="0" applyNumberFormat="1" applyFont="1" applyFill="1" applyProtection="1">
      <protection hidden="1"/>
    </xf>
    <xf numFmtId="0" fontId="57" fillId="37" borderId="10" xfId="0" applyFont="1" applyFill="1" applyBorder="1" applyAlignment="1" applyProtection="1">
      <alignment horizontal="center"/>
      <protection hidden="1"/>
    </xf>
    <xf numFmtId="0" fontId="57" fillId="37" borderId="10" xfId="0" applyFont="1" applyFill="1" applyBorder="1" applyProtection="1">
      <protection hidden="1"/>
    </xf>
    <xf numFmtId="0" fontId="57" fillId="37" borderId="10" xfId="0" applyNumberFormat="1" applyFont="1" applyFill="1" applyBorder="1" applyProtection="1">
      <protection hidden="1"/>
    </xf>
    <xf numFmtId="0" fontId="32" fillId="39" borderId="0" xfId="0" applyFont="1" applyFill="1" applyProtection="1">
      <protection hidden="1"/>
    </xf>
    <xf numFmtId="0" fontId="3" fillId="30" borderId="19" xfId="0" applyFont="1" applyFill="1" applyBorder="1" applyProtection="1">
      <protection hidden="1"/>
    </xf>
    <xf numFmtId="0" fontId="57" fillId="30" borderId="19" xfId="0" applyFont="1" applyFill="1" applyBorder="1" applyProtection="1">
      <protection hidden="1"/>
    </xf>
    <xf numFmtId="0" fontId="57" fillId="30" borderId="11" xfId="0" applyFont="1" applyFill="1" applyBorder="1" applyProtection="1">
      <protection hidden="1"/>
    </xf>
    <xf numFmtId="0" fontId="57" fillId="0" borderId="21" xfId="0" applyFont="1" applyBorder="1" applyProtection="1">
      <protection hidden="1"/>
    </xf>
    <xf numFmtId="0" fontId="57" fillId="0" borderId="0" xfId="0" applyFont="1" applyBorder="1" applyProtection="1">
      <protection hidden="1"/>
    </xf>
    <xf numFmtId="0" fontId="5" fillId="36" borderId="13" xfId="0" applyFont="1" applyFill="1" applyBorder="1" applyProtection="1">
      <protection hidden="1"/>
    </xf>
    <xf numFmtId="0" fontId="57" fillId="0" borderId="13" xfId="0" applyFont="1" applyBorder="1" applyProtection="1">
      <protection hidden="1"/>
    </xf>
    <xf numFmtId="0" fontId="57" fillId="36" borderId="13" xfId="0" applyFont="1" applyFill="1" applyBorder="1" applyProtection="1">
      <protection hidden="1"/>
    </xf>
    <xf numFmtId="0" fontId="57" fillId="0" borderId="23" xfId="0" applyFont="1" applyBorder="1" applyProtection="1">
      <protection hidden="1"/>
    </xf>
    <xf numFmtId="0" fontId="5" fillId="36" borderId="10" xfId="0" applyFont="1" applyFill="1" applyBorder="1" applyProtection="1">
      <protection hidden="1"/>
    </xf>
    <xf numFmtId="0" fontId="57" fillId="36" borderId="10" xfId="0" applyFont="1" applyFill="1" applyBorder="1" applyProtection="1">
      <protection hidden="1"/>
    </xf>
    <xf numFmtId="0" fontId="29" fillId="39" borderId="14" xfId="0" applyFont="1" applyFill="1" applyBorder="1" applyProtection="1">
      <protection hidden="1"/>
    </xf>
    <xf numFmtId="0" fontId="57" fillId="39" borderId="19" xfId="0" applyFont="1" applyFill="1" applyBorder="1" applyProtection="1">
      <protection hidden="1"/>
    </xf>
    <xf numFmtId="0" fontId="57" fillId="39" borderId="11" xfId="0" applyFont="1" applyFill="1" applyBorder="1" applyProtection="1">
      <protection hidden="1"/>
    </xf>
    <xf numFmtId="1" fontId="57" fillId="0" borderId="0" xfId="0" applyNumberFormat="1" applyFont="1" applyBorder="1" applyProtection="1">
      <protection hidden="1"/>
    </xf>
    <xf numFmtId="14" fontId="57" fillId="0" borderId="10" xfId="0" applyNumberFormat="1" applyFont="1" applyBorder="1" applyProtection="1">
      <protection hidden="1"/>
    </xf>
    <xf numFmtId="0" fontId="57" fillId="0" borderId="21" xfId="0" applyFont="1" applyFill="1" applyBorder="1" applyProtection="1">
      <protection hidden="1"/>
    </xf>
    <xf numFmtId="1" fontId="57" fillId="0" borderId="0" xfId="0" applyNumberFormat="1" applyFont="1" applyFill="1" applyBorder="1" applyProtection="1">
      <protection hidden="1"/>
    </xf>
    <xf numFmtId="0" fontId="57" fillId="0" borderId="21" xfId="0" applyFont="1" applyFill="1" applyBorder="1" applyAlignment="1" applyProtection="1">
      <alignment wrapText="1"/>
      <protection hidden="1"/>
    </xf>
    <xf numFmtId="0" fontId="29" fillId="0" borderId="0" xfId="0" applyFont="1" applyProtection="1">
      <protection hidden="1"/>
    </xf>
    <xf numFmtId="0" fontId="57" fillId="29" borderId="13" xfId="0" applyFont="1" applyFill="1" applyBorder="1" applyProtection="1">
      <protection hidden="1"/>
    </xf>
    <xf numFmtId="0" fontId="57" fillId="29" borderId="10" xfId="0" applyFont="1" applyFill="1" applyBorder="1" applyProtection="1">
      <protection hidden="1"/>
    </xf>
    <xf numFmtId="0" fontId="57" fillId="26" borderId="10" xfId="0" applyFont="1" applyFill="1" applyBorder="1" applyProtection="1">
      <protection hidden="1"/>
    </xf>
    <xf numFmtId="0" fontId="57" fillId="40" borderId="10" xfId="0" applyFont="1" applyFill="1" applyBorder="1" applyProtection="1">
      <protection hidden="1"/>
    </xf>
    <xf numFmtId="0" fontId="5" fillId="24" borderId="10" xfId="0" applyFont="1" applyFill="1" applyBorder="1" applyAlignment="1" applyProtection="1">
      <alignment horizontal="center" vertical="top" wrapText="1"/>
      <protection hidden="1"/>
    </xf>
    <xf numFmtId="1" fontId="5" fillId="24" borderId="10" xfId="0" applyNumberFormat="1" applyFont="1" applyFill="1" applyBorder="1" applyAlignment="1" applyProtection="1">
      <alignment horizontal="right" vertical="top" wrapText="1"/>
      <protection hidden="1"/>
    </xf>
    <xf numFmtId="0" fontId="5" fillId="24" borderId="10" xfId="0" applyFont="1" applyFill="1" applyBorder="1" applyAlignment="1" applyProtection="1">
      <alignment vertical="top" wrapText="1"/>
      <protection hidden="1"/>
    </xf>
    <xf numFmtId="1" fontId="5" fillId="24" borderId="10" xfId="0" applyNumberFormat="1" applyFont="1" applyFill="1" applyBorder="1" applyAlignment="1" applyProtection="1">
      <alignment vertical="top" wrapText="1"/>
      <protection hidden="1"/>
    </xf>
    <xf numFmtId="0" fontId="57" fillId="24" borderId="0" xfId="0" applyFont="1" applyFill="1" applyBorder="1" applyProtection="1">
      <protection hidden="1"/>
    </xf>
    <xf numFmtId="0" fontId="57" fillId="0" borderId="20" xfId="0" applyFont="1" applyBorder="1" applyProtection="1">
      <protection hidden="1"/>
    </xf>
    <xf numFmtId="1" fontId="57" fillId="0" borderId="15" xfId="0" applyNumberFormat="1" applyFont="1" applyBorder="1" applyProtection="1">
      <protection hidden="1"/>
    </xf>
    <xf numFmtId="0" fontId="57" fillId="0" borderId="15" xfId="0" applyFont="1" applyBorder="1" applyProtection="1">
      <protection hidden="1"/>
    </xf>
    <xf numFmtId="0" fontId="57" fillId="0" borderId="24" xfId="0" applyFont="1" applyBorder="1" applyProtection="1">
      <protection hidden="1"/>
    </xf>
    <xf numFmtId="0" fontId="57" fillId="33" borderId="10" xfId="0" applyFont="1" applyFill="1" applyBorder="1" applyProtection="1">
      <protection hidden="1"/>
    </xf>
    <xf numFmtId="0" fontId="57" fillId="0" borderId="0" xfId="0" applyFont="1" applyFill="1" applyProtection="1">
      <protection hidden="1"/>
    </xf>
    <xf numFmtId="1" fontId="57" fillId="28" borderId="10" xfId="0" applyNumberFormat="1" applyFont="1" applyFill="1" applyBorder="1" applyProtection="1">
      <protection hidden="1"/>
    </xf>
    <xf numFmtId="0" fontId="29" fillId="41" borderId="0" xfId="0" applyFont="1" applyFill="1" applyProtection="1">
      <protection hidden="1"/>
    </xf>
    <xf numFmtId="1" fontId="29" fillId="41" borderId="0" xfId="0" applyNumberFormat="1" applyFont="1" applyFill="1" applyProtection="1">
      <protection hidden="1"/>
    </xf>
    <xf numFmtId="0" fontId="29" fillId="0" borderId="0" xfId="0" applyFont="1" applyAlignment="1" applyProtection="1">
      <alignment horizontal="right"/>
      <protection hidden="1"/>
    </xf>
    <xf numFmtId="0" fontId="57" fillId="42" borderId="10" xfId="0" applyFont="1" applyFill="1" applyBorder="1" applyProtection="1">
      <protection hidden="1"/>
    </xf>
    <xf numFmtId="0" fontId="57" fillId="43" borderId="16" xfId="0" applyFont="1" applyFill="1" applyBorder="1" applyProtection="1">
      <protection hidden="1"/>
    </xf>
    <xf numFmtId="1" fontId="29" fillId="0" borderId="10" xfId="0" applyNumberFormat="1" applyFont="1" applyBorder="1" applyAlignment="1" applyProtection="1">
      <alignment horizontal="center"/>
      <protection hidden="1"/>
    </xf>
    <xf numFmtId="0" fontId="29" fillId="0" borderId="10" xfId="0" applyFont="1" applyBorder="1" applyAlignment="1" applyProtection="1">
      <alignment wrapText="1"/>
      <protection hidden="1"/>
    </xf>
    <xf numFmtId="0" fontId="29" fillId="0" borderId="10" xfId="0" applyFont="1" applyBorder="1" applyProtection="1">
      <protection hidden="1"/>
    </xf>
    <xf numFmtId="0" fontId="29" fillId="42" borderId="10" xfId="0" applyFont="1" applyFill="1" applyBorder="1" applyProtection="1">
      <protection hidden="1"/>
    </xf>
    <xf numFmtId="1" fontId="57" fillId="26" borderId="10" xfId="0" applyNumberFormat="1" applyFont="1" applyFill="1" applyBorder="1" applyProtection="1">
      <protection hidden="1"/>
    </xf>
    <xf numFmtId="1" fontId="57" fillId="0" borderId="0" xfId="0" applyNumberFormat="1" applyFont="1" applyProtection="1">
      <protection hidden="1"/>
    </xf>
    <xf numFmtId="1" fontId="57" fillId="38" borderId="10" xfId="0" applyNumberFormat="1" applyFont="1" applyFill="1" applyBorder="1"/>
    <xf numFmtId="0" fontId="57" fillId="38" borderId="11" xfId="0" applyFont="1" applyFill="1" applyBorder="1"/>
    <xf numFmtId="1" fontId="57" fillId="42" borderId="10" xfId="0" applyNumberFormat="1" applyFont="1" applyFill="1" applyBorder="1" applyProtection="1">
      <protection hidden="1"/>
    </xf>
    <xf numFmtId="0" fontId="5" fillId="0" borderId="10" xfId="0" applyFont="1" applyFill="1" applyBorder="1"/>
    <xf numFmtId="0" fontId="29" fillId="0" borderId="10" xfId="0" applyFont="1" applyBorder="1" applyAlignment="1" applyProtection="1">
      <alignment horizontal="center" vertical="top"/>
      <protection hidden="1"/>
    </xf>
    <xf numFmtId="1" fontId="29" fillId="0" borderId="10" xfId="0" applyNumberFormat="1" applyFont="1" applyBorder="1" applyAlignment="1" applyProtection="1">
      <alignment horizontal="center" vertical="top"/>
      <protection hidden="1"/>
    </xf>
    <xf numFmtId="9" fontId="29" fillId="0" borderId="10" xfId="0" applyNumberFormat="1" applyFont="1" applyBorder="1" applyAlignment="1" applyProtection="1">
      <alignment vertical="top" wrapText="1"/>
      <protection hidden="1"/>
    </xf>
    <xf numFmtId="9" fontId="29" fillId="0" borderId="10" xfId="0" applyNumberFormat="1" applyFont="1" applyBorder="1" applyAlignment="1" applyProtection="1">
      <alignment vertical="top"/>
      <protection hidden="1"/>
    </xf>
    <xf numFmtId="0" fontId="29" fillId="0" borderId="10" xfId="0" applyFont="1" applyBorder="1" applyAlignment="1" applyProtection="1">
      <alignment vertical="top"/>
      <protection hidden="1"/>
    </xf>
    <xf numFmtId="0" fontId="29" fillId="0" borderId="10" xfId="0" applyFont="1" applyBorder="1" applyAlignment="1" applyProtection="1">
      <alignment vertical="top" wrapText="1"/>
      <protection hidden="1"/>
    </xf>
    <xf numFmtId="0" fontId="29" fillId="0" borderId="14" xfId="0" applyFont="1" applyBorder="1" applyProtection="1">
      <protection hidden="1"/>
    </xf>
    <xf numFmtId="0" fontId="57" fillId="0" borderId="11" xfId="0" applyFont="1" applyBorder="1" applyProtection="1">
      <protection hidden="1"/>
    </xf>
    <xf numFmtId="0" fontId="57" fillId="31" borderId="10" xfId="0" applyFont="1" applyFill="1" applyBorder="1" applyAlignment="1" applyProtection="1">
      <alignment horizontal="center" wrapText="1"/>
      <protection hidden="1"/>
    </xf>
    <xf numFmtId="1" fontId="57" fillId="0" borderId="10" xfId="0" applyNumberFormat="1" applyFont="1" applyBorder="1" applyAlignment="1" applyProtection="1">
      <alignment horizontal="left"/>
      <protection hidden="1"/>
    </xf>
    <xf numFmtId="0" fontId="57" fillId="36" borderId="10" xfId="0" applyFont="1" applyFill="1" applyBorder="1" applyAlignment="1" applyProtection="1">
      <alignment wrapText="1"/>
      <protection hidden="1"/>
    </xf>
    <xf numFmtId="0" fontId="57" fillId="36" borderId="10" xfId="0" applyFont="1" applyFill="1" applyBorder="1" applyAlignment="1" applyProtection="1">
      <alignment horizontal="center"/>
      <protection hidden="1"/>
    </xf>
    <xf numFmtId="0" fontId="29" fillId="0" borderId="10" xfId="0" applyFont="1" applyFill="1" applyBorder="1"/>
    <xf numFmtId="0" fontId="57" fillId="0" borderId="10" xfId="0" applyFont="1" applyFill="1" applyBorder="1"/>
    <xf numFmtId="0" fontId="29" fillId="36" borderId="11" xfId="0" applyFont="1" applyFill="1" applyBorder="1"/>
    <xf numFmtId="0" fontId="57" fillId="43" borderId="11" xfId="0" applyFont="1" applyFill="1" applyBorder="1"/>
    <xf numFmtId="0" fontId="29" fillId="30" borderId="14" xfId="0" applyFont="1" applyFill="1" applyBorder="1" applyAlignment="1" applyProtection="1">
      <protection hidden="1"/>
    </xf>
    <xf numFmtId="0" fontId="29" fillId="30" borderId="19" xfId="0" applyFont="1" applyFill="1" applyBorder="1" applyAlignment="1" applyProtection="1">
      <protection hidden="1"/>
    </xf>
    <xf numFmtId="0" fontId="57" fillId="28" borderId="12" xfId="0" applyFont="1" applyFill="1" applyBorder="1" applyProtection="1">
      <protection hidden="1"/>
    </xf>
    <xf numFmtId="0" fontId="57" fillId="28" borderId="13" xfId="0" applyFont="1" applyFill="1" applyBorder="1" applyProtection="1">
      <protection hidden="1"/>
    </xf>
    <xf numFmtId="0" fontId="29" fillId="39" borderId="20" xfId="0" applyFont="1" applyFill="1" applyBorder="1" applyAlignment="1" applyProtection="1">
      <protection hidden="1"/>
    </xf>
    <xf numFmtId="0" fontId="29" fillId="39" borderId="19" xfId="0" applyFont="1" applyFill="1" applyBorder="1" applyAlignment="1" applyProtection="1">
      <protection hidden="1"/>
    </xf>
    <xf numFmtId="0" fontId="29" fillId="39" borderId="11" xfId="0" applyFont="1" applyFill="1" applyBorder="1" applyAlignment="1" applyProtection="1">
      <protection hidden="1"/>
    </xf>
    <xf numFmtId="0" fontId="57" fillId="0" borderId="17" xfId="0" applyFont="1" applyBorder="1" applyProtection="1">
      <protection hidden="1"/>
    </xf>
    <xf numFmtId="0" fontId="29" fillId="0" borderId="18" xfId="0" applyFont="1" applyBorder="1" applyProtection="1">
      <protection hidden="1"/>
    </xf>
    <xf numFmtId="0" fontId="57" fillId="0" borderId="18" xfId="0" applyFont="1" applyBorder="1" applyProtection="1">
      <protection hidden="1"/>
    </xf>
    <xf numFmtId="0" fontId="57" fillId="0" borderId="22" xfId="0" applyFont="1" applyBorder="1" applyProtection="1">
      <protection hidden="1"/>
    </xf>
    <xf numFmtId="0" fontId="29" fillId="0" borderId="0" xfId="0" applyFont="1" applyBorder="1" applyProtection="1">
      <protection hidden="1"/>
    </xf>
    <xf numFmtId="0" fontId="57" fillId="31" borderId="10" xfId="0" applyFont="1" applyFill="1" applyBorder="1" applyAlignment="1" applyProtection="1">
      <alignment wrapText="1"/>
      <protection hidden="1"/>
    </xf>
    <xf numFmtId="0" fontId="57" fillId="36" borderId="10" xfId="0" applyFont="1" applyFill="1" applyBorder="1" applyAlignment="1">
      <alignment horizontal="right"/>
    </xf>
    <xf numFmtId="49" fontId="57" fillId="0" borderId="0" xfId="0" applyNumberFormat="1" applyFont="1"/>
    <xf numFmtId="167" fontId="57" fillId="0" borderId="0" xfId="0" applyNumberFormat="1" applyFont="1"/>
    <xf numFmtId="166" fontId="57" fillId="0" borderId="0" xfId="0" applyNumberFormat="1" applyFont="1"/>
    <xf numFmtId="49" fontId="7" fillId="0" borderId="10" xfId="0" applyNumberFormat="1" applyFont="1" applyBorder="1" applyAlignment="1" applyProtection="1">
      <alignment horizontal="center" wrapText="1"/>
      <protection hidden="1"/>
    </xf>
    <xf numFmtId="49" fontId="7" fillId="0" borderId="14" xfId="0" applyNumberFormat="1" applyFont="1" applyBorder="1" applyAlignment="1" applyProtection="1">
      <alignment horizontal="center" wrapText="1"/>
      <protection hidden="1"/>
    </xf>
    <xf numFmtId="0" fontId="32" fillId="25" borderId="10" xfId="0" applyFont="1" applyFill="1" applyBorder="1" applyAlignment="1" applyProtection="1">
      <alignment horizontal="left" vertical="top" wrapText="1"/>
      <protection locked="0"/>
    </xf>
    <xf numFmtId="0" fontId="29" fillId="0" borderId="19" xfId="0" applyFont="1" applyBorder="1"/>
    <xf numFmtId="0" fontId="7" fillId="0" borderId="14" xfId="0" applyFont="1" applyBorder="1" applyAlignment="1">
      <alignment vertical="center" wrapText="1"/>
    </xf>
    <xf numFmtId="0" fontId="35" fillId="24" borderId="0" xfId="803" applyFont="1" applyFill="1" applyBorder="1" applyAlignment="1" applyProtection="1"/>
    <xf numFmtId="0" fontId="3" fillId="24" borderId="33" xfId="0" applyFont="1" applyFill="1" applyBorder="1" applyAlignment="1">
      <alignment horizontal="left" vertical="top" wrapText="1" shrinkToFit="1"/>
    </xf>
    <xf numFmtId="0" fontId="3" fillId="24" borderId="33" xfId="0" applyFont="1" applyFill="1" applyBorder="1" applyAlignment="1">
      <alignment vertical="top" wrapText="1" shrinkToFit="1"/>
    </xf>
    <xf numFmtId="0" fontId="43" fillId="24" borderId="33" xfId="0" applyFont="1" applyFill="1" applyBorder="1" applyAlignment="1">
      <alignment horizontal="center"/>
    </xf>
    <xf numFmtId="0" fontId="43" fillId="24" borderId="33" xfId="0" applyFont="1" applyFill="1" applyBorder="1" applyAlignment="1">
      <alignment horizontal="left" vertical="top" wrapText="1"/>
    </xf>
    <xf numFmtId="9" fontId="43" fillId="24" borderId="33" xfId="957" applyNumberFormat="1" applyFont="1" applyFill="1" applyBorder="1" applyAlignment="1">
      <alignment horizontal="center"/>
    </xf>
    <xf numFmtId="9" fontId="43" fillId="24" borderId="33" xfId="957" applyNumberFormat="1" applyFont="1" applyFill="1" applyBorder="1" applyAlignment="1">
      <alignment horizontal="center" vertical="top" wrapText="1"/>
    </xf>
    <xf numFmtId="0" fontId="43" fillId="24" borderId="33" xfId="0" applyFont="1" applyFill="1" applyBorder="1" applyAlignment="1">
      <alignment horizontal="center" vertical="top" wrapText="1"/>
    </xf>
    <xf numFmtId="9" fontId="43" fillId="24" borderId="33" xfId="0" applyNumberFormat="1" applyFont="1" applyFill="1" applyBorder="1" applyAlignment="1">
      <alignment horizontal="center"/>
    </xf>
    <xf numFmtId="9" fontId="43" fillId="24" borderId="33" xfId="0" applyNumberFormat="1" applyFont="1" applyFill="1" applyBorder="1" applyAlignment="1">
      <alignment horizontal="center" vertical="top" wrapText="1"/>
    </xf>
    <xf numFmtId="10" fontId="43" fillId="24" borderId="33" xfId="957" applyNumberFormat="1" applyFont="1" applyFill="1" applyBorder="1" applyAlignment="1">
      <alignment horizontal="center" vertical="top" wrapText="1"/>
    </xf>
    <xf numFmtId="0" fontId="43" fillId="24" borderId="34" xfId="0" applyFont="1" applyFill="1" applyBorder="1" applyAlignment="1">
      <alignment horizontal="center"/>
    </xf>
    <xf numFmtId="0" fontId="3" fillId="0" borderId="0" xfId="0" applyFont="1" applyBorder="1" applyAlignment="1">
      <alignment horizontal="center" vertical="top"/>
    </xf>
    <xf numFmtId="1" fontId="5" fillId="25" borderId="10" xfId="0" applyNumberFormat="1" applyFont="1" applyFill="1" applyBorder="1" applyAlignment="1" applyProtection="1">
      <alignment horizontal="right" vertical="top" wrapText="1"/>
      <protection hidden="1"/>
    </xf>
    <xf numFmtId="0" fontId="5" fillId="26" borderId="10" xfId="0" applyFont="1" applyFill="1" applyBorder="1" applyAlignment="1" applyProtection="1">
      <alignment horizontal="left" vertical="top" wrapText="1"/>
      <protection locked="0"/>
    </xf>
    <xf numFmtId="0" fontId="57" fillId="24" borderId="0" xfId="0" applyFont="1" applyFill="1" applyAlignment="1">
      <alignment vertical="top"/>
    </xf>
    <xf numFmtId="0" fontId="3" fillId="24" borderId="23" xfId="0" applyFont="1" applyFill="1" applyBorder="1" applyProtection="1"/>
    <xf numFmtId="0" fontId="57" fillId="24" borderId="10" xfId="0" applyFont="1" applyFill="1" applyBorder="1"/>
    <xf numFmtId="0" fontId="3" fillId="0" borderId="0" xfId="0" applyFont="1" applyFill="1" applyBorder="1" applyAlignment="1" applyProtection="1">
      <alignment horizontal="left" wrapText="1"/>
      <protection hidden="1"/>
    </xf>
    <xf numFmtId="0" fontId="27" fillId="0" borderId="0" xfId="0" applyFont="1" applyFill="1" applyBorder="1" applyAlignment="1" applyProtection="1">
      <alignment horizontal="center"/>
      <protection hidden="1"/>
    </xf>
    <xf numFmtId="0" fontId="3" fillId="26" borderId="20" xfId="0" applyFont="1" applyFill="1" applyBorder="1" applyProtection="1"/>
    <xf numFmtId="0" fontId="3" fillId="0" borderId="20" xfId="0" applyFont="1" applyFill="1" applyBorder="1" applyAlignment="1" applyProtection="1">
      <alignment horizontal="left" wrapText="1"/>
      <protection hidden="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165" fontId="29" fillId="24" borderId="16" xfId="0" applyNumberFormat="1" applyFont="1" applyFill="1" applyBorder="1" applyAlignment="1" applyProtection="1">
      <alignment horizontal="center" vertical="top"/>
      <protection hidden="1"/>
    </xf>
    <xf numFmtId="165" fontId="29" fillId="24" borderId="12" xfId="0" applyNumberFormat="1" applyFont="1" applyFill="1" applyBorder="1" applyAlignment="1" applyProtection="1">
      <alignment horizontal="center" vertical="top"/>
      <protection hidden="1"/>
    </xf>
    <xf numFmtId="165" fontId="29" fillId="24" borderId="13" xfId="0" applyNumberFormat="1" applyFont="1" applyFill="1" applyBorder="1" applyAlignment="1" applyProtection="1">
      <alignment horizontal="center" vertical="top"/>
      <protection hidden="1"/>
    </xf>
    <xf numFmtId="0" fontId="3" fillId="0" borderId="12" xfId="0" applyFont="1" applyFill="1" applyBorder="1" applyAlignment="1" applyProtection="1">
      <alignment vertical="top"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top" wrapText="1"/>
      <protection hidden="1"/>
    </xf>
    <xf numFmtId="0" fontId="3" fillId="0" borderId="0" xfId="0" applyFont="1" applyFill="1" applyBorder="1" applyProtection="1"/>
    <xf numFmtId="0" fontId="3" fillId="0" borderId="23" xfId="0" applyFont="1" applyFill="1" applyBorder="1" applyProtection="1"/>
    <xf numFmtId="0" fontId="3" fillId="0" borderId="15" xfId="0" applyFont="1" applyFill="1" applyBorder="1" applyAlignment="1" applyProtection="1">
      <alignment horizontal="center" vertical="top" wrapText="1"/>
      <protection hidden="1"/>
    </xf>
    <xf numFmtId="1" fontId="28" fillId="0" borderId="10" xfId="0" applyNumberFormat="1" applyFont="1" applyFill="1" applyBorder="1" applyAlignment="1" applyProtection="1">
      <alignment horizontal="right" vertical="center"/>
      <protection hidden="1"/>
    </xf>
    <xf numFmtId="0" fontId="3" fillId="0" borderId="10"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wrapText="1"/>
      <protection hidden="1"/>
    </xf>
    <xf numFmtId="1" fontId="5" fillId="0" borderId="0" xfId="0" applyNumberFormat="1" applyFont="1" applyFill="1" applyBorder="1" applyAlignment="1" applyProtection="1">
      <alignment horizontal="left" vertical="top" wrapText="1"/>
      <protection locked="0"/>
    </xf>
    <xf numFmtId="0" fontId="3" fillId="28" borderId="15" xfId="0" applyFont="1" applyFill="1" applyBorder="1" applyAlignment="1" applyProtection="1">
      <alignment horizontal="left" vertical="top" wrapText="1"/>
      <protection hidden="1"/>
    </xf>
    <xf numFmtId="0" fontId="7" fillId="28" borderId="20" xfId="0" applyFont="1" applyFill="1" applyBorder="1" applyAlignment="1" applyProtection="1">
      <alignment horizontal="left" vertical="top" wrapText="1"/>
      <protection hidden="1"/>
    </xf>
    <xf numFmtId="0" fontId="3" fillId="28" borderId="20" xfId="0" applyFont="1" applyFill="1" applyBorder="1" applyAlignment="1" applyProtection="1">
      <alignment horizontal="left" vertical="top" wrapText="1"/>
      <protection hidden="1"/>
    </xf>
    <xf numFmtId="0" fontId="7" fillId="28" borderId="13" xfId="0" applyFont="1" applyFill="1" applyBorder="1" applyAlignment="1" applyProtection="1">
      <alignment horizontal="left" vertical="top" wrapText="1"/>
      <protection hidden="1"/>
    </xf>
    <xf numFmtId="0" fontId="3" fillId="28" borderId="10" xfId="0" applyFont="1" applyFill="1" applyBorder="1" applyAlignment="1" applyProtection="1">
      <alignment horizontal="center" vertical="top" wrapText="1"/>
      <protection hidden="1"/>
    </xf>
    <xf numFmtId="1" fontId="5" fillId="28" borderId="14" xfId="0" applyNumberFormat="1" applyFont="1" applyFill="1" applyBorder="1" applyAlignment="1" applyProtection="1">
      <alignment horizontal="left" vertical="top" wrapText="1"/>
      <protection locked="0" hidden="1"/>
    </xf>
    <xf numFmtId="1" fontId="5" fillId="28" borderId="14" xfId="0" applyNumberFormat="1" applyFont="1" applyFill="1" applyBorder="1" applyAlignment="1" applyProtection="1">
      <alignment horizontal="right"/>
      <protection locked="0" hidden="1"/>
    </xf>
    <xf numFmtId="49" fontId="5" fillId="28" borderId="14" xfId="0" applyNumberFormat="1" applyFont="1" applyFill="1" applyBorder="1" applyAlignment="1" applyProtection="1">
      <alignment horizontal="left"/>
      <protection locked="0" hidden="1"/>
    </xf>
    <xf numFmtId="1" fontId="5" fillId="28" borderId="10" xfId="0" applyNumberFormat="1" applyFont="1" applyFill="1" applyBorder="1" applyAlignment="1" applyProtection="1">
      <alignment horizontal="right"/>
      <protection locked="0" hidden="1"/>
    </xf>
    <xf numFmtId="0" fontId="3" fillId="28" borderId="13" xfId="0" applyFont="1" applyFill="1" applyBorder="1" applyAlignment="1" applyProtection="1">
      <alignment horizontal="center" vertical="top" wrapText="1"/>
      <protection hidden="1"/>
    </xf>
    <xf numFmtId="0" fontId="3" fillId="24" borderId="10" xfId="0" applyFont="1" applyFill="1" applyBorder="1" applyAlignment="1" applyProtection="1">
      <alignment horizontal="center" vertical="top"/>
    </xf>
    <xf numFmtId="0" fontId="3" fillId="26" borderId="22" xfId="0" applyFont="1" applyFill="1" applyBorder="1" applyAlignment="1">
      <alignment horizontal="center"/>
    </xf>
    <xf numFmtId="0" fontId="3" fillId="26" borderId="24" xfId="0" applyFont="1" applyFill="1" applyBorder="1" applyAlignment="1">
      <alignment horizontal="center"/>
    </xf>
    <xf numFmtId="0" fontId="3" fillId="26" borderId="23" xfId="0" applyFont="1" applyFill="1" applyBorder="1" applyAlignment="1">
      <alignment horizontal="center"/>
    </xf>
    <xf numFmtId="0" fontId="3" fillId="26" borderId="0" xfId="0" applyFont="1" applyFill="1" applyBorder="1"/>
    <xf numFmtId="1" fontId="28" fillId="24" borderId="20" xfId="0" applyNumberFormat="1" applyFont="1" applyFill="1" applyBorder="1" applyAlignment="1">
      <alignment horizontal="right"/>
    </xf>
    <xf numFmtId="0" fontId="3" fillId="26" borderId="18" xfId="0" applyFont="1" applyFill="1" applyBorder="1"/>
    <xf numFmtId="0" fontId="3" fillId="26" borderId="15" xfId="0" applyFont="1" applyFill="1" applyBorder="1"/>
    <xf numFmtId="0" fontId="54" fillId="0" borderId="10" xfId="0" applyFont="1" applyBorder="1"/>
    <xf numFmtId="0" fontId="3" fillId="24" borderId="12" xfId="0" applyFont="1" applyFill="1" applyBorder="1" applyAlignment="1">
      <alignment horizontal="center" vertical="center" textRotation="90"/>
    </xf>
    <xf numFmtId="0" fontId="3" fillId="24" borderId="13" xfId="0" applyFont="1" applyFill="1" applyBorder="1" applyAlignment="1">
      <alignment horizontal="center" vertical="center" textRotation="90"/>
    </xf>
    <xf numFmtId="0" fontId="3" fillId="0" borderId="16" xfId="0" applyFont="1" applyBorder="1" applyAlignment="1">
      <alignment horizontal="center" vertical="top"/>
    </xf>
    <xf numFmtId="1" fontId="5" fillId="26" borderId="0" xfId="0" applyNumberFormat="1" applyFont="1" applyFill="1" applyBorder="1" applyAlignment="1" applyProtection="1">
      <alignment horizontal="right"/>
      <protection hidden="1"/>
    </xf>
    <xf numFmtId="1" fontId="5" fillId="26" borderId="23" xfId="0" applyNumberFormat="1" applyFont="1" applyFill="1" applyBorder="1" applyAlignment="1" applyProtection="1">
      <alignment horizontal="right"/>
      <protection hidden="1"/>
    </xf>
    <xf numFmtId="1" fontId="5" fillId="26" borderId="21" xfId="0" applyNumberFormat="1" applyFont="1" applyFill="1" applyBorder="1" applyAlignment="1" applyProtection="1">
      <alignment horizontal="right"/>
      <protection hidden="1"/>
    </xf>
    <xf numFmtId="1" fontId="5" fillId="26" borderId="17" xfId="0" applyNumberFormat="1" applyFont="1" applyFill="1" applyBorder="1" applyAlignment="1" applyProtection="1">
      <alignment horizontal="right"/>
      <protection hidden="1"/>
    </xf>
    <xf numFmtId="1" fontId="5" fillId="26" borderId="22" xfId="0" applyNumberFormat="1" applyFont="1" applyFill="1" applyBorder="1" applyAlignment="1" applyProtection="1">
      <alignment horizontal="right"/>
      <protection hidden="1"/>
    </xf>
    <xf numFmtId="0" fontId="27" fillId="24" borderId="22" xfId="0" applyFont="1" applyFill="1" applyBorder="1" applyAlignment="1">
      <alignment horizontal="center" vertical="top" wrapText="1"/>
    </xf>
    <xf numFmtId="0" fontId="27" fillId="24" borderId="12" xfId="0" applyFont="1" applyFill="1" applyBorder="1" applyAlignment="1">
      <alignment horizontal="center" vertical="top" wrapText="1"/>
    </xf>
    <xf numFmtId="0" fontId="27" fillId="24" borderId="16" xfId="0" applyFont="1" applyFill="1" applyBorder="1" applyAlignment="1">
      <alignment horizontal="center" vertical="top" wrapText="1"/>
    </xf>
    <xf numFmtId="0" fontId="3" fillId="26" borderId="15" xfId="0" applyFont="1" applyFill="1" applyBorder="1" applyAlignment="1">
      <alignment vertical="top" wrapText="1"/>
    </xf>
    <xf numFmtId="0" fontId="3" fillId="26" borderId="20" xfId="0" applyFont="1" applyFill="1" applyBorder="1" applyAlignment="1">
      <alignment vertical="top" wrapText="1"/>
    </xf>
    <xf numFmtId="0" fontId="3" fillId="26" borderId="17" xfId="0" applyFont="1" applyFill="1" applyBorder="1" applyAlignment="1">
      <alignment vertical="top" wrapText="1"/>
    </xf>
    <xf numFmtId="0" fontId="3" fillId="26" borderId="18" xfId="0" applyFont="1" applyFill="1" applyBorder="1" applyAlignment="1">
      <alignment vertical="top" wrapText="1"/>
    </xf>
    <xf numFmtId="0" fontId="3" fillId="24" borderId="21" xfId="0" applyFont="1" applyFill="1" applyBorder="1" applyAlignment="1">
      <alignment horizontal="center" vertical="center" textRotation="90"/>
    </xf>
    <xf numFmtId="0" fontId="27" fillId="0" borderId="20" xfId="0" applyFont="1" applyFill="1" applyBorder="1" applyAlignment="1" applyProtection="1">
      <alignment horizontal="left"/>
      <protection hidden="1"/>
    </xf>
    <xf numFmtId="0" fontId="3" fillId="0" borderId="0" xfId="0" applyFont="1" applyFill="1" applyBorder="1" applyAlignment="1" applyProtection="1">
      <alignment horizontal="left" vertical="top" wrapText="1"/>
      <protection hidden="1"/>
    </xf>
    <xf numFmtId="0" fontId="3" fillId="0" borderId="23" xfId="0" applyFont="1" applyBorder="1" applyProtection="1"/>
    <xf numFmtId="0" fontId="3" fillId="24" borderId="16" xfId="0" applyFont="1" applyFill="1" applyBorder="1" applyAlignment="1">
      <alignment horizontal="center" vertical="top"/>
    </xf>
    <xf numFmtId="0" fontId="3" fillId="24" borderId="21" xfId="0" applyFont="1" applyFill="1" applyBorder="1" applyAlignment="1">
      <alignment horizontal="center" vertical="center" textRotation="90" wrapText="1"/>
    </xf>
    <xf numFmtId="0" fontId="26" fillId="27" borderId="10" xfId="0" applyFont="1" applyFill="1" applyBorder="1" applyAlignment="1">
      <alignment horizontal="left" vertical="top" wrapText="1"/>
    </xf>
    <xf numFmtId="0" fontId="3" fillId="24" borderId="0" xfId="0" applyFont="1" applyFill="1" applyBorder="1" applyAlignment="1">
      <alignment horizontal="left"/>
    </xf>
    <xf numFmtId="0" fontId="3" fillId="0" borderId="10" xfId="0" applyFont="1" applyBorder="1" applyAlignment="1" applyProtection="1">
      <alignment horizontal="center" vertical="center" wrapText="1"/>
    </xf>
    <xf numFmtId="1" fontId="27" fillId="0" borderId="11" xfId="0" applyNumberFormat="1" applyFont="1" applyBorder="1" applyAlignment="1">
      <alignment horizontal="center" vertical="center"/>
    </xf>
    <xf numFmtId="0" fontId="5" fillId="0" borderId="0" xfId="0" applyFont="1" applyFill="1" applyBorder="1" applyAlignment="1" applyProtection="1">
      <alignment vertical="top" wrapText="1"/>
    </xf>
    <xf numFmtId="0" fontId="57" fillId="0" borderId="0" xfId="0" applyFont="1" applyAlignment="1">
      <alignment horizontal="center" vertical="center"/>
    </xf>
    <xf numFmtId="0" fontId="26" fillId="27" borderId="20" xfId="0" applyFont="1" applyFill="1" applyBorder="1" applyAlignment="1">
      <alignment horizontal="left" vertical="top" wrapText="1"/>
    </xf>
    <xf numFmtId="0" fontId="3" fillId="0" borderId="13" xfId="0" applyFont="1" applyBorder="1" applyAlignment="1">
      <alignment vertical="center" wrapText="1"/>
    </xf>
    <xf numFmtId="1" fontId="5" fillId="0" borderId="19" xfId="0" applyNumberFormat="1" applyFont="1" applyFill="1" applyBorder="1" applyAlignment="1" applyProtection="1">
      <alignment horizontal="left" vertical="center"/>
    </xf>
    <xf numFmtId="1" fontId="5" fillId="0" borderId="19" xfId="0" applyNumberFormat="1" applyFont="1" applyFill="1" applyBorder="1" applyAlignment="1" applyProtection="1">
      <alignment horizontal="right" vertical="center"/>
    </xf>
    <xf numFmtId="1" fontId="5" fillId="0" borderId="11" xfId="0" applyNumberFormat="1" applyFont="1" applyFill="1" applyBorder="1" applyAlignment="1" applyProtection="1">
      <alignment horizontal="right" vertical="center"/>
    </xf>
    <xf numFmtId="1" fontId="5" fillId="0" borderId="15" xfId="0" applyNumberFormat="1" applyFont="1" applyFill="1" applyBorder="1" applyAlignment="1" applyProtection="1">
      <alignment horizontal="left" vertical="center"/>
    </xf>
    <xf numFmtId="1" fontId="5" fillId="0" borderId="15" xfId="0" applyNumberFormat="1" applyFont="1" applyFill="1" applyBorder="1" applyAlignment="1" applyProtection="1">
      <alignment horizontal="right" vertical="center"/>
    </xf>
    <xf numFmtId="1" fontId="5" fillId="0" borderId="24" xfId="0" applyNumberFormat="1" applyFont="1" applyFill="1" applyBorder="1" applyAlignment="1" applyProtection="1">
      <alignment horizontal="right" vertical="center"/>
    </xf>
    <xf numFmtId="0" fontId="3" fillId="24" borderId="10" xfId="0" applyFont="1" applyFill="1" applyBorder="1" applyAlignment="1" applyProtection="1">
      <alignment horizontal="center" vertical="center"/>
    </xf>
    <xf numFmtId="0" fontId="54" fillId="0" borderId="10" xfId="0" quotePrefix="1" applyFont="1" applyBorder="1"/>
    <xf numFmtId="2" fontId="5" fillId="25" borderId="10" xfId="0" applyNumberFormat="1" applyFont="1" applyFill="1" applyBorder="1" applyAlignment="1" applyProtection="1">
      <alignment horizontal="right" vertical="top" wrapText="1"/>
      <protection locked="0"/>
    </xf>
    <xf numFmtId="49" fontId="5" fillId="25" borderId="10" xfId="0" applyNumberFormat="1" applyFont="1" applyFill="1" applyBorder="1" applyAlignment="1" applyProtection="1">
      <alignment horizontal="left" vertical="top"/>
      <protection locked="0"/>
    </xf>
    <xf numFmtId="0" fontId="3" fillId="0" borderId="12" xfId="0" applyFont="1" applyBorder="1" applyAlignment="1">
      <alignment horizontal="center" vertical="center" textRotation="90"/>
    </xf>
    <xf numFmtId="0" fontId="3" fillId="0" borderId="12" xfId="0" applyFont="1" applyBorder="1" applyAlignment="1">
      <alignment vertical="center" textRotation="90" wrapText="1"/>
    </xf>
    <xf numFmtId="0" fontId="57" fillId="0" borderId="21" xfId="0" applyFont="1" applyBorder="1" applyAlignment="1">
      <alignment vertical="center" textRotation="90" wrapText="1"/>
    </xf>
    <xf numFmtId="0" fontId="27" fillId="0" borderId="22" xfId="0" applyFont="1" applyBorder="1" applyAlignment="1">
      <alignment horizontal="center" vertical="top"/>
    </xf>
    <xf numFmtId="0" fontId="27" fillId="0" borderId="16" xfId="0" applyFont="1" applyBorder="1"/>
    <xf numFmtId="0" fontId="3" fillId="24" borderId="21" xfId="0" applyFont="1" applyFill="1" applyBorder="1" applyAlignment="1">
      <alignment horizontal="left"/>
    </xf>
    <xf numFmtId="0" fontId="57" fillId="0" borderId="23" xfId="0" applyFont="1" applyBorder="1" applyAlignment="1">
      <alignment horizontal="left"/>
    </xf>
    <xf numFmtId="0" fontId="32" fillId="0" borderId="10" xfId="0" applyFont="1" applyBorder="1" applyAlignment="1">
      <alignment horizontal="center" vertical="center"/>
    </xf>
    <xf numFmtId="0" fontId="35" fillId="0" borderId="10" xfId="803" applyFont="1" applyBorder="1" applyAlignment="1" applyProtection="1">
      <alignment vertical="center"/>
    </xf>
    <xf numFmtId="0" fontId="5" fillId="24" borderId="10" xfId="803" applyFont="1" applyFill="1" applyBorder="1" applyAlignment="1" applyProtection="1">
      <alignment vertical="center"/>
    </xf>
    <xf numFmtId="0" fontId="5" fillId="24" borderId="10" xfId="803" applyFont="1" applyFill="1" applyBorder="1" applyAlignment="1" applyProtection="1">
      <alignment vertical="center" wrapText="1"/>
    </xf>
    <xf numFmtId="0" fontId="32" fillId="24" borderId="10" xfId="0" applyFont="1" applyFill="1" applyBorder="1" applyAlignment="1" applyProtection="1">
      <alignment horizontal="center" vertical="center"/>
    </xf>
    <xf numFmtId="0" fontId="57" fillId="0" borderId="0" xfId="0" applyFont="1" applyAlignment="1">
      <alignment vertical="center"/>
    </xf>
    <xf numFmtId="0" fontId="32" fillId="25" borderId="10" xfId="0" applyFont="1" applyFill="1" applyBorder="1" applyAlignment="1" applyProtection="1">
      <alignment horizontal="center" vertical="center"/>
      <protection locked="0"/>
    </xf>
    <xf numFmtId="0" fontId="5" fillId="24" borderId="10" xfId="0" applyFont="1" applyFill="1" applyBorder="1" applyAlignment="1">
      <alignment vertical="center"/>
    </xf>
    <xf numFmtId="0" fontId="5" fillId="24" borderId="10" xfId="0" applyFont="1" applyFill="1" applyBorder="1" applyAlignment="1">
      <alignment vertical="center" wrapText="1"/>
    </xf>
    <xf numFmtId="0" fontId="29" fillId="24" borderId="10" xfId="0" applyFont="1" applyFill="1" applyBorder="1" applyAlignment="1">
      <alignment horizontal="center" vertical="center"/>
    </xf>
    <xf numFmtId="0" fontId="29" fillId="24" borderId="10" xfId="0" applyFont="1" applyFill="1" applyBorder="1" applyAlignment="1">
      <alignment horizontal="center" vertical="center" wrapText="1"/>
    </xf>
    <xf numFmtId="49" fontId="5" fillId="0" borderId="14" xfId="878" applyNumberFormat="1" applyFont="1" applyFill="1" applyBorder="1" applyAlignment="1" applyProtection="1">
      <alignment horizontal="left" vertical="top" wrapText="1"/>
    </xf>
    <xf numFmtId="49" fontId="5" fillId="0" borderId="19" xfId="878" applyNumberFormat="1" applyFont="1" applyFill="1" applyBorder="1" applyAlignment="1" applyProtection="1">
      <alignment horizontal="left" vertical="top" wrapText="1"/>
    </xf>
    <xf numFmtId="49" fontId="32" fillId="0" borderId="19" xfId="0" applyNumberFormat="1" applyFont="1" applyFill="1" applyBorder="1" applyAlignment="1" applyProtection="1">
      <alignment horizontal="left" vertical="top" wrapText="1"/>
    </xf>
    <xf numFmtId="0" fontId="3" fillId="0" borderId="0" xfId="0" applyFont="1" applyFill="1" applyBorder="1" applyAlignment="1">
      <alignment horizontal="left" wrapText="1"/>
    </xf>
    <xf numFmtId="0" fontId="29" fillId="0" borderId="13" xfId="0" applyFont="1" applyBorder="1" applyAlignment="1">
      <alignment horizontal="center" vertical="top"/>
    </xf>
    <xf numFmtId="0" fontId="32" fillId="0" borderId="17" xfId="0" applyFont="1" applyBorder="1"/>
    <xf numFmtId="0" fontId="29" fillId="0" borderId="12" xfId="0" applyFont="1" applyBorder="1" applyAlignment="1">
      <alignment horizontal="center" vertical="top"/>
    </xf>
    <xf numFmtId="0" fontId="3" fillId="0" borderId="13" xfId="0" applyFont="1" applyBorder="1" applyAlignment="1">
      <alignment vertical="center"/>
    </xf>
    <xf numFmtId="0" fontId="57" fillId="0" borderId="0" xfId="0" applyNumberFormat="1" applyFont="1" applyProtection="1">
      <protection hidden="1"/>
    </xf>
    <xf numFmtId="0" fontId="7" fillId="0" borderId="10" xfId="0" applyFont="1" applyBorder="1" applyAlignment="1">
      <alignment horizontal="center" vertical="top"/>
    </xf>
    <xf numFmtId="0" fontId="5" fillId="26" borderId="17" xfId="0" applyNumberFormat="1" applyFont="1" applyFill="1" applyBorder="1" applyAlignment="1" applyProtection="1">
      <alignment horizontal="right"/>
    </xf>
    <xf numFmtId="0" fontId="5" fillId="26" borderId="22" xfId="0" applyNumberFormat="1" applyFont="1" applyFill="1" applyBorder="1" applyAlignment="1" applyProtection="1">
      <alignment horizontal="right"/>
    </xf>
    <xf numFmtId="0" fontId="3" fillId="0" borderId="23" xfId="0" applyFont="1" applyBorder="1" applyAlignment="1">
      <alignment horizontal="center"/>
    </xf>
    <xf numFmtId="0" fontId="3" fillId="26" borderId="24" xfId="0" applyFont="1" applyFill="1" applyBorder="1" applyAlignment="1"/>
    <xf numFmtId="1" fontId="5" fillId="25" borderId="10" xfId="0" applyNumberFormat="1" applyFont="1" applyFill="1" applyBorder="1" applyAlignment="1" applyProtection="1">
      <alignment horizontal="center" vertical="center" wrapText="1"/>
      <protection locked="0"/>
    </xf>
    <xf numFmtId="0" fontId="58" fillId="0" borderId="10" xfId="0" applyFont="1" applyBorder="1" applyAlignment="1">
      <alignment horizontal="center" vertical="center"/>
    </xf>
    <xf numFmtId="0" fontId="26" fillId="27" borderId="10" xfId="0" applyFont="1" applyFill="1" applyBorder="1" applyAlignment="1">
      <alignment horizontal="center" vertical="center" wrapText="1"/>
    </xf>
    <xf numFmtId="0" fontId="57" fillId="0" borderId="35" xfId="0" applyFont="1" applyBorder="1" applyAlignment="1">
      <alignment vertical="center"/>
    </xf>
    <xf numFmtId="0" fontId="57" fillId="0" borderId="36" xfId="0" applyFont="1" applyBorder="1" applyAlignment="1">
      <alignment horizontal="center" vertical="center"/>
    </xf>
    <xf numFmtId="0" fontId="57" fillId="0" borderId="36" xfId="0" applyFont="1" applyBorder="1" applyAlignment="1">
      <alignment vertical="center"/>
    </xf>
    <xf numFmtId="0" fontId="57" fillId="0" borderId="37" xfId="0" applyFont="1" applyBorder="1" applyAlignment="1">
      <alignment vertical="center"/>
    </xf>
    <xf numFmtId="0" fontId="57" fillId="0" borderId="38" xfId="0" applyFont="1" applyBorder="1"/>
    <xf numFmtId="0" fontId="57" fillId="0" borderId="39" xfId="0" applyFont="1" applyBorder="1"/>
    <xf numFmtId="0" fontId="57" fillId="0" borderId="38" xfId="0" applyFont="1" applyBorder="1" applyAlignment="1">
      <alignment vertical="center"/>
    </xf>
    <xf numFmtId="0" fontId="57" fillId="0" borderId="39" xfId="0" applyFont="1" applyBorder="1" applyAlignment="1">
      <alignment vertical="center"/>
    </xf>
    <xf numFmtId="0" fontId="35" fillId="0" borderId="0" xfId="803" applyFont="1" applyBorder="1" applyAlignment="1" applyProtection="1">
      <alignment vertical="center"/>
    </xf>
    <xf numFmtId="0" fontId="57" fillId="0" borderId="40" xfId="0" applyFont="1" applyBorder="1" applyAlignment="1">
      <alignment vertical="center"/>
    </xf>
    <xf numFmtId="0" fontId="57" fillId="0" borderId="30" xfId="0" applyFont="1" applyBorder="1" applyAlignment="1">
      <alignment horizontal="center" vertical="center"/>
    </xf>
    <xf numFmtId="0" fontId="57" fillId="0" borderId="30" xfId="0" applyFont="1" applyBorder="1" applyAlignment="1">
      <alignment vertical="center"/>
    </xf>
    <xf numFmtId="0" fontId="57" fillId="0" borderId="41" xfId="0" applyFont="1" applyBorder="1" applyAlignment="1">
      <alignment vertical="center"/>
    </xf>
    <xf numFmtId="0" fontId="57" fillId="0" borderId="35" xfId="0" applyFont="1" applyBorder="1"/>
    <xf numFmtId="0" fontId="57" fillId="0" borderId="36" xfId="0" applyFont="1" applyBorder="1"/>
    <xf numFmtId="0" fontId="57" fillId="0" borderId="37" xfId="0" applyFont="1" applyBorder="1"/>
    <xf numFmtId="0" fontId="32" fillId="24" borderId="0" xfId="0" applyFont="1" applyFill="1" applyBorder="1"/>
    <xf numFmtId="0" fontId="5" fillId="24" borderId="39" xfId="0" applyFont="1" applyFill="1" applyBorder="1"/>
    <xf numFmtId="0" fontId="57" fillId="24" borderId="38" xfId="0" applyFont="1" applyFill="1" applyBorder="1"/>
    <xf numFmtId="0" fontId="57" fillId="24" borderId="39" xfId="0" applyFont="1" applyFill="1" applyBorder="1"/>
    <xf numFmtId="0" fontId="57" fillId="24" borderId="40" xfId="0" applyFont="1" applyFill="1" applyBorder="1"/>
    <xf numFmtId="0" fontId="57" fillId="24" borderId="30" xfId="0" applyFont="1" applyFill="1" applyBorder="1"/>
    <xf numFmtId="0" fontId="57" fillId="24" borderId="41" xfId="0" applyFont="1" applyFill="1" applyBorder="1"/>
    <xf numFmtId="0" fontId="57" fillId="24" borderId="37" xfId="0" applyFont="1" applyFill="1" applyBorder="1"/>
    <xf numFmtId="0" fontId="57" fillId="0" borderId="40" xfId="0" applyFont="1" applyBorder="1"/>
    <xf numFmtId="0" fontId="57" fillId="0" borderId="36" xfId="0" applyFont="1" applyBorder="1" applyAlignment="1">
      <alignment horizontal="center"/>
    </xf>
    <xf numFmtId="0" fontId="57" fillId="24" borderId="39" xfId="0" applyFont="1" applyFill="1" applyBorder="1" applyProtection="1"/>
    <xf numFmtId="0" fontId="57" fillId="0" borderId="30" xfId="0" applyFont="1" applyBorder="1"/>
    <xf numFmtId="0" fontId="57" fillId="0" borderId="30" xfId="0" applyFont="1" applyBorder="1" applyAlignment="1">
      <alignment horizontal="center"/>
    </xf>
    <xf numFmtId="0" fontId="57" fillId="0" borderId="36" xfId="0" applyFont="1" applyBorder="1" applyAlignment="1">
      <alignment vertical="top"/>
    </xf>
    <xf numFmtId="0" fontId="57" fillId="0" borderId="39" xfId="0" applyFont="1" applyFill="1" applyBorder="1" applyProtection="1"/>
    <xf numFmtId="0" fontId="57" fillId="0" borderId="0" xfId="0" applyFont="1" applyBorder="1" applyAlignment="1">
      <alignment vertical="top"/>
    </xf>
    <xf numFmtId="0" fontId="57" fillId="0" borderId="30" xfId="0" applyFont="1" applyBorder="1" applyAlignment="1">
      <alignment vertical="top"/>
    </xf>
    <xf numFmtId="0" fontId="26" fillId="0" borderId="38" xfId="0" applyFont="1" applyFill="1" applyBorder="1" applyAlignment="1">
      <alignment horizontal="center" vertical="center" wrapText="1"/>
    </xf>
    <xf numFmtId="0" fontId="57" fillId="0" borderId="12" xfId="0" applyFont="1" applyBorder="1"/>
    <xf numFmtId="0" fontId="3" fillId="0" borderId="11" xfId="0" applyFont="1" applyBorder="1" applyAlignment="1">
      <alignment horizontal="center" wrapText="1"/>
    </xf>
    <xf numFmtId="1" fontId="7" fillId="0" borderId="0" xfId="0" applyNumberFormat="1" applyFont="1" applyBorder="1" applyAlignment="1">
      <alignment horizontal="center" wrapText="1"/>
    </xf>
    <xf numFmtId="1" fontId="3" fillId="0" borderId="0" xfId="0" applyNumberFormat="1" applyFont="1" applyBorder="1" applyAlignment="1">
      <alignment horizontal="center" wrapText="1"/>
    </xf>
    <xf numFmtId="0" fontId="3" fillId="0" borderId="39" xfId="0" applyFont="1" applyBorder="1" applyAlignment="1">
      <alignment horizontal="center" vertical="top"/>
    </xf>
    <xf numFmtId="0" fontId="57" fillId="0" borderId="41" xfId="0" applyFont="1" applyBorder="1"/>
    <xf numFmtId="0" fontId="3" fillId="0" borderId="16" xfId="0" applyFont="1" applyBorder="1" applyAlignment="1">
      <alignment vertical="center" textRotation="90" wrapText="1"/>
    </xf>
    <xf numFmtId="0" fontId="3" fillId="24" borderId="13" xfId="0" applyFont="1" applyFill="1" applyBorder="1" applyAlignment="1">
      <alignment vertical="center" wrapText="1"/>
    </xf>
    <xf numFmtId="0" fontId="3" fillId="0" borderId="39" xfId="0" applyFont="1" applyFill="1" applyBorder="1" applyAlignment="1">
      <alignment horizontal="left" wrapText="1"/>
    </xf>
    <xf numFmtId="0" fontId="3" fillId="0" borderId="38" xfId="0" applyFont="1" applyBorder="1" applyAlignment="1"/>
    <xf numFmtId="0" fontId="57" fillId="24" borderId="36" xfId="0" applyFont="1" applyFill="1" applyBorder="1" applyAlignment="1"/>
    <xf numFmtId="0" fontId="57" fillId="24" borderId="30" xfId="0" applyFont="1" applyFill="1" applyBorder="1" applyAlignment="1"/>
    <xf numFmtId="0" fontId="3" fillId="0" borderId="0" xfId="0" applyFont="1" applyBorder="1" applyAlignment="1">
      <alignment horizontal="center"/>
    </xf>
    <xf numFmtId="0" fontId="3" fillId="25" borderId="0" xfId="0" applyFont="1" applyFill="1" applyBorder="1" applyProtection="1">
      <protection locked="0"/>
    </xf>
    <xf numFmtId="0" fontId="57" fillId="0" borderId="30" xfId="0" applyFont="1" applyFill="1" applyBorder="1"/>
    <xf numFmtId="0" fontId="57" fillId="0" borderId="30" xfId="0" applyFont="1" applyFill="1" applyBorder="1" applyAlignment="1">
      <alignment horizontal="center"/>
    </xf>
    <xf numFmtId="0" fontId="57" fillId="0" borderId="41" xfId="0" applyFont="1" applyFill="1" applyBorder="1"/>
    <xf numFmtId="0" fontId="3" fillId="24" borderId="39" xfId="0" applyFont="1" applyFill="1" applyBorder="1" applyAlignment="1">
      <alignment horizontal="center"/>
    </xf>
    <xf numFmtId="0" fontId="5" fillId="24" borderId="39" xfId="0" applyFont="1" applyFill="1" applyBorder="1" applyAlignment="1">
      <alignment horizontal="center"/>
    </xf>
    <xf numFmtId="0" fontId="32" fillId="24" borderId="39" xfId="0" applyFont="1" applyFill="1" applyBorder="1" applyAlignment="1">
      <alignment horizontal="left"/>
    </xf>
    <xf numFmtId="0" fontId="57" fillId="24" borderId="0" xfId="0" applyFont="1" applyFill="1" applyBorder="1" applyAlignment="1">
      <alignment vertical="top"/>
    </xf>
    <xf numFmtId="0" fontId="57" fillId="24" borderId="30" xfId="0" applyFont="1" applyFill="1" applyBorder="1" applyAlignment="1">
      <alignment vertical="top"/>
    </xf>
    <xf numFmtId="0" fontId="3" fillId="0" borderId="36" xfId="0" applyFont="1" applyBorder="1"/>
    <xf numFmtId="0" fontId="5" fillId="0" borderId="36" xfId="0" applyFont="1" applyBorder="1"/>
    <xf numFmtId="0" fontId="5" fillId="24" borderId="0" xfId="0" applyFont="1" applyFill="1" applyBorder="1" applyAlignment="1">
      <alignment horizontal="left"/>
    </xf>
    <xf numFmtId="0" fontId="3" fillId="24" borderId="30" xfId="0" applyFont="1" applyFill="1" applyBorder="1"/>
    <xf numFmtId="0" fontId="5" fillId="24" borderId="30" xfId="0" applyFont="1" applyFill="1" applyBorder="1"/>
    <xf numFmtId="0" fontId="57" fillId="0" borderId="16" xfId="0" applyFont="1" applyBorder="1"/>
    <xf numFmtId="0" fontId="3" fillId="24" borderId="13" xfId="0" applyFont="1" applyFill="1" applyBorder="1" applyAlignment="1">
      <alignment horizontal="center" vertical="top"/>
    </xf>
    <xf numFmtId="0" fontId="3" fillId="0" borderId="38" xfId="0" applyFont="1" applyBorder="1" applyProtection="1"/>
    <xf numFmtId="0" fontId="3" fillId="24" borderId="39" xfId="0" applyFont="1" applyFill="1" applyBorder="1" applyProtection="1">
      <protection hidden="1"/>
    </xf>
    <xf numFmtId="0" fontId="3" fillId="24" borderId="0" xfId="0" applyFont="1" applyFill="1" applyBorder="1" applyAlignment="1">
      <alignment vertical="center" textRotation="90"/>
    </xf>
    <xf numFmtId="0" fontId="57" fillId="24" borderId="36" xfId="0" applyFont="1" applyFill="1" applyBorder="1"/>
    <xf numFmtId="0" fontId="3" fillId="0" borderId="39" xfId="0" applyFont="1" applyBorder="1" applyAlignment="1"/>
    <xf numFmtId="0" fontId="32" fillId="0" borderId="30" xfId="0" applyFont="1" applyBorder="1" applyAlignment="1">
      <alignment horizontal="justify" vertical="center"/>
    </xf>
    <xf numFmtId="0" fontId="3" fillId="24" borderId="36" xfId="0" applyFont="1" applyFill="1" applyBorder="1"/>
    <xf numFmtId="0" fontId="5" fillId="24" borderId="36" xfId="0" applyFont="1" applyFill="1" applyBorder="1" applyAlignment="1"/>
    <xf numFmtId="0" fontId="57" fillId="24" borderId="37" xfId="0" applyFont="1" applyFill="1" applyBorder="1" applyAlignment="1">
      <alignment horizontal="center"/>
    </xf>
    <xf numFmtId="0" fontId="57" fillId="24" borderId="39" xfId="0" applyFont="1" applyFill="1" applyBorder="1" applyAlignment="1">
      <alignment horizontal="center"/>
    </xf>
    <xf numFmtId="0" fontId="57" fillId="24" borderId="41" xfId="0" applyFont="1" applyFill="1" applyBorder="1" applyAlignment="1">
      <alignment horizontal="center"/>
    </xf>
    <xf numFmtId="0" fontId="3" fillId="24" borderId="42" xfId="0" applyFont="1" applyFill="1" applyBorder="1"/>
    <xf numFmtId="0" fontId="3" fillId="24" borderId="39" xfId="0" applyFont="1" applyFill="1" applyBorder="1"/>
    <xf numFmtId="0" fontId="7" fillId="24" borderId="0" xfId="0" applyFont="1" applyFill="1" applyBorder="1"/>
    <xf numFmtId="1" fontId="28" fillId="24" borderId="39" xfId="0" applyNumberFormat="1" applyFont="1" applyFill="1" applyBorder="1" applyAlignment="1" applyProtection="1">
      <alignment horizontal="right"/>
      <protection hidden="1"/>
    </xf>
    <xf numFmtId="0" fontId="3" fillId="24" borderId="20" xfId="0" applyFont="1" applyFill="1" applyBorder="1" applyAlignment="1">
      <alignment vertical="center"/>
    </xf>
    <xf numFmtId="0" fontId="31" fillId="0" borderId="0" xfId="0" applyFont="1" applyBorder="1"/>
    <xf numFmtId="1" fontId="5" fillId="25" borderId="22" xfId="0" applyNumberFormat="1" applyFont="1" applyFill="1" applyBorder="1" applyAlignment="1" applyProtection="1">
      <alignment horizontal="right"/>
      <protection locked="0"/>
    </xf>
    <xf numFmtId="0" fontId="3" fillId="0" borderId="12" xfId="0" applyFont="1" applyBorder="1" applyAlignment="1">
      <alignment horizontal="center" vertical="top"/>
    </xf>
    <xf numFmtId="1" fontId="5" fillId="25" borderId="22" xfId="0" applyNumberFormat="1" applyFont="1" applyFill="1" applyBorder="1" applyAlignment="1" applyProtection="1">
      <alignment horizontal="left" vertical="center"/>
      <protection locked="0"/>
    </xf>
    <xf numFmtId="0" fontId="29" fillId="0" borderId="10" xfId="0" applyFont="1" applyBorder="1" applyAlignment="1">
      <alignment horizontal="center" vertical="center" wrapText="1"/>
    </xf>
    <xf numFmtId="0" fontId="57" fillId="31" borderId="16" xfId="0" applyFont="1" applyFill="1" applyBorder="1" applyProtection="1">
      <protection hidden="1"/>
    </xf>
    <xf numFmtId="1" fontId="57" fillId="0" borderId="16" xfId="0" applyNumberFormat="1" applyFont="1" applyBorder="1" applyProtection="1">
      <protection hidden="1"/>
    </xf>
    <xf numFmtId="2" fontId="5" fillId="25" borderId="22" xfId="0" applyNumberFormat="1" applyFont="1" applyFill="1" applyBorder="1" applyAlignment="1" applyProtection="1">
      <alignment horizontal="center" vertical="center"/>
      <protection locked="0"/>
    </xf>
    <xf numFmtId="0" fontId="3" fillId="26" borderId="24" xfId="0" applyFont="1" applyFill="1" applyBorder="1" applyAlignment="1" applyProtection="1">
      <alignment horizontal="center"/>
      <protection hidden="1"/>
    </xf>
    <xf numFmtId="0" fontId="5" fillId="26" borderId="0" xfId="0" applyFont="1" applyFill="1" applyBorder="1" applyProtection="1">
      <protection hidden="1"/>
    </xf>
    <xf numFmtId="0" fontId="5" fillId="26" borderId="21" xfId="0" applyFont="1" applyFill="1" applyBorder="1" applyProtection="1">
      <protection hidden="1"/>
    </xf>
    <xf numFmtId="0" fontId="3" fillId="26" borderId="23" xfId="0" applyFont="1" applyFill="1" applyBorder="1" applyAlignment="1" applyProtection="1">
      <alignment horizontal="center"/>
      <protection hidden="1"/>
    </xf>
    <xf numFmtId="0" fontId="5" fillId="26" borderId="23" xfId="0" applyFont="1" applyFill="1" applyBorder="1" applyProtection="1">
      <protection hidden="1"/>
    </xf>
    <xf numFmtId="0" fontId="5" fillId="26" borderId="24" xfId="0" applyFont="1" applyFill="1" applyBorder="1" applyProtection="1">
      <protection hidden="1"/>
    </xf>
    <xf numFmtId="0" fontId="3" fillId="0" borderId="14" xfId="0" applyFont="1" applyBorder="1" applyAlignment="1" applyProtection="1">
      <alignment horizontal="center" vertical="center" wrapText="1"/>
      <protection hidden="1"/>
    </xf>
    <xf numFmtId="0" fontId="3" fillId="24" borderId="24" xfId="0" applyFont="1" applyFill="1" applyBorder="1" applyAlignment="1" applyProtection="1">
      <alignment vertical="top"/>
    </xf>
    <xf numFmtId="0" fontId="3" fillId="26" borderId="22" xfId="0" applyFont="1" applyFill="1" applyBorder="1" applyAlignment="1" applyProtection="1">
      <alignment horizontal="center"/>
      <protection hidden="1"/>
    </xf>
    <xf numFmtId="0" fontId="5" fillId="24" borderId="17" xfId="878" applyFont="1" applyFill="1" applyBorder="1" applyAlignment="1">
      <alignment horizontal="left" vertical="top" wrapText="1"/>
    </xf>
    <xf numFmtId="0" fontId="5" fillId="24" borderId="18" xfId="878" applyFont="1" applyFill="1" applyBorder="1" applyAlignment="1">
      <alignment horizontal="left" vertical="top" wrapText="1"/>
    </xf>
    <xf numFmtId="0" fontId="40" fillId="24" borderId="18" xfId="0" applyFont="1" applyFill="1" applyBorder="1"/>
    <xf numFmtId="0" fontId="32" fillId="24" borderId="18" xfId="0" applyFont="1" applyFill="1" applyBorder="1"/>
    <xf numFmtId="0" fontId="5" fillId="24" borderId="21" xfId="878" applyFont="1" applyFill="1" applyBorder="1" applyAlignment="1">
      <alignment horizontal="left" vertical="top" wrapText="1"/>
    </xf>
    <xf numFmtId="0" fontId="58" fillId="24" borderId="14" xfId="0" applyFont="1" applyFill="1" applyBorder="1" applyAlignment="1">
      <alignment horizontal="center" vertical="center"/>
    </xf>
    <xf numFmtId="0" fontId="58" fillId="0" borderId="11" xfId="0" applyFont="1" applyBorder="1" applyAlignment="1">
      <alignment horizontal="center" vertical="center"/>
    </xf>
    <xf numFmtId="0" fontId="3" fillId="0" borderId="15" xfId="0" applyFont="1" applyBorder="1" applyAlignment="1" applyProtection="1">
      <alignment horizontal="center" vertical="top"/>
    </xf>
    <xf numFmtId="0" fontId="58" fillId="0" borderId="0" xfId="0" applyFont="1" applyBorder="1" applyAlignment="1">
      <alignment wrapText="1"/>
    </xf>
    <xf numFmtId="0" fontId="58" fillId="0" borderId="13" xfId="0" applyFont="1" applyBorder="1" applyAlignment="1">
      <alignment horizontal="center" vertical="center"/>
    </xf>
    <xf numFmtId="0" fontId="58" fillId="0" borderId="13" xfId="0" applyFont="1" applyBorder="1" applyAlignment="1">
      <alignment horizontal="center" vertical="top"/>
    </xf>
    <xf numFmtId="0" fontId="58" fillId="0" borderId="16" xfId="0" applyFont="1" applyBorder="1" applyAlignment="1">
      <alignment horizontal="center" vertical="top"/>
    </xf>
    <xf numFmtId="0" fontId="58" fillId="0" borderId="0" xfId="0" applyFont="1" applyBorder="1" applyAlignment="1">
      <alignment horizontal="center" vertical="top"/>
    </xf>
    <xf numFmtId="0" fontId="58" fillId="0" borderId="39" xfId="0" applyFont="1" applyBorder="1" applyAlignment="1">
      <alignment wrapText="1"/>
    </xf>
    <xf numFmtId="0" fontId="58" fillId="0" borderId="30" xfId="0" applyFont="1" applyBorder="1" applyAlignment="1">
      <alignment horizontal="center" vertical="top"/>
    </xf>
    <xf numFmtId="0" fontId="58" fillId="0" borderId="12" xfId="0" applyFont="1" applyBorder="1" applyAlignment="1">
      <alignment horizontal="center" vertical="top"/>
    </xf>
    <xf numFmtId="0" fontId="3" fillId="26" borderId="15" xfId="0" applyFont="1" applyFill="1" applyBorder="1" applyAlignment="1">
      <alignment horizontal="center"/>
    </xf>
    <xf numFmtId="0" fontId="58" fillId="0" borderId="16" xfId="0" applyFont="1" applyBorder="1" applyAlignment="1">
      <alignment horizontal="center" vertical="center"/>
    </xf>
    <xf numFmtId="0" fontId="58" fillId="0" borderId="22" xfId="0" applyFont="1" applyBorder="1" applyAlignment="1">
      <alignment horizontal="center" vertical="center"/>
    </xf>
    <xf numFmtId="0" fontId="58" fillId="0" borderId="22" xfId="0" applyFont="1" applyBorder="1" applyAlignment="1">
      <alignment horizontal="center" vertical="top"/>
    </xf>
    <xf numFmtId="0" fontId="58" fillId="0" borderId="23" xfId="0" applyFont="1" applyBorder="1" applyAlignment="1">
      <alignment horizontal="center" vertical="top"/>
    </xf>
    <xf numFmtId="0" fontId="58" fillId="0" borderId="24" xfId="0" applyFont="1" applyBorder="1" applyAlignment="1">
      <alignment horizontal="center" vertical="top"/>
    </xf>
    <xf numFmtId="0" fontId="3" fillId="0" borderId="21" xfId="878" applyFont="1" applyBorder="1" applyAlignment="1">
      <alignment horizontal="center" vertical="center" textRotation="90" wrapText="1"/>
    </xf>
    <xf numFmtId="0" fontId="3" fillId="0" borderId="23" xfId="878" applyFont="1" applyBorder="1" applyAlignment="1">
      <alignment horizontal="center" vertical="center" textRotation="90" wrapText="1"/>
    </xf>
    <xf numFmtId="0" fontId="29" fillId="0" borderId="10" xfId="878" applyFont="1" applyBorder="1" applyAlignment="1">
      <alignment horizontal="left" vertical="top" wrapText="1"/>
    </xf>
    <xf numFmtId="0" fontId="29" fillId="0" borderId="10" xfId="878" applyFont="1" applyBorder="1" applyAlignment="1">
      <alignment horizontal="center" vertical="center" wrapText="1"/>
    </xf>
    <xf numFmtId="0" fontId="3" fillId="0" borderId="0" xfId="878" applyFont="1" applyBorder="1" applyAlignment="1">
      <alignment horizontal="center" vertical="center" textRotation="90" wrapText="1"/>
    </xf>
    <xf numFmtId="0" fontId="3" fillId="0" borderId="10" xfId="878" applyFont="1" applyBorder="1" applyAlignment="1">
      <alignment horizontal="center" vertical="top" wrapText="1"/>
    </xf>
    <xf numFmtId="0" fontId="3" fillId="0" borderId="14" xfId="878" applyFont="1" applyBorder="1" applyAlignment="1">
      <alignment horizontal="center" vertical="top" wrapText="1"/>
    </xf>
    <xf numFmtId="0" fontId="3" fillId="0" borderId="16" xfId="878" applyFont="1" applyBorder="1" applyAlignment="1">
      <alignment horizontal="center" vertical="top" wrapText="1"/>
    </xf>
    <xf numFmtId="0" fontId="3" fillId="0" borderId="20" xfId="878" applyFont="1" applyBorder="1" applyAlignment="1">
      <alignment horizontal="left" vertical="top" wrapText="1"/>
    </xf>
    <xf numFmtId="0" fontId="0" fillId="0" borderId="41" xfId="0" applyBorder="1"/>
    <xf numFmtId="0" fontId="0" fillId="0" borderId="30" xfId="0" applyBorder="1"/>
    <xf numFmtId="0" fontId="0" fillId="0" borderId="40" xfId="0" applyBorder="1"/>
    <xf numFmtId="0" fontId="0" fillId="0" borderId="39" xfId="0" applyBorder="1"/>
    <xf numFmtId="0" fontId="0" fillId="0" borderId="38" xfId="0" applyBorder="1"/>
    <xf numFmtId="0" fontId="0" fillId="0" borderId="37" xfId="0" applyBorder="1"/>
    <xf numFmtId="0" fontId="0" fillId="0" borderId="36" xfId="0" applyBorder="1"/>
    <xf numFmtId="0" fontId="0" fillId="0" borderId="35" xfId="0" applyBorder="1"/>
    <xf numFmtId="0" fontId="29" fillId="0" borderId="11" xfId="0" applyFont="1" applyBorder="1" applyAlignment="1" applyProtection="1">
      <alignment horizontal="center" vertical="center"/>
      <protection hidden="1"/>
    </xf>
    <xf numFmtId="0" fontId="3" fillId="0" borderId="42" xfId="0" applyFont="1" applyFill="1" applyBorder="1" applyAlignment="1">
      <alignment horizontal="center" vertical="top"/>
    </xf>
    <xf numFmtId="0" fontId="5" fillId="0" borderId="0" xfId="0" applyFont="1" applyFill="1" applyBorder="1" applyAlignment="1">
      <alignment vertical="top"/>
    </xf>
    <xf numFmtId="0" fontId="5" fillId="25" borderId="22" xfId="0" applyNumberFormat="1" applyFont="1" applyFill="1" applyBorder="1" applyAlignment="1" applyProtection="1">
      <alignment horizontal="left" vertical="center" wrapText="1"/>
      <protection locked="0"/>
    </xf>
    <xf numFmtId="165" fontId="27" fillId="0" borderId="16" xfId="0" applyNumberFormat="1" applyFont="1" applyFill="1" applyBorder="1" applyAlignment="1" applyProtection="1">
      <alignment horizontal="center"/>
      <protection hidden="1"/>
    </xf>
    <xf numFmtId="0" fontId="27" fillId="0" borderId="21" xfId="0" applyFont="1" applyFill="1" applyBorder="1" applyAlignment="1" applyProtection="1">
      <alignment horizontal="center"/>
    </xf>
    <xf numFmtId="0" fontId="3" fillId="26" borderId="18" xfId="0" applyFont="1" applyFill="1" applyBorder="1" applyProtection="1"/>
    <xf numFmtId="0" fontId="3" fillId="26" borderId="15" xfId="0" applyFont="1" applyFill="1" applyBorder="1" applyProtection="1"/>
    <xf numFmtId="0" fontId="60" fillId="0" borderId="10" xfId="0" applyFont="1" applyBorder="1" applyAlignment="1">
      <alignment horizontal="center" vertical="center" wrapText="1"/>
    </xf>
    <xf numFmtId="0" fontId="61" fillId="0" borderId="10" xfId="0" applyFont="1" applyBorder="1" applyAlignment="1">
      <alignment horizontal="center" vertical="center" wrapText="1"/>
    </xf>
    <xf numFmtId="0" fontId="3" fillId="0" borderId="14" xfId="0" applyFont="1" applyBorder="1" applyProtection="1"/>
    <xf numFmtId="0" fontId="3" fillId="0" borderId="19" xfId="0" applyFont="1" applyBorder="1" applyProtection="1"/>
    <xf numFmtId="0" fontId="3" fillId="0" borderId="16" xfId="0" applyFont="1" applyBorder="1" applyAlignment="1" applyProtection="1">
      <alignment horizontal="center" vertical="center" textRotation="90"/>
    </xf>
    <xf numFmtId="0" fontId="3" fillId="24" borderId="17" xfId="0" applyFont="1" applyFill="1" applyBorder="1" applyAlignment="1" applyProtection="1">
      <alignment vertical="center" textRotation="90"/>
    </xf>
    <xf numFmtId="0" fontId="27" fillId="0" borderId="11" xfId="0" applyFont="1" applyBorder="1" applyAlignment="1" applyProtection="1">
      <alignment horizontal="center" vertical="center"/>
    </xf>
    <xf numFmtId="0" fontId="29" fillId="0" borderId="19" xfId="0" applyFont="1" applyBorder="1" applyAlignment="1" applyProtection="1">
      <alignment horizontal="center" vertical="center"/>
    </xf>
    <xf numFmtId="0" fontId="27" fillId="0" borderId="19" xfId="0" applyFont="1" applyBorder="1" applyAlignment="1" applyProtection="1">
      <alignment horizontal="center" vertical="center"/>
    </xf>
    <xf numFmtId="165" fontId="29" fillId="0" borderId="21" xfId="0" applyNumberFormat="1" applyFont="1" applyBorder="1" applyAlignment="1" applyProtection="1">
      <alignment horizontal="center" vertical="top"/>
    </xf>
    <xf numFmtId="0" fontId="27" fillId="0" borderId="22"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1" fontId="62" fillId="28" borderId="23" xfId="0" applyNumberFormat="1" applyFont="1" applyFill="1" applyBorder="1" applyAlignment="1" applyProtection="1">
      <alignment horizontal="right"/>
    </xf>
    <xf numFmtId="0" fontId="62" fillId="28" borderId="23" xfId="0" applyNumberFormat="1" applyFont="1" applyFill="1" applyBorder="1" applyAlignment="1" applyProtection="1">
      <alignment horizontal="right"/>
    </xf>
    <xf numFmtId="2" fontId="5" fillId="25" borderId="11" xfId="0" applyNumberFormat="1" applyFont="1" applyFill="1" applyBorder="1" applyAlignment="1" applyProtection="1">
      <alignment horizontal="right" vertical="center" wrapText="1"/>
      <protection locked="0"/>
    </xf>
    <xf numFmtId="0" fontId="3" fillId="24" borderId="14" xfId="0" applyFont="1" applyFill="1" applyBorder="1" applyAlignment="1" applyProtection="1">
      <alignment horizontal="center" vertical="center" wrapText="1"/>
      <protection hidden="1"/>
    </xf>
    <xf numFmtId="0" fontId="3" fillId="24" borderId="10" xfId="0" applyNumberFormat="1" applyFont="1" applyFill="1" applyBorder="1" applyAlignment="1" applyProtection="1">
      <alignment horizontal="center" vertical="center" wrapText="1"/>
      <protection hidden="1"/>
    </xf>
    <xf numFmtId="49" fontId="5" fillId="28" borderId="0" xfId="878" applyNumberFormat="1" applyFont="1" applyFill="1" applyBorder="1" applyAlignment="1" applyProtection="1">
      <alignment horizontal="left" vertical="top" wrapText="1"/>
    </xf>
    <xf numFmtId="49" fontId="5" fillId="28" borderId="17" xfId="878" applyNumberFormat="1" applyFont="1" applyFill="1" applyBorder="1" applyAlignment="1" applyProtection="1">
      <alignment horizontal="left" vertical="top" wrapText="1"/>
    </xf>
    <xf numFmtId="49" fontId="5" fillId="28" borderId="18" xfId="878" applyNumberFormat="1" applyFont="1" applyFill="1" applyBorder="1" applyAlignment="1" applyProtection="1">
      <alignment horizontal="left" vertical="top" wrapText="1"/>
    </xf>
    <xf numFmtId="49" fontId="5" fillId="28" borderId="22" xfId="878" applyNumberFormat="1" applyFont="1" applyFill="1" applyBorder="1" applyAlignment="1" applyProtection="1">
      <alignment horizontal="left" vertical="top" wrapText="1"/>
    </xf>
    <xf numFmtId="49" fontId="5" fillId="28" borderId="21" xfId="878" applyNumberFormat="1" applyFont="1" applyFill="1" applyBorder="1" applyAlignment="1" applyProtection="1">
      <alignment horizontal="left" vertical="top" wrapText="1"/>
    </xf>
    <xf numFmtId="49" fontId="5" fillId="28" borderId="23" xfId="878" applyNumberFormat="1" applyFont="1" applyFill="1" applyBorder="1" applyAlignment="1" applyProtection="1">
      <alignment horizontal="left" vertical="top" wrapText="1"/>
    </xf>
    <xf numFmtId="49" fontId="5" fillId="28" borderId="20" xfId="878" applyNumberFormat="1" applyFont="1" applyFill="1" applyBorder="1" applyAlignment="1" applyProtection="1">
      <alignment horizontal="left" vertical="top" wrapText="1"/>
    </xf>
    <xf numFmtId="49" fontId="5" fillId="28" borderId="15" xfId="878" applyNumberFormat="1" applyFont="1" applyFill="1" applyBorder="1" applyAlignment="1" applyProtection="1">
      <alignment horizontal="left" vertical="top" wrapText="1"/>
    </xf>
    <xf numFmtId="49" fontId="5" fillId="28" borderId="24" xfId="878" applyNumberFormat="1" applyFont="1" applyFill="1" applyBorder="1" applyAlignment="1" applyProtection="1">
      <alignment horizontal="left" vertical="top" wrapText="1"/>
    </xf>
    <xf numFmtId="0" fontId="3" fillId="0" borderId="14" xfId="878" applyFont="1" applyBorder="1" applyAlignment="1">
      <alignment horizontal="center" vertical="center" wrapText="1"/>
    </xf>
    <xf numFmtId="0" fontId="3" fillId="0" borderId="19" xfId="878" applyFont="1" applyBorder="1" applyAlignment="1">
      <alignment horizontal="center" vertical="center" wrapText="1"/>
    </xf>
    <xf numFmtId="0" fontId="0" fillId="0" borderId="21" xfId="0" applyBorder="1"/>
    <xf numFmtId="0" fontId="0" fillId="0" borderId="17" xfId="0" applyBorder="1"/>
    <xf numFmtId="0" fontId="27" fillId="0" borderId="0" xfId="0" applyFont="1" applyBorder="1" applyAlignment="1">
      <alignment horizontal="center"/>
    </xf>
    <xf numFmtId="0" fontId="28" fillId="0" borderId="0" xfId="0" applyFont="1" applyBorder="1" applyAlignment="1">
      <alignment horizontal="left"/>
    </xf>
    <xf numFmtId="0" fontId="3" fillId="0" borderId="13" xfId="0" applyFont="1" applyBorder="1" applyAlignment="1" applyProtection="1">
      <alignment horizontal="center" vertical="top" wrapText="1"/>
    </xf>
    <xf numFmtId="0" fontId="3" fillId="0" borderId="11" xfId="0" applyFont="1" applyBorder="1" applyAlignment="1" applyProtection="1">
      <alignment horizontal="center" vertical="center" wrapText="1"/>
    </xf>
    <xf numFmtId="0" fontId="3" fillId="0" borderId="24" xfId="0" applyFont="1" applyBorder="1" applyAlignment="1" applyProtection="1">
      <alignment horizontal="center" vertical="top" wrapText="1"/>
    </xf>
    <xf numFmtId="0" fontId="3" fillId="0" borderId="11" xfId="0" applyFont="1" applyBorder="1" applyAlignment="1" applyProtection="1">
      <alignment horizontal="center" vertical="top"/>
    </xf>
    <xf numFmtId="0" fontId="3" fillId="24" borderId="10"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lignment horizontal="center" vertical="center" wrapText="1"/>
    </xf>
    <xf numFmtId="0" fontId="3" fillId="26" borderId="21" xfId="0" applyFont="1" applyFill="1" applyBorder="1" applyAlignment="1">
      <alignment horizontal="center" wrapText="1"/>
    </xf>
    <xf numFmtId="0" fontId="3" fillId="26" borderId="23" xfId="0" applyFont="1" applyFill="1" applyBorder="1" applyAlignment="1">
      <alignment horizontal="center" wrapText="1"/>
    </xf>
    <xf numFmtId="0" fontId="3" fillId="0" borderId="24" xfId="0" applyFont="1" applyBorder="1" applyAlignment="1">
      <alignment horizontal="center" vertical="center" wrapText="1"/>
    </xf>
    <xf numFmtId="49" fontId="5" fillId="25" borderId="10" xfId="0" quotePrefix="1" applyNumberFormat="1" applyFont="1" applyFill="1" applyBorder="1" applyAlignment="1" applyProtection="1">
      <alignment horizontal="left" vertical="center" wrapText="1"/>
      <protection locked="0"/>
    </xf>
    <xf numFmtId="0" fontId="3" fillId="0" borderId="22" xfId="0" applyFont="1" applyBorder="1" applyAlignment="1">
      <alignment horizontal="center" vertical="center" wrapText="1"/>
    </xf>
    <xf numFmtId="0" fontId="3" fillId="26" borderId="21" xfId="0" applyFont="1" applyFill="1" applyBorder="1" applyAlignment="1">
      <alignment vertical="top" wrapText="1"/>
    </xf>
    <xf numFmtId="0" fontId="29" fillId="0" borderId="10" xfId="0" applyFont="1" applyBorder="1" applyAlignment="1"/>
    <xf numFmtId="0" fontId="29" fillId="24" borderId="10" xfId="0" applyFont="1" applyFill="1" applyBorder="1" applyAlignment="1">
      <alignment horizontal="center"/>
    </xf>
    <xf numFmtId="0" fontId="29" fillId="0" borderId="13" xfId="0" applyFont="1" applyBorder="1" applyAlignment="1">
      <alignment horizontal="center"/>
    </xf>
    <xf numFmtId="0" fontId="29" fillId="24" borderId="16" xfId="0" applyFont="1" applyFill="1" applyBorder="1" applyAlignment="1">
      <alignment horizontal="center" vertical="center"/>
    </xf>
    <xf numFmtId="0" fontId="29" fillId="24" borderId="12" xfId="0" applyFont="1" applyFill="1" applyBorder="1" applyAlignment="1">
      <alignment horizontal="center"/>
    </xf>
    <xf numFmtId="0" fontId="29" fillId="24" borderId="13" xfId="0" applyFont="1" applyFill="1" applyBorder="1" applyAlignment="1">
      <alignment horizontal="center"/>
    </xf>
    <xf numFmtId="0" fontId="29" fillId="0" borderId="11" xfId="0" applyFont="1" applyBorder="1" applyAlignment="1">
      <alignment horizontal="center" vertical="center"/>
    </xf>
    <xf numFmtId="1" fontId="5" fillId="25" borderId="13" xfId="0" applyNumberFormat="1" applyFont="1" applyFill="1" applyBorder="1" applyAlignment="1" applyProtection="1">
      <alignment horizontal="left" vertical="center"/>
      <protection locked="0"/>
    </xf>
    <xf numFmtId="0" fontId="3" fillId="26" borderId="23" xfId="0" applyFont="1" applyFill="1" applyBorder="1"/>
    <xf numFmtId="0" fontId="3" fillId="26" borderId="24" xfId="0" applyFont="1" applyFill="1" applyBorder="1"/>
    <xf numFmtId="0" fontId="3" fillId="26" borderId="22" xfId="0" applyFont="1" applyFill="1" applyBorder="1"/>
    <xf numFmtId="0" fontId="5" fillId="0" borderId="10" xfId="0" applyFont="1" applyBorder="1" applyAlignment="1">
      <alignment horizontal="left" vertical="center"/>
    </xf>
    <xf numFmtId="1" fontId="5" fillId="0" borderId="0" xfId="0" applyNumberFormat="1" applyFont="1" applyBorder="1" applyProtection="1">
      <protection hidden="1"/>
    </xf>
    <xf numFmtId="0" fontId="29" fillId="0" borderId="12" xfId="0" applyFont="1" applyBorder="1" applyAlignment="1">
      <alignment horizontal="left" vertical="center"/>
    </xf>
    <xf numFmtId="0" fontId="27" fillId="0" borderId="13" xfId="0" applyFont="1" applyFill="1" applyBorder="1" applyAlignment="1" applyProtection="1">
      <alignment horizontal="center" vertical="top"/>
    </xf>
    <xf numFmtId="0" fontId="32" fillId="29" borderId="10" xfId="0" applyFont="1" applyFill="1" applyBorder="1"/>
    <xf numFmtId="1" fontId="26" fillId="27" borderId="10" xfId="0" applyNumberFormat="1" applyFont="1" applyFill="1" applyBorder="1" applyAlignment="1">
      <alignment horizontal="center" vertical="center" wrapText="1"/>
    </xf>
    <xf numFmtId="0" fontId="32" fillId="0" borderId="0" xfId="0" applyFont="1" applyAlignment="1">
      <alignment horizontal="left" vertical="center"/>
    </xf>
    <xf numFmtId="0" fontId="3" fillId="0" borderId="12" xfId="0" applyFont="1" applyBorder="1" applyAlignment="1">
      <alignment horizontal="center" wrapText="1"/>
    </xf>
    <xf numFmtId="0" fontId="3" fillId="0" borderId="13" xfId="0" applyFont="1" applyBorder="1" applyAlignment="1">
      <alignment horizontal="center" wrapText="1"/>
    </xf>
    <xf numFmtId="0" fontId="57" fillId="0" borderId="10" xfId="0" applyFont="1" applyBorder="1" applyProtection="1">
      <protection locked="0"/>
    </xf>
    <xf numFmtId="1" fontId="3" fillId="24" borderId="22" xfId="0" applyNumberFormat="1" applyFont="1" applyFill="1" applyBorder="1" applyAlignment="1">
      <alignment horizontal="center" vertical="top" wrapText="1"/>
    </xf>
    <xf numFmtId="1" fontId="3" fillId="24" borderId="0" xfId="0" applyNumberFormat="1" applyFont="1" applyFill="1" applyBorder="1" applyAlignment="1">
      <alignment horizontal="center" vertical="top" wrapText="1"/>
    </xf>
    <xf numFmtId="1" fontId="27" fillId="24" borderId="0" xfId="0" applyNumberFormat="1" applyFont="1" applyFill="1" applyBorder="1" applyAlignment="1">
      <alignment horizontal="center" vertical="top" wrapText="1"/>
    </xf>
    <xf numFmtId="1" fontId="27" fillId="24" borderId="23" xfId="0" applyNumberFormat="1" applyFont="1" applyFill="1" applyBorder="1" applyAlignment="1">
      <alignment horizontal="center" vertical="top" wrapText="1"/>
    </xf>
    <xf numFmtId="1" fontId="27" fillId="24" borderId="24" xfId="0" applyNumberFormat="1" applyFont="1" applyFill="1" applyBorder="1" applyAlignment="1">
      <alignment horizontal="center" vertical="top" wrapText="1"/>
    </xf>
    <xf numFmtId="1" fontId="27" fillId="24" borderId="11" xfId="0" applyNumberFormat="1" applyFont="1" applyFill="1" applyBorder="1" applyAlignment="1">
      <alignment horizontal="center" vertical="top" wrapText="1"/>
    </xf>
    <xf numFmtId="1" fontId="27" fillId="24" borderId="22" xfId="0" applyNumberFormat="1" applyFont="1" applyFill="1" applyBorder="1" applyAlignment="1">
      <alignment horizontal="center" vertical="top" wrapText="1"/>
    </xf>
    <xf numFmtId="0" fontId="3" fillId="0" borderId="16" xfId="0" applyFont="1" applyBorder="1" applyAlignment="1">
      <alignment horizontal="center" wrapText="1"/>
    </xf>
    <xf numFmtId="0" fontId="7" fillId="0" borderId="14" xfId="878" applyFont="1" applyBorder="1" applyAlignment="1">
      <alignment horizontal="left" vertical="center" wrapText="1"/>
    </xf>
    <xf numFmtId="0" fontId="7" fillId="0" borderId="11" xfId="878" applyFont="1" applyBorder="1" applyAlignment="1">
      <alignment horizontal="left" vertical="center" wrapText="1"/>
    </xf>
    <xf numFmtId="0" fontId="3" fillId="24" borderId="21" xfId="878" applyFont="1" applyFill="1" applyBorder="1" applyAlignment="1">
      <alignment horizontal="center" vertical="center" wrapText="1"/>
    </xf>
    <xf numFmtId="0" fontId="3" fillId="24" borderId="0" xfId="878" applyFont="1" applyFill="1" applyBorder="1" applyAlignment="1">
      <alignment horizontal="center" vertical="center" wrapText="1"/>
    </xf>
    <xf numFmtId="1" fontId="57" fillId="25" borderId="10" xfId="0" applyNumberFormat="1" applyFont="1" applyFill="1" applyBorder="1" applyAlignment="1" applyProtection="1">
      <alignment horizontal="right" vertical="center"/>
      <protection locked="0"/>
    </xf>
    <xf numFmtId="0" fontId="3" fillId="0" borderId="11" xfId="0" applyFont="1" applyBorder="1" applyAlignment="1">
      <alignment horizontal="left" vertical="center" wrapText="1"/>
    </xf>
    <xf numFmtId="49" fontId="5" fillId="25" borderId="14" xfId="0" applyNumberFormat="1" applyFont="1" applyFill="1" applyBorder="1" applyAlignment="1" applyProtection="1">
      <alignment horizontal="left" vertical="center" wrapText="1"/>
      <protection locked="0"/>
    </xf>
    <xf numFmtId="0" fontId="3"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58"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4" xfId="0" applyFont="1" applyBorder="1" applyAlignment="1">
      <alignment horizontal="center" vertical="center" wrapText="1"/>
    </xf>
    <xf numFmtId="0" fontId="3" fillId="0" borderId="16" xfId="0" applyFont="1" applyBorder="1" applyAlignment="1" applyProtection="1">
      <alignment horizontal="center" vertical="center"/>
    </xf>
    <xf numFmtId="49" fontId="5" fillId="25" borderId="16" xfId="878" applyNumberFormat="1" applyFont="1" applyFill="1" applyBorder="1" applyAlignment="1" applyProtection="1">
      <alignment horizontal="left" vertical="center" wrapText="1"/>
      <protection locked="0"/>
    </xf>
    <xf numFmtId="49" fontId="5" fillId="25" borderId="12" xfId="878" applyNumberFormat="1" applyFont="1" applyFill="1" applyBorder="1" applyAlignment="1" applyProtection="1">
      <alignment horizontal="left" vertical="center" wrapText="1"/>
      <protection locked="0"/>
    </xf>
    <xf numFmtId="0" fontId="3" fillId="0" borderId="0" xfId="878" applyFont="1" applyBorder="1" applyAlignment="1" applyProtection="1">
      <alignment horizontal="left" vertical="center" wrapText="1"/>
    </xf>
    <xf numFmtId="0" fontId="5" fillId="25" borderId="10" xfId="895" applyFont="1" applyFill="1" applyBorder="1" applyAlignment="1" applyProtection="1">
      <alignment horizontal="left" vertical="center"/>
      <protection locked="0"/>
    </xf>
    <xf numFmtId="49" fontId="5" fillId="25" borderId="11" xfId="895" applyNumberFormat="1" applyFont="1" applyFill="1" applyBorder="1" applyAlignment="1" applyProtection="1">
      <alignment horizontal="left" vertical="center" wrapText="1"/>
      <protection locked="0"/>
    </xf>
    <xf numFmtId="0" fontId="3" fillId="24" borderId="10" xfId="895" applyFont="1" applyFill="1" applyBorder="1" applyAlignment="1" applyProtection="1">
      <alignment horizontal="center" vertical="center"/>
    </xf>
    <xf numFmtId="0" fontId="3" fillId="0" borderId="10" xfId="895" applyFont="1" applyFill="1" applyBorder="1" applyAlignment="1" applyProtection="1">
      <alignment horizontal="center" vertical="center"/>
    </xf>
    <xf numFmtId="0" fontId="32" fillId="0" borderId="18" xfId="0" applyFont="1" applyBorder="1" applyAlignment="1">
      <alignment horizontal="center" vertical="center" wrapText="1"/>
    </xf>
    <xf numFmtId="0" fontId="32" fillId="0" borderId="22" xfId="0" applyFont="1" applyBorder="1" applyAlignment="1">
      <alignment horizontal="center" vertical="center" wrapText="1"/>
    </xf>
    <xf numFmtId="0" fontId="3" fillId="24" borderId="17" xfId="878" applyFont="1" applyFill="1" applyBorder="1" applyAlignment="1">
      <alignment horizontal="center" vertical="top" wrapText="1"/>
    </xf>
    <xf numFmtId="0" fontId="32" fillId="24" borderId="18" xfId="0" applyFont="1" applyFill="1" applyBorder="1" applyAlignment="1">
      <alignment horizontal="center" vertical="top" wrapText="1"/>
    </xf>
    <xf numFmtId="0" fontId="32" fillId="0" borderId="0" xfId="0" applyFont="1" applyBorder="1" applyAlignment="1">
      <alignment horizontal="center" vertical="center" wrapText="1"/>
    </xf>
    <xf numFmtId="0" fontId="32" fillId="0" borderId="23" xfId="0" applyFont="1" applyBorder="1" applyAlignment="1">
      <alignment horizontal="center" vertical="center" wrapText="1"/>
    </xf>
    <xf numFmtId="0" fontId="3" fillId="24" borderId="21" xfId="878" applyFont="1" applyFill="1" applyBorder="1" applyAlignment="1">
      <alignment horizontal="center" vertical="top" wrapText="1"/>
    </xf>
    <xf numFmtId="0" fontId="32" fillId="24" borderId="0" xfId="0" applyFont="1" applyFill="1" applyBorder="1" applyAlignment="1">
      <alignment horizontal="center" vertical="top" wrapText="1"/>
    </xf>
    <xf numFmtId="0" fontId="32" fillId="0" borderId="15" xfId="0" applyFont="1" applyBorder="1" applyAlignment="1">
      <alignment horizontal="center" vertical="center" wrapText="1"/>
    </xf>
    <xf numFmtId="0" fontId="32" fillId="0" borderId="24" xfId="0" applyFont="1" applyBorder="1" applyAlignment="1">
      <alignment horizontal="center" vertical="center" wrapText="1"/>
    </xf>
    <xf numFmtId="0" fontId="32" fillId="24" borderId="20" xfId="0" applyFont="1" applyFill="1" applyBorder="1" applyAlignment="1">
      <alignment horizontal="center" vertical="top" wrapText="1"/>
    </xf>
    <xf numFmtId="0" fontId="32" fillId="24" borderId="15" xfId="0" applyFont="1" applyFill="1" applyBorder="1" applyAlignment="1">
      <alignment horizontal="center" vertical="top" wrapText="1"/>
    </xf>
    <xf numFmtId="0" fontId="7" fillId="0" borderId="10" xfId="878" applyFont="1" applyBorder="1" applyAlignment="1">
      <alignment horizontal="left" vertical="center" wrapText="1"/>
    </xf>
    <xf numFmtId="0" fontId="3" fillId="0" borderId="10" xfId="878" applyFont="1" applyBorder="1" applyAlignment="1">
      <alignment horizontal="center" vertical="center" wrapText="1"/>
    </xf>
    <xf numFmtId="0" fontId="3" fillId="0" borderId="11" xfId="878" applyFont="1" applyBorder="1" applyAlignment="1">
      <alignment horizontal="center" vertical="center" wrapText="1"/>
    </xf>
    <xf numFmtId="0" fontId="5" fillId="25" borderId="14" xfId="0" applyFont="1" applyFill="1" applyBorder="1" applyAlignment="1" applyProtection="1">
      <alignment horizontal="left" vertical="center" wrapText="1"/>
      <protection locked="0"/>
    </xf>
    <xf numFmtId="0" fontId="27" fillId="0" borderId="19" xfId="0" applyFont="1" applyBorder="1" applyAlignment="1">
      <alignment horizontal="center" vertical="center" wrapText="1"/>
    </xf>
    <xf numFmtId="1" fontId="5" fillId="25" borderId="14" xfId="0" applyNumberFormat="1" applyFont="1" applyFill="1" applyBorder="1" applyAlignment="1" applyProtection="1">
      <alignment horizontal="right" vertical="center" wrapText="1"/>
      <protection locked="0"/>
    </xf>
    <xf numFmtId="1" fontId="5" fillId="25" borderId="16" xfId="0" applyNumberFormat="1" applyFont="1" applyFill="1" applyBorder="1" applyAlignment="1" applyProtection="1">
      <alignment horizontal="right" vertical="center" wrapText="1"/>
      <protection locked="0"/>
    </xf>
    <xf numFmtId="1" fontId="28" fillId="24" borderId="13" xfId="0" applyNumberFormat="1" applyFont="1" applyFill="1" applyBorder="1" applyAlignment="1" applyProtection="1">
      <alignment horizontal="right" vertical="center" wrapText="1"/>
      <protection hidden="1"/>
    </xf>
    <xf numFmtId="0" fontId="3" fillId="24" borderId="12" xfId="0" applyFont="1" applyFill="1" applyBorder="1" applyAlignment="1">
      <alignment horizontal="center" vertical="center" wrapText="1"/>
    </xf>
    <xf numFmtId="0" fontId="27" fillId="0" borderId="18" xfId="0" applyFont="1" applyBorder="1" applyAlignment="1">
      <alignment horizontal="center" vertical="center" wrapText="1"/>
    </xf>
    <xf numFmtId="0" fontId="5" fillId="0" borderId="10" xfId="0" applyFont="1" applyBorder="1" applyAlignment="1">
      <alignment horizontal="right" vertical="center" wrapText="1"/>
    </xf>
    <xf numFmtId="1" fontId="28" fillId="0" borderId="10" xfId="0" applyNumberFormat="1" applyFont="1" applyBorder="1" applyAlignment="1" applyProtection="1">
      <alignment horizontal="right" vertical="center" wrapText="1"/>
      <protection hidden="1"/>
    </xf>
    <xf numFmtId="0" fontId="3" fillId="0" borderId="10" xfId="0" applyFont="1" applyFill="1" applyBorder="1" applyAlignment="1">
      <alignment horizontal="center" vertical="center" wrapText="1"/>
    </xf>
    <xf numFmtId="0" fontId="27" fillId="0" borderId="22" xfId="0" applyFont="1" applyBorder="1" applyAlignment="1">
      <alignment horizontal="center" vertical="center" wrapText="1"/>
    </xf>
    <xf numFmtId="1" fontId="28" fillId="24" borderId="16" xfId="0" applyNumberFormat="1" applyFont="1" applyFill="1" applyBorder="1" applyAlignment="1" applyProtection="1">
      <alignment horizontal="right" vertical="center" wrapText="1"/>
      <protection hidden="1"/>
    </xf>
    <xf numFmtId="0" fontId="27" fillId="0" borderId="24" xfId="0" applyFont="1" applyBorder="1" applyAlignment="1">
      <alignment horizontal="center" vertical="center" wrapText="1"/>
    </xf>
    <xf numFmtId="0" fontId="27" fillId="24" borderId="10"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3" fillId="24" borderId="13" xfId="0" applyFont="1" applyFill="1" applyBorder="1" applyAlignment="1">
      <alignment horizontal="left" vertical="center"/>
    </xf>
    <xf numFmtId="0" fontId="3" fillId="24" borderId="10" xfId="0" applyFont="1" applyFill="1" applyBorder="1" applyAlignment="1">
      <alignment horizontal="left" vertical="center"/>
    </xf>
    <xf numFmtId="0" fontId="3" fillId="0" borderId="15" xfId="0" applyFont="1" applyBorder="1" applyAlignment="1">
      <alignment horizontal="center" vertical="center"/>
    </xf>
    <xf numFmtId="1" fontId="5" fillId="25" borderId="20" xfId="0" applyNumberFormat="1" applyFont="1" applyFill="1" applyBorder="1" applyAlignment="1" applyProtection="1">
      <alignment horizontal="right" vertical="center"/>
      <protection locked="0"/>
    </xf>
    <xf numFmtId="1" fontId="5" fillId="25" borderId="14" xfId="0" applyNumberFormat="1" applyFont="1" applyFill="1" applyBorder="1" applyAlignment="1" applyProtection="1">
      <alignment horizontal="right" vertical="center"/>
      <protection locked="0"/>
    </xf>
    <xf numFmtId="1" fontId="28" fillId="24" borderId="10" xfId="0" applyNumberFormat="1" applyFont="1" applyFill="1" applyBorder="1" applyAlignment="1" applyProtection="1">
      <alignment horizontal="right" vertical="center"/>
      <protection hidden="1"/>
    </xf>
    <xf numFmtId="1" fontId="28" fillId="24" borderId="17" xfId="0" applyNumberFormat="1" applyFont="1" applyFill="1" applyBorder="1" applyAlignment="1" applyProtection="1">
      <alignment horizontal="right" vertical="center"/>
      <protection hidden="1"/>
    </xf>
    <xf numFmtId="0" fontId="27" fillId="0" borderId="16" xfId="0" applyFont="1" applyBorder="1" applyAlignment="1">
      <alignment horizontal="left" vertical="center"/>
    </xf>
    <xf numFmtId="0" fontId="27" fillId="0" borderId="24" xfId="0" applyFont="1" applyBorder="1" applyAlignment="1">
      <alignment horizontal="center" vertical="center"/>
    </xf>
    <xf numFmtId="1" fontId="28" fillId="24" borderId="13" xfId="0" applyNumberFormat="1" applyFont="1" applyFill="1" applyBorder="1" applyAlignment="1" applyProtection="1">
      <alignment horizontal="right" vertical="center"/>
      <protection hidden="1"/>
    </xf>
    <xf numFmtId="1" fontId="28" fillId="24" borderId="16" xfId="0" applyNumberFormat="1" applyFont="1" applyFill="1" applyBorder="1" applyAlignment="1" applyProtection="1">
      <alignment horizontal="right" vertical="center"/>
      <protection hidden="1"/>
    </xf>
    <xf numFmtId="1" fontId="5" fillId="25" borderId="14" xfId="0" applyNumberFormat="1" applyFont="1" applyFill="1" applyBorder="1" applyAlignment="1" applyProtection="1">
      <alignment horizontal="left" vertical="center"/>
      <protection locked="0"/>
    </xf>
    <xf numFmtId="0" fontId="27" fillId="0" borderId="10" xfId="0" applyFont="1" applyBorder="1" applyAlignment="1">
      <alignment horizontal="right" vertical="center"/>
    </xf>
    <xf numFmtId="0" fontId="3" fillId="26" borderId="22" xfId="0" applyFont="1" applyFill="1" applyBorder="1" applyAlignment="1">
      <alignment horizontal="right" vertical="center"/>
    </xf>
    <xf numFmtId="1" fontId="5" fillId="25" borderId="19" xfId="0" applyNumberFormat="1" applyFont="1" applyFill="1" applyBorder="1" applyAlignment="1" applyProtection="1">
      <alignment horizontal="right" vertical="center"/>
      <protection locked="0"/>
    </xf>
    <xf numFmtId="1" fontId="5" fillId="25" borderId="11" xfId="0" applyNumberFormat="1" applyFont="1" applyFill="1" applyBorder="1" applyAlignment="1" applyProtection="1">
      <alignment horizontal="right" vertical="center"/>
      <protection locked="0"/>
    </xf>
    <xf numFmtId="0" fontId="3" fillId="0" borderId="13" xfId="0" applyFont="1" applyBorder="1" applyAlignment="1" applyProtection="1">
      <alignment horizontal="center" vertical="center" wrapText="1"/>
    </xf>
    <xf numFmtId="0" fontId="7" fillId="0" borderId="17" xfId="0" applyFont="1" applyBorder="1" applyAlignment="1">
      <alignment horizontal="center" vertical="center" wrapText="1"/>
    </xf>
    <xf numFmtId="0" fontId="5" fillId="25" borderId="10" xfId="0" applyFont="1" applyFill="1" applyBorder="1" applyAlignment="1" applyProtection="1">
      <alignment horizontal="center" vertical="center" wrapText="1"/>
      <protection locked="0"/>
    </xf>
    <xf numFmtId="1" fontId="27" fillId="24" borderId="10" xfId="0" applyNumberFormat="1" applyFont="1" applyFill="1" applyBorder="1" applyAlignment="1" applyProtection="1">
      <alignment horizontal="right" vertical="center" wrapText="1"/>
    </xf>
    <xf numFmtId="0" fontId="3"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1" fontId="5" fillId="25" borderId="13" xfId="0" applyNumberFormat="1" applyFont="1" applyFill="1" applyBorder="1" applyAlignment="1" applyProtection="1">
      <alignment horizontal="right" vertical="center" wrapText="1"/>
      <protection locked="0"/>
    </xf>
    <xf numFmtId="0" fontId="27" fillId="0" borderId="22" xfId="0" applyFont="1" applyFill="1" applyBorder="1" applyAlignment="1">
      <alignment horizontal="center" vertical="center" wrapText="1"/>
    </xf>
    <xf numFmtId="0" fontId="3"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1" fontId="5" fillId="25" borderId="21" xfId="0" applyNumberFormat="1" applyFont="1" applyFill="1" applyBorder="1" applyAlignment="1" applyProtection="1">
      <alignment horizontal="right" vertical="center" wrapText="1"/>
      <protection locked="0"/>
    </xf>
    <xf numFmtId="1" fontId="5" fillId="25" borderId="20" xfId="0" applyNumberFormat="1" applyFont="1" applyFill="1" applyBorder="1" applyAlignment="1" applyProtection="1">
      <alignment horizontal="right" vertical="center" wrapText="1"/>
      <protection locked="0"/>
    </xf>
    <xf numFmtId="1" fontId="28" fillId="24" borderId="12" xfId="0" applyNumberFormat="1" applyFont="1" applyFill="1" applyBorder="1" applyAlignment="1" applyProtection="1">
      <alignment horizontal="right" vertical="center" wrapText="1"/>
      <protection hidden="1"/>
    </xf>
    <xf numFmtId="0" fontId="7" fillId="0" borderId="16" xfId="0" applyFont="1" applyFill="1" applyBorder="1" applyAlignment="1">
      <alignment horizontal="center" vertical="center" wrapText="1"/>
    </xf>
    <xf numFmtId="0" fontId="57" fillId="24" borderId="0" xfId="0" applyFont="1" applyFill="1" applyBorder="1" applyAlignment="1">
      <alignment vertical="center"/>
    </xf>
    <xf numFmtId="2" fontId="5" fillId="25" borderId="10" xfId="0" applyNumberFormat="1" applyFont="1" applyFill="1" applyBorder="1" applyAlignment="1" applyProtection="1">
      <alignment horizontal="right" vertical="center" wrapText="1"/>
      <protection locked="0"/>
    </xf>
    <xf numFmtId="0" fontId="7" fillId="0" borderId="18" xfId="0" applyFont="1" applyBorder="1" applyAlignment="1">
      <alignment horizontal="left" vertical="center"/>
    </xf>
    <xf numFmtId="0" fontId="7" fillId="0" borderId="16" xfId="0" applyFont="1" applyBorder="1" applyAlignment="1">
      <alignment horizontal="left" vertical="center"/>
    </xf>
    <xf numFmtId="1" fontId="28" fillId="24" borderId="12" xfId="0" applyNumberFormat="1" applyFont="1" applyFill="1" applyBorder="1" applyAlignment="1" applyProtection="1">
      <alignment horizontal="right" vertical="center"/>
      <protection hidden="1"/>
    </xf>
    <xf numFmtId="0" fontId="5" fillId="25" borderId="10" xfId="0" applyFont="1" applyFill="1" applyBorder="1" applyAlignment="1" applyProtection="1">
      <alignment horizontal="left" vertical="center"/>
      <protection locked="0"/>
    </xf>
    <xf numFmtId="0" fontId="7" fillId="0" borderId="14" xfId="0" applyFont="1" applyBorder="1" applyAlignment="1">
      <alignment horizontal="left" vertical="center" wrapText="1"/>
    </xf>
    <xf numFmtId="0" fontId="7" fillId="0" borderId="10" xfId="0" applyFont="1" applyBorder="1" applyAlignment="1">
      <alignment horizontal="left" vertical="center"/>
    </xf>
    <xf numFmtId="0" fontId="32" fillId="25" borderId="10" xfId="0" applyFont="1" applyFill="1" applyBorder="1" applyAlignment="1" applyProtection="1">
      <alignment vertical="center"/>
      <protection locked="0" hidden="1"/>
    </xf>
    <xf numFmtId="49" fontId="5" fillId="25" borderId="13" xfId="0" applyNumberFormat="1" applyFont="1" applyFill="1" applyBorder="1" applyAlignment="1" applyProtection="1">
      <alignment horizontal="left" vertical="center" wrapText="1"/>
      <protection locked="0"/>
    </xf>
    <xf numFmtId="49" fontId="5" fillId="25" borderId="13" xfId="0" applyNumberFormat="1" applyFont="1" applyFill="1" applyBorder="1" applyAlignment="1" applyProtection="1">
      <alignment horizontal="left" vertical="center"/>
      <protection locked="0"/>
    </xf>
    <xf numFmtId="1" fontId="28" fillId="0" borderId="10" xfId="0" applyNumberFormat="1" applyFont="1" applyBorder="1" applyAlignment="1" applyProtection="1">
      <alignment vertical="center"/>
      <protection hidden="1"/>
    </xf>
    <xf numFmtId="1" fontId="5" fillId="25" borderId="13" xfId="0" applyNumberFormat="1" applyFont="1" applyFill="1" applyBorder="1" applyAlignment="1" applyProtection="1">
      <alignment vertical="center"/>
      <protection locked="0"/>
    </xf>
    <xf numFmtId="1" fontId="28" fillId="24" borderId="10" xfId="0" applyNumberFormat="1" applyFont="1" applyFill="1" applyBorder="1" applyAlignment="1">
      <alignment horizontal="right" vertical="center"/>
    </xf>
    <xf numFmtId="49" fontId="5" fillId="25" borderId="18" xfId="0" applyNumberFormat="1" applyFont="1" applyFill="1" applyBorder="1" applyAlignment="1" applyProtection="1">
      <alignment horizontal="left" vertical="center" wrapText="1"/>
      <protection locked="0"/>
    </xf>
    <xf numFmtId="0" fontId="3" fillId="24" borderId="11" xfId="0" applyFont="1" applyFill="1" applyBorder="1" applyAlignment="1">
      <alignment horizontal="center" vertical="center" wrapText="1"/>
    </xf>
    <xf numFmtId="0" fontId="27" fillId="0" borderId="13" xfId="0" applyFont="1" applyBorder="1" applyAlignment="1">
      <alignment horizontal="left" vertical="center" wrapText="1"/>
    </xf>
    <xf numFmtId="0" fontId="27" fillId="0" borderId="20" xfId="0" applyFont="1" applyBorder="1" applyAlignment="1">
      <alignment horizontal="center" vertical="center" wrapText="1"/>
    </xf>
    <xf numFmtId="0" fontId="3" fillId="26" borderId="0" xfId="0" applyFont="1" applyFill="1" applyBorder="1" applyAlignment="1">
      <alignment vertical="top" wrapText="1"/>
    </xf>
    <xf numFmtId="0" fontId="3" fillId="26" borderId="14" xfId="0" applyFont="1" applyFill="1" applyBorder="1" applyAlignment="1">
      <alignment horizontal="right" vertical="center" wrapText="1"/>
    </xf>
    <xf numFmtId="1" fontId="27" fillId="0" borderId="14" xfId="0" applyNumberFormat="1" applyFont="1" applyBorder="1" applyAlignment="1" applyProtection="1">
      <alignment horizontal="right" vertical="center"/>
      <protection hidden="1"/>
    </xf>
    <xf numFmtId="1" fontId="27" fillId="24" borderId="14" xfId="0" applyNumberFormat="1" applyFont="1" applyFill="1" applyBorder="1" applyAlignment="1" applyProtection="1">
      <alignment horizontal="right" vertical="center"/>
      <protection hidden="1"/>
    </xf>
    <xf numFmtId="1" fontId="3" fillId="0" borderId="14" xfId="0" applyNumberFormat="1" applyFont="1" applyBorder="1" applyAlignment="1" applyProtection="1">
      <alignment horizontal="right" vertical="center"/>
      <protection hidden="1"/>
    </xf>
    <xf numFmtId="1" fontId="27" fillId="0" borderId="19" xfId="0" quotePrefix="1" applyNumberFormat="1" applyFont="1" applyBorder="1" applyAlignment="1" applyProtection="1">
      <alignment horizontal="right" vertical="center"/>
      <protection hidden="1"/>
    </xf>
    <xf numFmtId="1" fontId="27" fillId="24" borderId="19" xfId="0" applyNumberFormat="1" applyFont="1" applyFill="1" applyBorder="1" applyAlignment="1" applyProtection="1">
      <alignment horizontal="right" vertical="center"/>
      <protection hidden="1"/>
    </xf>
    <xf numFmtId="0" fontId="3" fillId="26" borderId="11" xfId="0" applyFont="1" applyFill="1" applyBorder="1" applyAlignment="1">
      <alignment horizontal="right" vertical="center" wrapText="1"/>
    </xf>
    <xf numFmtId="1" fontId="27" fillId="24" borderId="11" xfId="0" applyNumberFormat="1" applyFont="1" applyFill="1" applyBorder="1" applyAlignment="1" applyProtection="1">
      <alignment horizontal="right" vertical="center"/>
      <protection hidden="1"/>
    </xf>
    <xf numFmtId="1" fontId="27" fillId="24" borderId="22" xfId="0" applyNumberFormat="1" applyFont="1" applyFill="1" applyBorder="1" applyAlignment="1" applyProtection="1">
      <alignment horizontal="right" vertical="center"/>
      <protection hidden="1"/>
    </xf>
    <xf numFmtId="0" fontId="3" fillId="26" borderId="22" xfId="0" applyFont="1" applyFill="1" applyBorder="1" applyAlignment="1">
      <alignment horizontal="right" vertical="center" wrapText="1"/>
    </xf>
    <xf numFmtId="0" fontId="3" fillId="26" borderId="24" xfId="0" applyFont="1" applyFill="1" applyBorder="1" applyAlignment="1">
      <alignment horizontal="right" vertical="center" wrapText="1"/>
    </xf>
    <xf numFmtId="1" fontId="28" fillId="0" borderId="13" xfId="0" applyNumberFormat="1" applyFont="1" applyFill="1" applyBorder="1" applyAlignment="1" applyProtection="1">
      <alignment horizontal="right" vertical="center" wrapText="1"/>
      <protection hidden="1"/>
    </xf>
    <xf numFmtId="1" fontId="28" fillId="0" borderId="10" xfId="0" applyNumberFormat="1" applyFont="1" applyFill="1" applyBorder="1" applyAlignment="1" applyProtection="1">
      <alignment horizontal="right" vertical="center" wrapText="1"/>
      <protection hidden="1"/>
    </xf>
    <xf numFmtId="1" fontId="28" fillId="0" borderId="16" xfId="0" applyNumberFormat="1" applyFont="1" applyFill="1" applyBorder="1" applyAlignment="1" applyProtection="1">
      <alignment horizontal="right" vertical="center" wrapText="1"/>
      <protection hidden="1"/>
    </xf>
    <xf numFmtId="1" fontId="28" fillId="24" borderId="14" xfId="0" applyNumberFormat="1" applyFont="1" applyFill="1" applyBorder="1" applyAlignment="1" applyProtection="1">
      <alignment horizontal="right" vertical="center" wrapText="1"/>
      <protection hidden="1"/>
    </xf>
    <xf numFmtId="1" fontId="5" fillId="25" borderId="19" xfId="0" applyNumberFormat="1" applyFont="1" applyFill="1" applyBorder="1" applyAlignment="1" applyProtection="1">
      <alignment horizontal="right" vertical="center" wrapText="1"/>
      <protection locked="0"/>
    </xf>
    <xf numFmtId="165" fontId="27" fillId="0" borderId="10" xfId="0" applyNumberFormat="1" applyFont="1" applyBorder="1" applyAlignment="1">
      <alignment horizontal="center" vertical="center"/>
    </xf>
    <xf numFmtId="1" fontId="28" fillId="44" borderId="33" xfId="0" applyNumberFormat="1" applyFont="1" applyFill="1" applyBorder="1" applyAlignment="1" applyProtection="1">
      <alignment horizontal="right" vertical="center"/>
      <protection hidden="1"/>
    </xf>
    <xf numFmtId="165" fontId="3" fillId="24" borderId="13" xfId="0" applyNumberFormat="1" applyFont="1" applyFill="1" applyBorder="1" applyAlignment="1">
      <alignment horizontal="center" vertical="center"/>
    </xf>
    <xf numFmtId="165" fontId="3" fillId="24" borderId="10" xfId="0" applyNumberFormat="1" applyFont="1" applyFill="1" applyBorder="1" applyAlignment="1">
      <alignment horizontal="center" vertical="center"/>
    </xf>
    <xf numFmtId="1" fontId="28" fillId="0" borderId="10" xfId="0" applyNumberFormat="1" applyFont="1" applyBorder="1" applyAlignment="1" applyProtection="1">
      <alignment horizontal="right" vertical="center"/>
      <protection hidden="1"/>
    </xf>
    <xf numFmtId="1" fontId="28" fillId="0" borderId="20" xfId="0" applyNumberFormat="1" applyFont="1" applyFill="1" applyBorder="1" applyAlignment="1" applyProtection="1">
      <alignment horizontal="right" vertical="center"/>
      <protection hidden="1"/>
    </xf>
    <xf numFmtId="1" fontId="5" fillId="25" borderId="15" xfId="0" applyNumberFormat="1" applyFont="1" applyFill="1" applyBorder="1" applyAlignment="1" applyProtection="1">
      <alignment horizontal="right" vertical="center"/>
      <protection locked="0"/>
    </xf>
    <xf numFmtId="1" fontId="28" fillId="0" borderId="13" xfId="0" applyNumberFormat="1" applyFont="1" applyFill="1" applyBorder="1" applyAlignment="1" applyProtection="1">
      <alignment horizontal="right" vertical="center"/>
      <protection hidden="1"/>
    </xf>
    <xf numFmtId="1" fontId="5" fillId="28" borderId="23" xfId="0" applyNumberFormat="1" applyFont="1" applyFill="1" applyBorder="1" applyAlignment="1" applyProtection="1">
      <alignment horizontal="right" vertical="center"/>
    </xf>
    <xf numFmtId="0" fontId="3" fillId="26" borderId="23" xfId="0" applyFont="1" applyFill="1" applyBorder="1" applyAlignment="1" applyProtection="1">
      <alignment horizontal="right" vertical="center"/>
    </xf>
    <xf numFmtId="1" fontId="28" fillId="0" borderId="16" xfId="0" applyNumberFormat="1" applyFont="1" applyFill="1" applyBorder="1" applyAlignment="1" applyProtection="1">
      <alignment horizontal="right" vertical="center"/>
      <protection hidden="1"/>
    </xf>
    <xf numFmtId="1" fontId="28" fillId="0" borderId="12" xfId="0" applyNumberFormat="1" applyFont="1" applyFill="1" applyBorder="1" applyAlignment="1" applyProtection="1">
      <alignment horizontal="right" vertical="center"/>
      <protection hidden="1"/>
    </xf>
    <xf numFmtId="1" fontId="28" fillId="0" borderId="14" xfId="0" applyNumberFormat="1" applyFont="1" applyFill="1" applyBorder="1" applyAlignment="1" applyProtection="1">
      <alignment horizontal="right" vertical="center"/>
    </xf>
    <xf numFmtId="1" fontId="28" fillId="0" borderId="10" xfId="0" applyNumberFormat="1" applyFont="1" applyFill="1" applyBorder="1" applyAlignment="1" applyProtection="1">
      <alignment horizontal="right" vertical="center"/>
    </xf>
    <xf numFmtId="0" fontId="3" fillId="0" borderId="21" xfId="0" applyFont="1" applyBorder="1" applyAlignment="1" applyProtection="1">
      <alignment horizontal="center" vertical="center"/>
    </xf>
    <xf numFmtId="0" fontId="27" fillId="24" borderId="10" xfId="0" applyFont="1" applyFill="1" applyBorder="1" applyAlignment="1" applyProtection="1">
      <alignment horizontal="center" vertical="center"/>
    </xf>
    <xf numFmtId="0" fontId="29" fillId="24" borderId="11" xfId="0" applyFont="1" applyFill="1" applyBorder="1" applyAlignment="1" applyProtection="1">
      <alignment horizontal="center" vertical="center"/>
    </xf>
    <xf numFmtId="0" fontId="27" fillId="24" borderId="11" xfId="0" applyFont="1" applyFill="1" applyBorder="1" applyAlignment="1" applyProtection="1">
      <alignment horizontal="left" vertical="center"/>
    </xf>
    <xf numFmtId="0" fontId="27" fillId="24" borderId="19" xfId="0" applyFont="1" applyFill="1" applyBorder="1" applyAlignment="1" applyProtection="1">
      <alignment horizontal="left" vertical="center"/>
    </xf>
    <xf numFmtId="0" fontId="7" fillId="0" borderId="11"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3" fillId="0" borderId="10" xfId="0" applyFont="1" applyFill="1" applyBorder="1" applyAlignment="1" applyProtection="1">
      <alignment horizontal="center" vertical="center" wrapText="1"/>
      <protection hidden="1"/>
    </xf>
    <xf numFmtId="0" fontId="3" fillId="24" borderId="14" xfId="0"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center"/>
      <protection hidden="1"/>
    </xf>
    <xf numFmtId="0" fontId="3" fillId="24" borderId="16" xfId="0" applyFont="1" applyFill="1" applyBorder="1" applyAlignment="1" applyProtection="1">
      <alignment horizontal="center" vertical="center"/>
      <protection hidden="1"/>
    </xf>
    <xf numFmtId="0" fontId="3" fillId="24" borderId="18" xfId="0" applyFont="1" applyFill="1" applyBorder="1" applyAlignment="1" applyProtection="1">
      <alignment horizontal="center" vertical="center"/>
      <protection hidden="1"/>
    </xf>
    <xf numFmtId="0" fontId="3" fillId="24" borderId="24" xfId="0" applyFont="1" applyFill="1" applyBorder="1" applyAlignment="1" applyProtection="1">
      <alignment horizontal="left" vertical="center"/>
    </xf>
    <xf numFmtId="1" fontId="5" fillId="25" borderId="17" xfId="0" applyNumberFormat="1" applyFont="1" applyFill="1" applyBorder="1" applyAlignment="1" applyProtection="1">
      <alignment horizontal="right" vertical="center"/>
      <protection locked="0"/>
    </xf>
    <xf numFmtId="1" fontId="28" fillId="24" borderId="20" xfId="0" applyNumberFormat="1" applyFont="1" applyFill="1" applyBorder="1" applyAlignment="1">
      <alignment horizontal="right" vertical="center"/>
    </xf>
    <xf numFmtId="0" fontId="5" fillId="25" borderId="13" xfId="0" applyFont="1" applyFill="1" applyBorder="1" applyAlignment="1" applyProtection="1">
      <alignment horizontal="left" vertical="center" wrapText="1"/>
      <protection locked="0"/>
    </xf>
    <xf numFmtId="169" fontId="5" fillId="25" borderId="13" xfId="0" applyNumberFormat="1" applyFont="1" applyFill="1" applyBorder="1" applyAlignment="1" applyProtection="1">
      <alignment horizontal="right" vertical="center"/>
      <protection locked="0"/>
    </xf>
    <xf numFmtId="1" fontId="28" fillId="24" borderId="14" xfId="0" applyNumberFormat="1" applyFont="1" applyFill="1" applyBorder="1" applyAlignment="1">
      <alignment horizontal="right" vertical="center"/>
    </xf>
    <xf numFmtId="1" fontId="28" fillId="24" borderId="20" xfId="0" applyNumberFormat="1" applyFont="1" applyFill="1" applyBorder="1" applyAlignment="1" applyProtection="1">
      <alignment horizontal="right" vertical="center"/>
      <protection hidden="1"/>
    </xf>
    <xf numFmtId="0" fontId="49" fillId="26" borderId="10" xfId="0" applyFont="1" applyFill="1" applyBorder="1" applyAlignment="1" applyProtection="1">
      <alignment horizontal="center" vertical="center" wrapText="1"/>
      <protection hidden="1"/>
    </xf>
    <xf numFmtId="0" fontId="49" fillId="26" borderId="10" xfId="0" applyFont="1" applyFill="1" applyBorder="1" applyAlignment="1" applyProtection="1">
      <alignment vertical="center"/>
      <protection hidden="1"/>
    </xf>
    <xf numFmtId="1" fontId="3" fillId="26" borderId="10" xfId="0" applyNumberFormat="1" applyFont="1" applyFill="1" applyBorder="1" applyAlignment="1" applyProtection="1">
      <alignment horizontal="right" vertical="center"/>
      <protection hidden="1"/>
    </xf>
    <xf numFmtId="1" fontId="27" fillId="26" borderId="10" xfId="0" applyNumberFormat="1" applyFont="1" applyFill="1" applyBorder="1" applyAlignment="1" applyProtection="1">
      <alignment horizontal="right" vertical="center"/>
      <protection hidden="1"/>
    </xf>
    <xf numFmtId="0" fontId="3" fillId="26" borderId="10" xfId="0" applyFont="1" applyFill="1" applyBorder="1" applyAlignment="1">
      <alignment vertical="center"/>
    </xf>
    <xf numFmtId="1" fontId="28" fillId="24" borderId="10" xfId="0" applyNumberFormat="1" applyFont="1" applyFill="1" applyBorder="1" applyAlignment="1" applyProtection="1">
      <alignment vertical="center"/>
      <protection hidden="1"/>
    </xf>
    <xf numFmtId="1" fontId="5" fillId="25" borderId="24" xfId="0" applyNumberFormat="1" applyFont="1" applyFill="1" applyBorder="1" applyAlignment="1" applyProtection="1">
      <alignment horizontal="right" vertical="center" wrapText="1"/>
      <protection locked="0"/>
    </xf>
    <xf numFmtId="1" fontId="28" fillId="0" borderId="14" xfId="0" applyNumberFormat="1" applyFont="1" applyBorder="1" applyAlignment="1" applyProtection="1">
      <alignment horizontal="right" vertical="center" wrapText="1"/>
      <protection hidden="1"/>
    </xf>
    <xf numFmtId="0" fontId="28" fillId="0" borderId="10" xfId="0" applyFont="1" applyBorder="1" applyAlignment="1" applyProtection="1">
      <alignment horizontal="right" vertical="center" wrapText="1"/>
      <protection hidden="1"/>
    </xf>
    <xf numFmtId="0" fontId="5" fillId="25" borderId="10" xfId="0" applyFont="1" applyFill="1" applyBorder="1" applyAlignment="1" applyProtection="1">
      <alignment horizontal="left" vertical="center"/>
      <protection hidden="1"/>
    </xf>
    <xf numFmtId="0" fontId="32" fillId="0" borderId="15" xfId="0" applyFont="1" applyBorder="1" applyAlignment="1">
      <alignment horizontal="left" vertical="center"/>
    </xf>
    <xf numFmtId="0" fontId="3" fillId="0" borderId="24" xfId="0" applyFont="1" applyFill="1" applyBorder="1" applyAlignment="1">
      <alignment horizontal="left" vertical="center"/>
    </xf>
    <xf numFmtId="0" fontId="29" fillId="0" borderId="13" xfId="0" applyFont="1" applyBorder="1" applyAlignment="1">
      <alignment horizontal="left" vertical="center" wrapText="1"/>
    </xf>
    <xf numFmtId="49" fontId="5" fillId="25" borderId="14" xfId="0" applyNumberFormat="1" applyFont="1" applyFill="1" applyBorder="1" applyAlignment="1" applyProtection="1">
      <alignment horizontal="left" vertical="center"/>
      <protection locked="0"/>
    </xf>
    <xf numFmtId="0" fontId="29" fillId="24" borderId="19" xfId="0" applyFont="1" applyFill="1" applyBorder="1" applyAlignment="1">
      <alignment horizontal="left" vertical="center"/>
    </xf>
    <xf numFmtId="1" fontId="5" fillId="25" borderId="16" xfId="0" applyNumberFormat="1" applyFont="1" applyFill="1" applyBorder="1" applyAlignment="1" applyProtection="1">
      <alignment horizontal="right" vertical="center"/>
      <protection locked="0"/>
    </xf>
    <xf numFmtId="1" fontId="27" fillId="0" borderId="10" xfId="0" applyNumberFormat="1" applyFont="1" applyBorder="1" applyAlignment="1" applyProtection="1">
      <alignment horizontal="right" vertical="center" wrapText="1"/>
      <protection hidden="1"/>
    </xf>
    <xf numFmtId="0" fontId="34" fillId="0" borderId="10" xfId="0" applyFont="1" applyFill="1" applyBorder="1" applyAlignment="1" applyProtection="1">
      <alignment vertical="center" wrapText="1"/>
      <protection hidden="1"/>
    </xf>
    <xf numFmtId="1" fontId="5" fillId="25" borderId="10" xfId="0" applyNumberFormat="1" applyFont="1" applyFill="1" applyBorder="1" applyAlignment="1" applyProtection="1">
      <alignment horizontal="right" vertical="center"/>
      <protection hidden="1"/>
    </xf>
    <xf numFmtId="1" fontId="28" fillId="24" borderId="16" xfId="0" applyNumberFormat="1" applyFont="1" applyFill="1" applyBorder="1" applyAlignment="1" applyProtection="1">
      <alignment vertical="center"/>
      <protection hidden="1"/>
    </xf>
    <xf numFmtId="1" fontId="5" fillId="34" borderId="10" xfId="0" applyNumberFormat="1" applyFont="1" applyFill="1" applyBorder="1" applyAlignment="1" applyProtection="1">
      <alignment vertical="center"/>
      <protection hidden="1"/>
    </xf>
    <xf numFmtId="1" fontId="5" fillId="34" borderId="10" xfId="0" applyNumberFormat="1" applyFont="1" applyFill="1" applyBorder="1" applyAlignment="1" applyProtection="1">
      <alignment horizontal="right" vertical="center"/>
      <protection hidden="1"/>
    </xf>
    <xf numFmtId="0" fontId="3" fillId="0" borderId="14" xfId="0" quotePrefix="1" applyFont="1" applyBorder="1" applyAlignment="1">
      <alignment horizontal="left" vertical="center"/>
    </xf>
    <xf numFmtId="0" fontId="28" fillId="0" borderId="11" xfId="0" applyFont="1" applyBorder="1" applyAlignment="1">
      <alignment vertical="center"/>
    </xf>
    <xf numFmtId="0" fontId="27" fillId="24" borderId="11" xfId="0" applyFont="1" applyFill="1" applyBorder="1" applyAlignment="1">
      <alignment vertical="center"/>
    </xf>
    <xf numFmtId="0" fontId="27" fillId="0" borderId="11" xfId="0" applyFont="1" applyBorder="1" applyAlignment="1">
      <alignment vertical="center"/>
    </xf>
    <xf numFmtId="0" fontId="27" fillId="0" borderId="11" xfId="0" applyFont="1" applyBorder="1" applyAlignment="1">
      <alignment horizontal="right" vertical="center"/>
    </xf>
    <xf numFmtId="0" fontId="28" fillId="0" borderId="10" xfId="0" applyFont="1" applyBorder="1" applyAlignment="1">
      <alignment horizontal="right" vertical="center"/>
    </xf>
    <xf numFmtId="1" fontId="5" fillId="24" borderId="10" xfId="0" applyNumberFormat="1" applyFont="1" applyFill="1" applyBorder="1" applyAlignment="1" applyProtection="1">
      <alignment horizontal="right" vertical="center"/>
      <protection hidden="1"/>
    </xf>
    <xf numFmtId="0" fontId="5" fillId="0" borderId="10" xfId="0" applyFont="1" applyFill="1" applyBorder="1" applyAlignment="1" applyProtection="1">
      <alignment horizontal="left" vertical="center" wrapText="1"/>
      <protection hidden="1"/>
    </xf>
    <xf numFmtId="0" fontId="5" fillId="0" borderId="10" xfId="0"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1" fontId="5" fillId="0" borderId="14" xfId="0" applyNumberFormat="1" applyFont="1" applyBorder="1" applyAlignment="1" applyProtection="1">
      <alignment vertical="center"/>
      <protection hidden="1"/>
    </xf>
    <xf numFmtId="1" fontId="5" fillId="0" borderId="10" xfId="0" applyNumberFormat="1" applyFont="1" applyFill="1" applyBorder="1" applyAlignment="1" applyProtection="1">
      <alignment vertical="center"/>
      <protection hidden="1"/>
    </xf>
    <xf numFmtId="1" fontId="5" fillId="0" borderId="10" xfId="0" applyNumberFormat="1" applyFont="1" applyBorder="1" applyAlignment="1" applyProtection="1">
      <alignment vertical="center"/>
      <protection hidden="1"/>
    </xf>
    <xf numFmtId="1" fontId="5" fillId="34" borderId="14" xfId="0" applyNumberFormat="1" applyFont="1" applyFill="1" applyBorder="1" applyAlignment="1" applyProtection="1">
      <alignment vertical="center"/>
      <protection hidden="1"/>
    </xf>
    <xf numFmtId="1" fontId="5" fillId="34" borderId="13" xfId="0" applyNumberFormat="1" applyFont="1" applyFill="1" applyBorder="1" applyAlignment="1" applyProtection="1">
      <alignment vertical="center"/>
      <protection hidden="1"/>
    </xf>
    <xf numFmtId="1" fontId="5" fillId="34" borderId="13" xfId="0" applyNumberFormat="1" applyFont="1" applyFill="1" applyBorder="1" applyAlignment="1" applyProtection="1">
      <alignment horizontal="right" vertical="center"/>
      <protection hidden="1"/>
    </xf>
    <xf numFmtId="1" fontId="5" fillId="34" borderId="20" xfId="0" applyNumberFormat="1" applyFont="1" applyFill="1" applyBorder="1" applyAlignment="1" applyProtection="1">
      <alignment vertical="center"/>
      <protection hidden="1"/>
    </xf>
    <xf numFmtId="1" fontId="5" fillId="34" borderId="16" xfId="0" applyNumberFormat="1" applyFont="1" applyFill="1" applyBorder="1" applyAlignment="1" applyProtection="1">
      <alignment vertical="center"/>
      <protection hidden="1"/>
    </xf>
    <xf numFmtId="1" fontId="5" fillId="34" borderId="16" xfId="0" applyNumberFormat="1" applyFont="1" applyFill="1" applyBorder="1" applyAlignment="1" applyProtection="1">
      <alignment horizontal="right" vertical="center"/>
      <protection hidden="1"/>
    </xf>
    <xf numFmtId="1" fontId="5" fillId="34" borderId="17" xfId="0" applyNumberFormat="1" applyFont="1" applyFill="1" applyBorder="1" applyAlignment="1" applyProtection="1">
      <alignment vertical="center"/>
      <protection hidden="1"/>
    </xf>
    <xf numFmtId="1" fontId="5" fillId="0" borderId="19" xfId="0" applyNumberFormat="1" applyFont="1" applyFill="1" applyBorder="1" applyAlignment="1" applyProtection="1">
      <alignment vertical="center"/>
      <protection hidden="1"/>
    </xf>
    <xf numFmtId="1" fontId="5" fillId="0" borderId="19" xfId="0" applyNumberFormat="1" applyFont="1" applyFill="1" applyBorder="1" applyAlignment="1" applyProtection="1">
      <alignment horizontal="right" vertical="center"/>
      <protection hidden="1"/>
    </xf>
    <xf numFmtId="1" fontId="5" fillId="24" borderId="14" xfId="0" applyNumberFormat="1" applyFont="1" applyFill="1" applyBorder="1" applyAlignment="1" applyProtection="1">
      <alignment vertical="center"/>
      <protection hidden="1"/>
    </xf>
    <xf numFmtId="1" fontId="5" fillId="24" borderId="19" xfId="0" applyNumberFormat="1" applyFont="1" applyFill="1" applyBorder="1" applyAlignment="1" applyProtection="1">
      <alignment horizontal="right" vertical="center"/>
      <protection hidden="1"/>
    </xf>
    <xf numFmtId="1" fontId="5" fillId="24" borderId="19" xfId="0" applyNumberFormat="1" applyFont="1" applyFill="1" applyBorder="1" applyAlignment="1" applyProtection="1">
      <alignment vertical="center"/>
      <protection hidden="1"/>
    </xf>
    <xf numFmtId="1" fontId="5" fillId="34" borderId="10" xfId="0" applyNumberFormat="1" applyFont="1" applyFill="1" applyBorder="1" applyAlignment="1" applyProtection="1">
      <alignment horizontal="right" vertical="center" wrapText="1"/>
      <protection hidden="1"/>
    </xf>
    <xf numFmtId="0" fontId="5" fillId="24" borderId="10" xfId="0" applyFont="1" applyFill="1" applyBorder="1" applyAlignment="1" applyProtection="1">
      <alignment horizontal="right" vertical="center"/>
      <protection hidden="1"/>
    </xf>
    <xf numFmtId="0" fontId="5" fillId="25" borderId="16" xfId="0" applyFont="1" applyFill="1" applyBorder="1" applyAlignment="1" applyProtection="1">
      <alignment horizontal="left" vertical="center" wrapText="1"/>
      <protection locked="0"/>
    </xf>
    <xf numFmtId="0" fontId="5" fillId="25" borderId="16" xfId="0" applyFont="1" applyFill="1" applyBorder="1" applyAlignment="1" applyProtection="1">
      <alignment horizontal="left" vertical="center"/>
      <protection locked="0"/>
    </xf>
    <xf numFmtId="2" fontId="5" fillId="25" borderId="16" xfId="0" applyNumberFormat="1" applyFont="1" applyFill="1" applyBorder="1" applyAlignment="1" applyProtection="1">
      <alignment horizontal="right" vertical="center"/>
      <protection locked="0"/>
    </xf>
    <xf numFmtId="1" fontId="34" fillId="0" borderId="10" xfId="0" applyNumberFormat="1" applyFont="1" applyFill="1" applyBorder="1" applyAlignment="1" applyProtection="1">
      <alignment horizontal="right" vertical="center" wrapText="1"/>
      <protection hidden="1"/>
    </xf>
    <xf numFmtId="0" fontId="5" fillId="28" borderId="14" xfId="0" applyFont="1" applyFill="1" applyBorder="1" applyAlignment="1" applyProtection="1">
      <alignment horizontal="right" vertical="center"/>
      <protection hidden="1"/>
    </xf>
    <xf numFmtId="1" fontId="51" fillId="0" borderId="14" xfId="0" applyNumberFormat="1" applyFont="1" applyFill="1" applyBorder="1" applyAlignment="1" applyProtection="1">
      <alignment horizontal="right" vertical="center"/>
      <protection hidden="1"/>
    </xf>
    <xf numFmtId="1" fontId="5" fillId="25" borderId="17" xfId="0" applyNumberFormat="1" applyFont="1" applyFill="1" applyBorder="1" applyAlignment="1" applyProtection="1">
      <alignment horizontal="right" vertical="center" wrapText="1"/>
      <protection locked="0"/>
    </xf>
    <xf numFmtId="0" fontId="3" fillId="24" borderId="11" xfId="0" applyFont="1" applyFill="1" applyBorder="1" applyAlignment="1">
      <alignment vertical="center"/>
    </xf>
    <xf numFmtId="0" fontId="3" fillId="24" borderId="22" xfId="0" applyFont="1" applyFill="1" applyBorder="1" applyAlignment="1">
      <alignment horizontal="left" vertical="center" wrapText="1"/>
    </xf>
    <xf numFmtId="0" fontId="32" fillId="0" borderId="10" xfId="0" applyFont="1" applyBorder="1" applyAlignment="1">
      <alignment vertical="center"/>
    </xf>
    <xf numFmtId="0" fontId="7" fillId="0" borderId="10" xfId="0" applyFont="1" applyFill="1" applyBorder="1" applyAlignment="1">
      <alignment horizontal="left" vertical="center"/>
    </xf>
    <xf numFmtId="0" fontId="7" fillId="0" borderId="16" xfId="0" applyFont="1" applyFill="1" applyBorder="1" applyAlignment="1">
      <alignment horizontal="left" vertical="center"/>
    </xf>
    <xf numFmtId="0" fontId="7" fillId="0" borderId="13" xfId="0" applyFont="1" applyBorder="1" applyAlignment="1">
      <alignment horizontal="center" wrapText="1"/>
    </xf>
    <xf numFmtId="0" fontId="7" fillId="0" borderId="10" xfId="0" applyFont="1" applyFill="1" applyBorder="1" applyAlignment="1">
      <alignment horizontal="center" wrapText="1"/>
    </xf>
    <xf numFmtId="0" fontId="29" fillId="24" borderId="0" xfId="0" applyFont="1" applyFill="1" applyBorder="1" applyAlignment="1">
      <alignment vertical="center"/>
    </xf>
    <xf numFmtId="0" fontId="29" fillId="0" borderId="13" xfId="0" applyFont="1" applyBorder="1" applyAlignment="1">
      <alignment horizontal="center" vertical="center" wrapText="1"/>
    </xf>
    <xf numFmtId="168" fontId="5" fillId="25" borderId="10" xfId="0" applyNumberFormat="1" applyFont="1" applyFill="1" applyBorder="1" applyAlignment="1" applyProtection="1">
      <alignment horizontal="left" vertical="center" wrapText="1"/>
      <protection locked="0"/>
    </xf>
    <xf numFmtId="1" fontId="5" fillId="25" borderId="24" xfId="0" applyNumberFormat="1" applyFont="1" applyFill="1" applyBorder="1" applyAlignment="1" applyProtection="1">
      <alignment horizontal="right" vertical="center"/>
      <protection locked="0"/>
    </xf>
    <xf numFmtId="1" fontId="5" fillId="25" borderId="22" xfId="0" applyNumberFormat="1" applyFont="1" applyFill="1" applyBorder="1" applyAlignment="1" applyProtection="1">
      <alignment horizontal="right" vertical="center"/>
      <protection locked="0"/>
    </xf>
    <xf numFmtId="0" fontId="29" fillId="0" borderId="11" xfId="0" applyFont="1" applyBorder="1" applyAlignment="1">
      <alignment horizontal="right" vertical="center"/>
    </xf>
    <xf numFmtId="49" fontId="5" fillId="25" borderId="10" xfId="0" applyNumberFormat="1" applyFont="1" applyFill="1" applyBorder="1" applyAlignment="1" applyProtection="1">
      <alignment horizontal="right" vertical="center" wrapText="1"/>
      <protection locked="0"/>
    </xf>
    <xf numFmtId="0" fontId="3" fillId="0" borderId="0" xfId="0" applyFont="1" applyBorder="1" applyAlignment="1">
      <alignment vertical="center" wrapText="1"/>
    </xf>
    <xf numFmtId="1" fontId="28" fillId="34" borderId="14" xfId="0" applyNumberFormat="1" applyFont="1" applyFill="1" applyBorder="1" applyAlignment="1" applyProtection="1">
      <alignment horizontal="right" vertical="center" wrapText="1"/>
      <protection locked="0"/>
    </xf>
    <xf numFmtId="1" fontId="27" fillId="24" borderId="10" xfId="0" applyNumberFormat="1" applyFont="1" applyFill="1" applyBorder="1" applyAlignment="1" applyProtection="1">
      <alignment vertical="center"/>
      <protection hidden="1"/>
    </xf>
    <xf numFmtId="0" fontId="29" fillId="24" borderId="10" xfId="0" applyFont="1" applyFill="1" applyBorder="1" applyAlignment="1" applyProtection="1">
      <alignment horizontal="center" vertical="center"/>
    </xf>
    <xf numFmtId="0" fontId="32" fillId="33" borderId="10" xfId="0" applyFont="1" applyFill="1" applyBorder="1" applyProtection="1">
      <protection hidden="1"/>
    </xf>
    <xf numFmtId="0" fontId="5" fillId="0" borderId="10" xfId="0" applyFont="1" applyBorder="1" applyAlignment="1">
      <alignment horizontal="left"/>
    </xf>
    <xf numFmtId="0" fontId="5" fillId="0" borderId="10" xfId="0" applyFont="1" applyFill="1" applyBorder="1" applyAlignment="1" applyProtection="1">
      <alignment horizontal="left" vertical="top" wrapText="1"/>
    </xf>
    <xf numFmtId="0" fontId="29" fillId="0" borderId="14" xfId="0" applyFont="1" applyBorder="1" applyAlignment="1">
      <alignment horizontal="center"/>
    </xf>
    <xf numFmtId="0" fontId="58" fillId="0" borderId="12" xfId="0" applyFont="1" applyBorder="1" applyAlignment="1">
      <alignment horizontal="center" vertical="center"/>
    </xf>
    <xf numFmtId="0" fontId="3" fillId="26" borderId="20" xfId="0" applyFont="1" applyFill="1" applyBorder="1" applyAlignment="1" applyProtection="1">
      <alignment horizontal="center"/>
      <protection hidden="1"/>
    </xf>
    <xf numFmtId="0" fontId="7" fillId="24" borderId="10" xfId="0" applyFont="1" applyFill="1" applyBorder="1" applyAlignment="1">
      <alignment horizontal="center" vertical="top" wrapText="1"/>
    </xf>
    <xf numFmtId="0" fontId="32" fillId="31" borderId="10" xfId="0" applyFont="1" applyFill="1" applyBorder="1" applyProtection="1">
      <protection hidden="1"/>
    </xf>
    <xf numFmtId="0" fontId="57" fillId="0" borderId="0" xfId="0" applyFont="1" applyFill="1" applyProtection="1"/>
    <xf numFmtId="0" fontId="57" fillId="0" borderId="0" xfId="0" applyFont="1" applyFill="1" applyAlignment="1" applyProtection="1">
      <alignment horizontal="center"/>
    </xf>
    <xf numFmtId="0" fontId="57" fillId="0" borderId="35" xfId="0" applyFont="1" applyFill="1" applyBorder="1" applyProtection="1"/>
    <xf numFmtId="0" fontId="57" fillId="0" borderId="36" xfId="0" applyFont="1" applyFill="1" applyBorder="1" applyProtection="1"/>
    <xf numFmtId="0" fontId="57" fillId="0" borderId="36" xfId="0" applyFont="1" applyFill="1" applyBorder="1" applyAlignment="1" applyProtection="1">
      <alignment horizontal="center"/>
    </xf>
    <xf numFmtId="0" fontId="57" fillId="0" borderId="37" xfId="0" applyFont="1" applyFill="1" applyBorder="1" applyProtection="1"/>
    <xf numFmtId="0" fontId="63" fillId="24" borderId="12" xfId="0" applyFont="1" applyFill="1" applyBorder="1" applyAlignment="1">
      <alignment horizontal="right" textRotation="90" wrapText="1"/>
    </xf>
    <xf numFmtId="0" fontId="63" fillId="24" borderId="13" xfId="0" applyFont="1" applyFill="1" applyBorder="1" applyAlignment="1">
      <alignment horizontal="right" textRotation="90" wrapText="1"/>
    </xf>
    <xf numFmtId="0" fontId="32" fillId="31" borderId="11" xfId="0" applyFont="1" applyFill="1" applyBorder="1" applyProtection="1">
      <protection hidden="1"/>
    </xf>
    <xf numFmtId="1" fontId="3" fillId="26" borderId="10" xfId="0" applyNumberFormat="1" applyFont="1" applyFill="1" applyBorder="1" applyAlignment="1" applyProtection="1">
      <alignment horizontal="right"/>
    </xf>
    <xf numFmtId="0" fontId="3" fillId="24" borderId="39" xfId="0" applyFont="1" applyFill="1" applyBorder="1" applyAlignment="1" applyProtection="1">
      <alignment horizontal="left"/>
    </xf>
    <xf numFmtId="0" fontId="3" fillId="24" borderId="0" xfId="0" applyFont="1" applyFill="1" applyBorder="1" applyAlignment="1" applyProtection="1">
      <alignment horizontal="left"/>
    </xf>
    <xf numFmtId="0" fontId="3" fillId="24" borderId="39" xfId="0" applyFont="1" applyFill="1" applyBorder="1" applyAlignment="1" applyProtection="1">
      <alignment horizontal="center" vertical="top" wrapText="1"/>
    </xf>
    <xf numFmtId="0" fontId="3" fillId="24" borderId="39" xfId="0" applyFont="1" applyFill="1" applyBorder="1" applyAlignment="1" applyProtection="1">
      <alignment horizontal="center" vertical="top"/>
    </xf>
    <xf numFmtId="0" fontId="3" fillId="24" borderId="0" xfId="0" applyFont="1" applyFill="1" applyBorder="1" applyAlignment="1" applyProtection="1">
      <alignment horizontal="center" vertical="top"/>
    </xf>
    <xf numFmtId="1" fontId="5" fillId="0" borderId="39" xfId="0" applyNumberFormat="1" applyFont="1" applyFill="1" applyBorder="1" applyAlignment="1" applyProtection="1">
      <alignment horizontal="right"/>
    </xf>
    <xf numFmtId="1" fontId="5" fillId="0" borderId="0" xfId="0" applyNumberFormat="1" applyFont="1" applyFill="1" applyBorder="1" applyAlignment="1" applyProtection="1">
      <alignment horizontal="right"/>
    </xf>
    <xf numFmtId="0" fontId="57" fillId="24" borderId="41" xfId="0" applyFont="1" applyFill="1" applyBorder="1" applyProtection="1"/>
    <xf numFmtId="0" fontId="29" fillId="24" borderId="19" xfId="0" applyFont="1" applyFill="1" applyBorder="1" applyProtection="1"/>
    <xf numFmtId="0" fontId="32" fillId="24" borderId="19" xfId="0" applyFont="1" applyFill="1" applyBorder="1" applyProtection="1"/>
    <xf numFmtId="0" fontId="29" fillId="0" borderId="24" xfId="0" applyFont="1" applyBorder="1" applyAlignment="1">
      <alignment horizontal="center" vertical="center"/>
    </xf>
    <xf numFmtId="0" fontId="64" fillId="0" borderId="40" xfId="0" applyFont="1" applyBorder="1"/>
    <xf numFmtId="0" fontId="64" fillId="0" borderId="41" xfId="0" applyFont="1" applyBorder="1"/>
    <xf numFmtId="0" fontId="64" fillId="0" borderId="0" xfId="0" applyFont="1"/>
    <xf numFmtId="0" fontId="32" fillId="0" borderId="12" xfId="0" applyFont="1" applyBorder="1" applyAlignment="1">
      <alignment horizontal="left" vertical="top" wrapText="1"/>
    </xf>
    <xf numFmtId="0" fontId="3" fillId="0" borderId="16" xfId="0" applyFont="1" applyBorder="1" applyAlignment="1">
      <alignment vertical="center"/>
    </xf>
    <xf numFmtId="0" fontId="3" fillId="0" borderId="12" xfId="0" applyFont="1" applyBorder="1" applyAlignment="1">
      <alignment vertical="center"/>
    </xf>
    <xf numFmtId="1" fontId="28" fillId="24" borderId="14" xfId="0" applyNumberFormat="1" applyFont="1" applyFill="1" applyBorder="1" applyAlignment="1" applyProtection="1">
      <alignment horizontal="right"/>
      <protection hidden="1"/>
    </xf>
    <xf numFmtId="0" fontId="3" fillId="28" borderId="15" xfId="0" applyFont="1" applyFill="1" applyBorder="1" applyAlignment="1"/>
    <xf numFmtId="1" fontId="28" fillId="24" borderId="20" xfId="0" applyNumberFormat="1" applyFont="1" applyFill="1" applyBorder="1" applyAlignment="1" applyProtection="1">
      <alignment horizontal="right"/>
      <protection hidden="1"/>
    </xf>
    <xf numFmtId="1" fontId="28" fillId="24" borderId="0" xfId="0" applyNumberFormat="1" applyFont="1" applyFill="1" applyBorder="1" applyAlignment="1" applyProtection="1">
      <alignment horizontal="right" vertical="top" wrapText="1"/>
      <protection hidden="1"/>
    </xf>
    <xf numFmtId="0" fontId="3" fillId="24" borderId="0" xfId="0" applyFont="1" applyFill="1" applyBorder="1" applyAlignment="1" applyProtection="1">
      <alignment horizontal="left" vertical="center" wrapText="1"/>
    </xf>
    <xf numFmtId="0" fontId="3" fillId="24" borderId="0" xfId="0" applyFont="1" applyFill="1" applyBorder="1" applyAlignment="1" applyProtection="1">
      <alignment horizontal="center" vertical="center"/>
    </xf>
    <xf numFmtId="0" fontId="3" fillId="24" borderId="0" xfId="0" applyFont="1" applyFill="1" applyBorder="1" applyAlignment="1" applyProtection="1">
      <alignment horizontal="center" vertical="center" wrapText="1"/>
    </xf>
    <xf numFmtId="1" fontId="28" fillId="24" borderId="0" xfId="0" applyNumberFormat="1" applyFont="1" applyFill="1" applyBorder="1" applyAlignment="1" applyProtection="1">
      <alignment horizontal="right" vertical="center"/>
      <protection hidden="1"/>
    </xf>
    <xf numFmtId="1" fontId="28" fillId="24" borderId="21" xfId="0" applyNumberFormat="1" applyFont="1" applyFill="1" applyBorder="1" applyAlignment="1" applyProtection="1">
      <alignment horizontal="right"/>
      <protection hidden="1"/>
    </xf>
    <xf numFmtId="1" fontId="28" fillId="24" borderId="21" xfId="0" applyNumberFormat="1" applyFont="1" applyFill="1" applyBorder="1" applyAlignment="1" applyProtection="1">
      <alignment horizontal="right" vertical="top" wrapText="1"/>
      <protection hidden="1"/>
    </xf>
    <xf numFmtId="0" fontId="3" fillId="24" borderId="21" xfId="0" applyFont="1" applyFill="1" applyBorder="1" applyAlignment="1" applyProtection="1">
      <alignment horizontal="left" vertical="center" wrapText="1"/>
    </xf>
    <xf numFmtId="0" fontId="3" fillId="24" borderId="21" xfId="0" applyFont="1" applyFill="1" applyBorder="1" applyAlignment="1" applyProtection="1">
      <alignment horizontal="center" vertical="center"/>
    </xf>
    <xf numFmtId="0" fontId="3" fillId="24" borderId="21" xfId="0" applyFont="1" applyFill="1" applyBorder="1" applyAlignment="1" applyProtection="1">
      <alignment horizontal="center" vertical="top" wrapText="1"/>
    </xf>
    <xf numFmtId="0" fontId="3" fillId="24" borderId="21" xfId="0" applyFont="1" applyFill="1" applyBorder="1" applyAlignment="1" applyProtection="1">
      <alignment horizontal="center" vertical="center" wrapText="1"/>
    </xf>
    <xf numFmtId="1" fontId="28" fillId="24" borderId="21" xfId="0" applyNumberFormat="1" applyFont="1" applyFill="1" applyBorder="1" applyAlignment="1" applyProtection="1">
      <alignment horizontal="right" vertical="center"/>
      <protection hidden="1"/>
    </xf>
    <xf numFmtId="0" fontId="57" fillId="26" borderId="0" xfId="0" applyFont="1" applyFill="1" applyProtection="1"/>
    <xf numFmtId="0" fontId="7" fillId="24" borderId="19" xfId="0" applyFont="1" applyFill="1" applyBorder="1" applyAlignment="1">
      <alignment horizontal="center"/>
    </xf>
    <xf numFmtId="168" fontId="5" fillId="26" borderId="10" xfId="0" applyNumberFormat="1" applyFont="1" applyFill="1" applyBorder="1" applyAlignment="1" applyProtection="1">
      <alignment horizontal="left" vertical="center" wrapText="1"/>
    </xf>
    <xf numFmtId="0" fontId="26" fillId="27" borderId="20" xfId="0" applyFont="1" applyFill="1" applyBorder="1" applyAlignment="1">
      <alignment horizontal="left" vertical="center"/>
    </xf>
    <xf numFmtId="0" fontId="32" fillId="25" borderId="10" xfId="0" applyFont="1" applyFill="1" applyBorder="1" applyAlignment="1" applyProtection="1">
      <alignment horizontal="left" vertical="center" wrapText="1"/>
      <protection locked="0"/>
    </xf>
    <xf numFmtId="0" fontId="27" fillId="0" borderId="0" xfId="0" applyFont="1" applyBorder="1" applyAlignment="1">
      <alignment horizontal="center" vertical="top"/>
    </xf>
    <xf numFmtId="1" fontId="28" fillId="0" borderId="0" xfId="0" applyNumberFormat="1" applyFont="1" applyBorder="1" applyAlignment="1" applyProtection="1">
      <alignment horizontal="right" vertical="center"/>
      <protection hidden="1"/>
    </xf>
    <xf numFmtId="1" fontId="28" fillId="0" borderId="0" xfId="0" applyNumberFormat="1" applyFont="1" applyBorder="1" applyAlignment="1" applyProtection="1">
      <alignment vertical="center"/>
      <protection hidden="1"/>
    </xf>
    <xf numFmtId="0" fontId="3" fillId="0" borderId="23" xfId="0" applyFont="1" applyFill="1" applyBorder="1" applyAlignment="1" applyProtection="1">
      <alignment horizontal="center"/>
    </xf>
    <xf numFmtId="0" fontId="3" fillId="0" borderId="11" xfId="0" applyFont="1" applyFill="1" applyBorder="1" applyAlignment="1" applyProtection="1">
      <alignment horizontal="center"/>
    </xf>
    <xf numFmtId="165" fontId="29" fillId="24" borderId="16" xfId="0" applyNumberFormat="1" applyFont="1" applyFill="1" applyBorder="1" applyAlignment="1" applyProtection="1">
      <alignment horizontal="center" vertical="top"/>
    </xf>
    <xf numFmtId="165" fontId="29" fillId="24" borderId="13" xfId="0" applyNumberFormat="1" applyFont="1" applyFill="1" applyBorder="1" applyAlignment="1" applyProtection="1">
      <alignment horizontal="center" vertical="top"/>
    </xf>
    <xf numFmtId="165" fontId="29" fillId="24" borderId="17" xfId="0" applyNumberFormat="1" applyFont="1" applyFill="1" applyBorder="1" applyAlignment="1" applyProtection="1">
      <alignment vertical="top"/>
    </xf>
    <xf numFmtId="165" fontId="29" fillId="24" borderId="20" xfId="0" applyNumberFormat="1" applyFont="1" applyFill="1" applyBorder="1" applyAlignment="1" applyProtection="1">
      <alignment vertical="top"/>
    </xf>
    <xf numFmtId="0" fontId="3" fillId="24" borderId="0" xfId="0" applyFont="1" applyFill="1" applyBorder="1" applyAlignment="1" applyProtection="1"/>
    <xf numFmtId="1" fontId="5" fillId="24" borderId="21" xfId="0" applyNumberFormat="1" applyFont="1" applyFill="1" applyBorder="1" applyAlignment="1" applyProtection="1">
      <alignment horizontal="right"/>
    </xf>
    <xf numFmtId="1" fontId="5" fillId="24" borderId="0" xfId="0" applyNumberFormat="1" applyFont="1" applyFill="1" applyBorder="1" applyAlignment="1" applyProtection="1">
      <alignment horizontal="right"/>
    </xf>
    <xf numFmtId="0" fontId="3" fillId="24" borderId="21" xfId="0" applyFont="1" applyFill="1" applyBorder="1" applyAlignment="1" applyProtection="1">
      <alignment horizontal="left"/>
    </xf>
    <xf numFmtId="0" fontId="3" fillId="24" borderId="0" xfId="0" applyFont="1" applyFill="1" applyBorder="1" applyAlignment="1" applyProtection="1">
      <alignment horizontal="center"/>
    </xf>
    <xf numFmtId="49" fontId="5" fillId="24" borderId="21" xfId="0" applyNumberFormat="1" applyFont="1" applyFill="1" applyBorder="1" applyAlignment="1" applyProtection="1">
      <alignment horizontal="left" vertical="center" wrapText="1"/>
    </xf>
    <xf numFmtId="49" fontId="5" fillId="24" borderId="0" xfId="0" applyNumberFormat="1" applyFont="1" applyFill="1" applyBorder="1" applyAlignment="1" applyProtection="1">
      <alignment horizontal="left" vertical="center" wrapText="1"/>
    </xf>
    <xf numFmtId="1" fontId="5" fillId="24" borderId="21" xfId="0" applyNumberFormat="1" applyFont="1" applyFill="1" applyBorder="1" applyAlignment="1" applyProtection="1">
      <alignment horizontal="right" vertical="center" wrapText="1"/>
    </xf>
    <xf numFmtId="1" fontId="5" fillId="24" borderId="0" xfId="0" applyNumberFormat="1" applyFont="1" applyFill="1" applyBorder="1" applyAlignment="1" applyProtection="1">
      <alignment horizontal="right" vertical="center" wrapText="1"/>
    </xf>
    <xf numFmtId="0" fontId="57" fillId="0" borderId="39" xfId="0" applyFont="1" applyBorder="1" applyProtection="1"/>
    <xf numFmtId="0" fontId="57" fillId="0" borderId="30" xfId="0" applyFont="1" applyBorder="1" applyProtection="1"/>
    <xf numFmtId="0" fontId="0" fillId="0" borderId="0" xfId="0" applyBorder="1"/>
    <xf numFmtId="0" fontId="27" fillId="0" borderId="0" xfId="0" applyFont="1" applyFill="1" applyBorder="1" applyAlignment="1" applyProtection="1">
      <alignment horizontal="center"/>
    </xf>
    <xf numFmtId="1" fontId="28" fillId="0" borderId="0" xfId="0" applyNumberFormat="1" applyFont="1" applyFill="1" applyBorder="1" applyAlignment="1" applyProtection="1">
      <alignment horizontal="right"/>
      <protection hidden="1"/>
    </xf>
    <xf numFmtId="0" fontId="27" fillId="24" borderId="0" xfId="0" applyFont="1" applyFill="1" applyBorder="1" applyAlignment="1">
      <alignment vertical="center" wrapText="1"/>
    </xf>
    <xf numFmtId="1" fontId="28" fillId="24" borderId="12" xfId="0" applyNumberFormat="1" applyFont="1" applyFill="1" applyBorder="1" applyAlignment="1" applyProtection="1">
      <alignment horizontal="right" vertical="center" wrapText="1"/>
    </xf>
    <xf numFmtId="1" fontId="5" fillId="25" borderId="14" xfId="0" applyNumberFormat="1" applyFont="1" applyFill="1" applyBorder="1" applyAlignment="1" applyProtection="1">
      <alignment horizontal="right" vertical="center" wrapText="1"/>
      <protection locked="0" hidden="1"/>
    </xf>
    <xf numFmtId="0" fontId="7" fillId="26" borderId="17" xfId="0" applyFont="1" applyFill="1" applyBorder="1" applyAlignment="1" applyProtection="1">
      <alignment horizontal="center" vertical="center" wrapText="1"/>
      <protection hidden="1"/>
    </xf>
    <xf numFmtId="49" fontId="5" fillId="25" borderId="19" xfId="878" applyNumberFormat="1" applyFont="1" applyFill="1" applyBorder="1" applyAlignment="1" applyProtection="1">
      <alignment horizontal="left" vertical="center" wrapText="1"/>
      <protection locked="0"/>
    </xf>
    <xf numFmtId="49" fontId="66" fillId="0" borderId="19" xfId="878" applyNumberFormat="1" applyFont="1" applyFill="1" applyBorder="1" applyAlignment="1" applyProtection="1">
      <alignment horizontal="left" vertical="top" wrapText="1"/>
    </xf>
    <xf numFmtId="0" fontId="32" fillId="24" borderId="21" xfId="0" applyFont="1" applyFill="1" applyBorder="1"/>
    <xf numFmtId="0" fontId="3" fillId="0" borderId="0" xfId="878" applyFont="1" applyFill="1" applyBorder="1" applyAlignment="1">
      <alignment horizontal="center" vertical="top" wrapText="1"/>
    </xf>
    <xf numFmtId="49" fontId="5" fillId="0" borderId="0" xfId="878" applyNumberFormat="1" applyFont="1" applyFill="1" applyBorder="1" applyAlignment="1" applyProtection="1">
      <alignment horizontal="left" vertical="top" wrapText="1"/>
    </xf>
    <xf numFmtId="0" fontId="3" fillId="24" borderId="21" xfId="878" applyFont="1" applyFill="1" applyBorder="1" applyAlignment="1">
      <alignment horizontal="left" vertical="top" wrapText="1"/>
    </xf>
    <xf numFmtId="0" fontId="5" fillId="24" borderId="21" xfId="878" applyFont="1" applyFill="1" applyBorder="1" applyAlignment="1">
      <alignment vertical="top" wrapText="1"/>
    </xf>
    <xf numFmtId="0" fontId="32" fillId="0" borderId="39" xfId="0" applyFont="1" applyBorder="1" applyAlignment="1">
      <alignment vertical="center"/>
    </xf>
    <xf numFmtId="0" fontId="3" fillId="0" borderId="39" xfId="878" applyFont="1" applyFill="1" applyBorder="1" applyAlignment="1">
      <alignment horizontal="center" vertical="top" wrapText="1"/>
    </xf>
    <xf numFmtId="0" fontId="3" fillId="0" borderId="21" xfId="878" applyFont="1" applyBorder="1" applyAlignment="1">
      <alignment horizontal="center" vertical="top" wrapText="1"/>
    </xf>
    <xf numFmtId="1" fontId="5" fillId="25" borderId="10" xfId="0" quotePrefix="1" applyNumberFormat="1" applyFont="1" applyFill="1" applyBorder="1" applyAlignment="1" applyProtection="1">
      <alignment horizontal="left" vertical="center" wrapText="1"/>
      <protection locked="0"/>
    </xf>
    <xf numFmtId="0" fontId="29" fillId="0" borderId="0" xfId="877" applyFont="1" applyBorder="1"/>
    <xf numFmtId="0" fontId="45" fillId="0" borderId="0" xfId="0" applyFont="1" applyBorder="1"/>
    <xf numFmtId="0" fontId="3" fillId="0" borderId="21" xfId="0" applyFont="1" applyFill="1" applyBorder="1" applyProtection="1"/>
    <xf numFmtId="2" fontId="28" fillId="24" borderId="10" xfId="0" applyNumberFormat="1" applyFont="1" applyFill="1" applyBorder="1" applyAlignment="1" applyProtection="1">
      <alignment horizontal="right" vertical="center"/>
      <protection hidden="1"/>
    </xf>
    <xf numFmtId="0" fontId="65" fillId="24" borderId="33" xfId="0" applyFont="1" applyFill="1" applyBorder="1" applyAlignment="1">
      <alignment horizontal="left" vertical="top" wrapText="1"/>
    </xf>
    <xf numFmtId="0" fontId="3" fillId="0" borderId="21" xfId="878" applyFont="1" applyBorder="1" applyAlignment="1">
      <alignment horizontal="left" vertical="center" wrapText="1"/>
    </xf>
    <xf numFmtId="0" fontId="3" fillId="0" borderId="21" xfId="878" applyFont="1" applyBorder="1" applyAlignment="1">
      <alignment horizontal="center" vertical="center" wrapText="1"/>
    </xf>
    <xf numFmtId="2" fontId="5" fillId="0" borderId="21" xfId="878" applyNumberFormat="1" applyFont="1" applyFill="1" applyBorder="1" applyAlignment="1" applyProtection="1">
      <alignment horizontal="right" vertical="center" wrapText="1"/>
    </xf>
    <xf numFmtId="0" fontId="58" fillId="24" borderId="23" xfId="0" applyFont="1" applyFill="1" applyBorder="1" applyAlignment="1">
      <alignment horizontal="left" vertical="center"/>
    </xf>
    <xf numFmtId="0" fontId="32" fillId="29" borderId="0" xfId="0" applyFont="1" applyFill="1" applyBorder="1"/>
    <xf numFmtId="0" fontId="26" fillId="27" borderId="10" xfId="0" applyFont="1" applyFill="1" applyBorder="1" applyAlignment="1">
      <alignment vertical="top" wrapText="1"/>
    </xf>
    <xf numFmtId="0" fontId="3" fillId="24" borderId="13" xfId="0" applyFont="1" applyFill="1" applyBorder="1" applyAlignment="1"/>
    <xf numFmtId="0" fontId="3" fillId="0" borderId="14" xfId="0" applyFont="1" applyBorder="1" applyAlignment="1">
      <alignment horizontal="left" wrapText="1"/>
    </xf>
    <xf numFmtId="1" fontId="5" fillId="24" borderId="14" xfId="0" applyNumberFormat="1" applyFont="1" applyFill="1" applyBorder="1" applyAlignment="1" applyProtection="1">
      <alignment horizontal="right" vertical="center"/>
      <protection hidden="1"/>
    </xf>
    <xf numFmtId="1" fontId="5" fillId="25" borderId="14" xfId="0" applyNumberFormat="1" applyFont="1" applyFill="1" applyBorder="1" applyAlignment="1" applyProtection="1">
      <alignment horizontal="right" vertical="center"/>
      <protection locked="0" hidden="1"/>
    </xf>
    <xf numFmtId="0" fontId="3" fillId="0" borderId="21" xfId="0" applyFont="1" applyBorder="1" applyAlignment="1">
      <alignment horizontal="left" wrapText="1"/>
    </xf>
    <xf numFmtId="0" fontId="3" fillId="24" borderId="21" xfId="0" applyFont="1" applyFill="1" applyBorder="1" applyAlignment="1">
      <alignment horizontal="left" vertical="top" wrapText="1"/>
    </xf>
    <xf numFmtId="18" fontId="35" fillId="0" borderId="10" xfId="803" applyNumberFormat="1" applyFont="1" applyBorder="1" applyAlignment="1" applyProtection="1">
      <alignment vertical="center"/>
    </xf>
    <xf numFmtId="0" fontId="35" fillId="0" borderId="10" xfId="803" quotePrefix="1" applyFont="1" applyBorder="1" applyAlignment="1" applyProtection="1">
      <alignment vertical="center"/>
    </xf>
    <xf numFmtId="0" fontId="32" fillId="0" borderId="0" xfId="0" applyFont="1" applyAlignment="1">
      <alignment horizontal="left"/>
    </xf>
    <xf numFmtId="0" fontId="32" fillId="0" borderId="10" xfId="0" applyFont="1" applyBorder="1" applyAlignment="1">
      <alignment horizontal="left" vertical="center"/>
    </xf>
    <xf numFmtId="0" fontId="32" fillId="0" borderId="10" xfId="0" applyFont="1" applyBorder="1" applyAlignment="1">
      <alignment horizontal="left"/>
    </xf>
    <xf numFmtId="0" fontId="32" fillId="0" borderId="14" xfId="0" applyFont="1" applyBorder="1"/>
    <xf numFmtId="0" fontId="29" fillId="0" borderId="0" xfId="0" applyFont="1" applyBorder="1" applyAlignment="1">
      <alignment horizontal="center"/>
    </xf>
    <xf numFmtId="0" fontId="32" fillId="0" borderId="0" xfId="0" applyFont="1" applyBorder="1" applyAlignment="1">
      <alignment horizontal="left" vertical="center"/>
    </xf>
    <xf numFmtId="0" fontId="29" fillId="0" borderId="10" xfId="0" applyFont="1" applyBorder="1" applyAlignment="1">
      <alignment horizontal="center" wrapText="1"/>
    </xf>
    <xf numFmtId="0" fontId="32" fillId="0" borderId="10" xfId="0" applyFont="1" applyBorder="1" applyAlignment="1">
      <alignment horizontal="left" vertical="center" indent="2"/>
    </xf>
    <xf numFmtId="0" fontId="65" fillId="24" borderId="43" xfId="0" applyFont="1" applyFill="1" applyBorder="1" applyAlignment="1">
      <alignment horizontal="left" vertical="top" wrapText="1"/>
    </xf>
    <xf numFmtId="0" fontId="65" fillId="24" borderId="44" xfId="0" applyFont="1" applyFill="1" applyBorder="1" applyAlignment="1">
      <alignment horizontal="left" vertical="top" wrapText="1"/>
    </xf>
    <xf numFmtId="0" fontId="65" fillId="24" borderId="10" xfId="0" applyFont="1" applyFill="1" applyBorder="1" applyAlignment="1">
      <alignment horizontal="left" vertical="top" wrapText="1"/>
    </xf>
    <xf numFmtId="0" fontId="32" fillId="0" borderId="10" xfId="0" applyFont="1" applyBorder="1" applyAlignment="1">
      <alignment wrapText="1"/>
    </xf>
    <xf numFmtId="0" fontId="32" fillId="0" borderId="0" xfId="0" applyFont="1" applyBorder="1" applyAlignment="1">
      <alignment wrapText="1"/>
    </xf>
    <xf numFmtId="0" fontId="32" fillId="0" borderId="0" xfId="0" applyFont="1" applyAlignment="1">
      <alignment wrapText="1"/>
    </xf>
    <xf numFmtId="0" fontId="5" fillId="0" borderId="10" xfId="892" applyFont="1" applyFill="1" applyBorder="1" applyAlignment="1">
      <alignment horizontal="left" vertical="center"/>
    </xf>
    <xf numFmtId="0" fontId="32" fillId="0" borderId="14" xfId="0" applyFont="1" applyBorder="1" applyAlignment="1">
      <alignment horizontal="left"/>
    </xf>
    <xf numFmtId="0" fontId="5" fillId="0" borderId="10" xfId="0" applyFont="1" applyFill="1" applyBorder="1" applyAlignment="1">
      <alignment horizontal="left"/>
    </xf>
    <xf numFmtId="0" fontId="5" fillId="0" borderId="11" xfId="0" applyFont="1" applyBorder="1" applyAlignment="1">
      <alignment horizontal="left" vertical="center"/>
    </xf>
    <xf numFmtId="0" fontId="32" fillId="0" borderId="14" xfId="0" applyFont="1" applyBorder="1" applyAlignment="1">
      <alignment horizontal="left" vertical="center" wrapText="1"/>
    </xf>
    <xf numFmtId="0" fontId="32" fillId="0" borderId="10" xfId="877" applyFont="1" applyBorder="1" applyAlignment="1">
      <alignment horizontal="left"/>
    </xf>
    <xf numFmtId="0" fontId="32" fillId="0" borderId="11" xfId="0" applyFont="1" applyBorder="1" applyAlignment="1">
      <alignment horizontal="left"/>
    </xf>
    <xf numFmtId="0" fontId="32" fillId="0" borderId="0" xfId="0" applyFont="1" applyBorder="1" applyAlignment="1">
      <alignment horizontal="left"/>
    </xf>
    <xf numFmtId="0" fontId="65" fillId="0" borderId="10" xfId="0" applyFont="1" applyFill="1" applyBorder="1" applyAlignment="1">
      <alignment horizontal="left"/>
    </xf>
    <xf numFmtId="0" fontId="65" fillId="0" borderId="10" xfId="0" applyFont="1" applyBorder="1" applyAlignment="1">
      <alignment horizontal="left"/>
    </xf>
    <xf numFmtId="0" fontId="32" fillId="0" borderId="14" xfId="877" applyFont="1" applyBorder="1" applyAlignment="1">
      <alignment horizontal="left"/>
    </xf>
    <xf numFmtId="0" fontId="29" fillId="0" borderId="0" xfId="0" applyFont="1" applyAlignment="1">
      <alignment horizontal="left"/>
    </xf>
    <xf numFmtId="0" fontId="31" fillId="0" borderId="0" xfId="0" applyFont="1" applyAlignment="1">
      <alignment horizontal="left"/>
    </xf>
    <xf numFmtId="0" fontId="29" fillId="0" borderId="0" xfId="0" applyFont="1" applyBorder="1" applyAlignment="1">
      <alignment horizontal="left"/>
    </xf>
    <xf numFmtId="0" fontId="65" fillId="0" borderId="0" xfId="0" applyFont="1" applyFill="1" applyBorder="1" applyAlignment="1">
      <alignment horizontal="left" vertical="center"/>
    </xf>
    <xf numFmtId="0" fontId="32" fillId="0" borderId="0" xfId="877" applyFont="1" applyAlignment="1">
      <alignment horizontal="left"/>
    </xf>
    <xf numFmtId="49" fontId="5" fillId="0" borderId="10" xfId="0" applyNumberFormat="1" applyFont="1" applyBorder="1" applyAlignment="1">
      <alignment horizontal="left" vertical="center"/>
    </xf>
    <xf numFmtId="0" fontId="5" fillId="0" borderId="0" xfId="879" applyFont="1" applyFill="1" applyBorder="1" applyAlignment="1">
      <alignment horizontal="left" wrapText="1"/>
    </xf>
    <xf numFmtId="0" fontId="5" fillId="0" borderId="0" xfId="883" applyFont="1" applyFill="1" applyBorder="1" applyAlignment="1">
      <alignment horizontal="left" vertical="center" wrapText="1"/>
    </xf>
    <xf numFmtId="0" fontId="32" fillId="24" borderId="0" xfId="877" applyFont="1" applyFill="1" applyAlignment="1">
      <alignment horizontal="left"/>
    </xf>
    <xf numFmtId="0" fontId="32" fillId="0" borderId="0" xfId="877" applyFont="1" applyFill="1" applyAlignment="1">
      <alignment horizontal="left"/>
    </xf>
    <xf numFmtId="0" fontId="5" fillId="24" borderId="10" xfId="879" applyNumberFormat="1" applyFont="1" applyFill="1" applyBorder="1" applyAlignment="1">
      <alignment horizontal="left" vertical="center"/>
    </xf>
    <xf numFmtId="0" fontId="0" fillId="0" borderId="19" xfId="0" applyBorder="1"/>
    <xf numFmtId="0" fontId="0" fillId="0" borderId="11" xfId="0" applyBorder="1"/>
    <xf numFmtId="0" fontId="5" fillId="24" borderId="10" xfId="0" applyFont="1" applyFill="1" applyBorder="1" applyAlignment="1" applyProtection="1">
      <alignment horizontal="right" vertical="center" wrapText="1"/>
      <protection hidden="1"/>
    </xf>
    <xf numFmtId="1" fontId="5" fillId="25" borderId="13" xfId="0" applyNumberFormat="1" applyFont="1" applyFill="1" applyBorder="1" applyAlignment="1" applyProtection="1">
      <alignment horizontal="center" vertical="center"/>
      <protection locked="0"/>
    </xf>
    <xf numFmtId="1" fontId="57" fillId="0" borderId="0" xfId="0" applyNumberFormat="1" applyFont="1" applyBorder="1"/>
    <xf numFmtId="1" fontId="5" fillId="25" borderId="16" xfId="0" applyNumberFormat="1" applyFont="1" applyFill="1" applyBorder="1" applyAlignment="1" applyProtection="1">
      <alignment horizontal="right"/>
      <protection hidden="1"/>
    </xf>
    <xf numFmtId="0" fontId="5" fillId="34" borderId="16" xfId="0" applyFont="1" applyFill="1" applyBorder="1" applyProtection="1">
      <protection hidden="1"/>
    </xf>
    <xf numFmtId="0" fontId="5" fillId="34" borderId="12" xfId="0" applyFont="1" applyFill="1" applyBorder="1" applyAlignment="1" applyProtection="1">
      <alignment horizontal="center" vertical="center"/>
      <protection hidden="1"/>
    </xf>
    <xf numFmtId="0" fontId="3" fillId="0" borderId="20" xfId="878" applyFont="1" applyBorder="1" applyAlignment="1">
      <alignment horizontal="left" vertical="center" wrapText="1"/>
    </xf>
    <xf numFmtId="0" fontId="3" fillId="0" borderId="15" xfId="878" applyFont="1" applyBorder="1" applyAlignment="1">
      <alignment horizontal="left" vertical="center" wrapText="1"/>
    </xf>
    <xf numFmtId="0" fontId="4" fillId="0" borderId="10" xfId="803" applyBorder="1" applyAlignment="1" applyProtection="1">
      <alignment vertical="center"/>
    </xf>
    <xf numFmtId="0" fontId="29" fillId="0" borderId="11" xfId="0" applyFont="1" applyBorder="1" applyAlignment="1">
      <alignment vertical="top"/>
    </xf>
    <xf numFmtId="0" fontId="3" fillId="24" borderId="22"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 fillId="24" borderId="24" xfId="0" applyFont="1" applyFill="1" applyBorder="1" applyAlignment="1">
      <alignment horizontal="center" vertical="top" wrapText="1"/>
    </xf>
    <xf numFmtId="0" fontId="3" fillId="24" borderId="18" xfId="0" applyFont="1" applyFill="1" applyBorder="1" applyAlignment="1">
      <alignment horizontal="center" vertical="top" wrapText="1"/>
    </xf>
    <xf numFmtId="0" fontId="70" fillId="0" borderId="0" xfId="0" applyFont="1" applyAlignment="1">
      <alignment horizontal="center" vertical="center"/>
    </xf>
    <xf numFmtId="0" fontId="70" fillId="0" borderId="0" xfId="0" applyFont="1" applyAlignment="1">
      <alignment horizontal="left" vertical="center" wrapText="1"/>
    </xf>
    <xf numFmtId="0" fontId="70" fillId="0" borderId="0" xfId="0" applyFont="1"/>
    <xf numFmtId="1" fontId="5" fillId="24" borderId="21" xfId="0" applyNumberFormat="1" applyFont="1" applyFill="1" applyBorder="1" applyAlignment="1" applyProtection="1">
      <alignment horizontal="right" vertical="center" wrapText="1"/>
      <protection locked="0"/>
    </xf>
    <xf numFmtId="165" fontId="29" fillId="0" borderId="14" xfId="0" applyNumberFormat="1" applyFont="1" applyBorder="1" applyAlignment="1">
      <alignment horizontal="center"/>
    </xf>
    <xf numFmtId="0" fontId="5" fillId="24" borderId="16" xfId="0" applyFont="1" applyFill="1" applyBorder="1"/>
    <xf numFmtId="0" fontId="3" fillId="26" borderId="21" xfId="0" applyFont="1" applyFill="1" applyBorder="1" applyAlignment="1">
      <alignment horizontal="left"/>
    </xf>
    <xf numFmtId="0" fontId="5" fillId="26" borderId="23" xfId="0" applyFont="1" applyFill="1" applyBorder="1" applyAlignment="1">
      <alignment horizontal="left"/>
    </xf>
    <xf numFmtId="0" fontId="40" fillId="27" borderId="0" xfId="0" applyFont="1" applyFill="1" applyBorder="1" applyAlignment="1">
      <alignment vertical="center" wrapText="1"/>
    </xf>
    <xf numFmtId="1" fontId="5" fillId="26" borderId="10" xfId="0" applyNumberFormat="1" applyFont="1" applyFill="1" applyBorder="1" applyAlignment="1" applyProtection="1">
      <alignment horizontal="right"/>
      <protection hidden="1"/>
    </xf>
    <xf numFmtId="0" fontId="3" fillId="0" borderId="17" xfId="0" applyFont="1" applyBorder="1" applyAlignment="1">
      <alignment horizontal="center" vertical="center" wrapText="1"/>
    </xf>
    <xf numFmtId="0" fontId="5" fillId="26" borderId="12" xfId="0" applyFont="1" applyFill="1" applyBorder="1" applyAlignment="1">
      <alignment vertical="center" wrapText="1"/>
    </xf>
    <xf numFmtId="49" fontId="27" fillId="26" borderId="17" xfId="0" applyNumberFormat="1" applyFont="1" applyFill="1" applyBorder="1" applyAlignment="1" applyProtection="1">
      <alignment vertical="center" wrapText="1"/>
      <protection hidden="1"/>
    </xf>
    <xf numFmtId="49" fontId="3" fillId="26" borderId="20" xfId="0" applyNumberFormat="1" applyFont="1" applyFill="1" applyBorder="1" applyAlignment="1" applyProtection="1">
      <alignment vertical="center" wrapText="1"/>
      <protection hidden="1"/>
    </xf>
    <xf numFmtId="49" fontId="27" fillId="26" borderId="12" xfId="0" applyNumberFormat="1" applyFont="1" applyFill="1" applyBorder="1" applyAlignment="1" applyProtection="1">
      <alignment vertical="center" wrapText="1"/>
      <protection hidden="1"/>
    </xf>
    <xf numFmtId="49" fontId="27" fillId="26" borderId="13" xfId="0" applyNumberFormat="1" applyFont="1" applyFill="1" applyBorder="1" applyAlignment="1" applyProtection="1">
      <alignment vertical="center" wrapText="1"/>
      <protection hidden="1"/>
    </xf>
    <xf numFmtId="0" fontId="27" fillId="0" borderId="17"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3" fillId="26" borderId="22" xfId="0" applyFont="1" applyFill="1" applyBorder="1" applyAlignment="1" applyProtection="1">
      <alignment horizontal="center"/>
    </xf>
    <xf numFmtId="0" fontId="3" fillId="26" borderId="23" xfId="0" applyFont="1" applyFill="1" applyBorder="1" applyAlignment="1" applyProtection="1">
      <alignment horizontal="center"/>
    </xf>
    <xf numFmtId="0" fontId="3" fillId="26" borderId="20" xfId="0" applyFont="1" applyFill="1" applyBorder="1" applyAlignment="1" applyProtection="1">
      <alignment horizontal="center"/>
    </xf>
    <xf numFmtId="0" fontId="3" fillId="26" borderId="24" xfId="0" applyFont="1" applyFill="1" applyBorder="1" applyAlignment="1" applyProtection="1">
      <alignment horizontal="center"/>
    </xf>
    <xf numFmtId="0" fontId="3" fillId="0" borderId="0" xfId="0" applyFont="1" applyBorder="1" applyAlignment="1" applyProtection="1">
      <alignment horizontal="center" vertical="center" textRotation="90"/>
    </xf>
    <xf numFmtId="0" fontId="3" fillId="24" borderId="0" xfId="0" applyFont="1" applyFill="1" applyBorder="1" applyAlignment="1" applyProtection="1">
      <alignment vertical="center" textRotation="90"/>
      <protection hidden="1"/>
    </xf>
    <xf numFmtId="0" fontId="3" fillId="24" borderId="24" xfId="0" applyFont="1" applyFill="1" applyBorder="1" applyAlignment="1" applyProtection="1">
      <alignment vertical="center" textRotation="90"/>
      <protection hidden="1"/>
    </xf>
    <xf numFmtId="0" fontId="3" fillId="24" borderId="0" xfId="0" applyFont="1" applyFill="1" applyBorder="1" applyAlignment="1" applyProtection="1">
      <alignment vertical="center" textRotation="90"/>
    </xf>
    <xf numFmtId="0" fontId="3" fillId="0" borderId="24" xfId="0" applyFont="1" applyBorder="1" applyAlignment="1" applyProtection="1">
      <alignment vertical="center" textRotation="90"/>
    </xf>
    <xf numFmtId="0" fontId="27" fillId="0" borderId="18" xfId="0" applyFont="1" applyFill="1" applyBorder="1" applyAlignment="1" applyProtection="1">
      <alignment horizontal="center" vertical="top"/>
    </xf>
    <xf numFmtId="0" fontId="3" fillId="0" borderId="11" xfId="0" applyFont="1" applyBorder="1" applyAlignment="1" applyProtection="1">
      <alignment vertical="top" wrapText="1"/>
    </xf>
    <xf numFmtId="0" fontId="3" fillId="24" borderId="23" xfId="0" applyFont="1" applyFill="1" applyBorder="1" applyAlignment="1" applyProtection="1">
      <alignment vertical="top" wrapText="1"/>
    </xf>
    <xf numFmtId="0" fontId="3" fillId="24" borderId="24" xfId="0" applyFont="1" applyFill="1" applyBorder="1" applyAlignment="1" applyProtection="1">
      <alignment vertical="top" wrapText="1"/>
    </xf>
    <xf numFmtId="0" fontId="3" fillId="0" borderId="11" xfId="0" applyFont="1" applyBorder="1" applyAlignment="1" applyProtection="1">
      <alignment vertical="top"/>
    </xf>
    <xf numFmtId="0" fontId="3" fillId="0" borderId="12" xfId="0" applyFont="1" applyBorder="1" applyAlignment="1" applyProtection="1">
      <alignment vertical="center" textRotation="90"/>
      <protection hidden="1"/>
    </xf>
    <xf numFmtId="0" fontId="3" fillId="24" borderId="13" xfId="0" applyFont="1" applyFill="1" applyBorder="1" applyAlignment="1" applyProtection="1">
      <alignment vertical="center" textRotation="90"/>
    </xf>
    <xf numFmtId="0" fontId="32" fillId="24" borderId="10" xfId="0" applyFont="1" applyFill="1" applyBorder="1" applyProtection="1">
      <protection hidden="1"/>
    </xf>
    <xf numFmtId="0" fontId="32" fillId="37" borderId="10" xfId="0" applyFont="1" applyFill="1" applyBorder="1" applyAlignment="1" applyProtection="1">
      <alignment horizontal="center"/>
      <protection hidden="1"/>
    </xf>
    <xf numFmtId="1" fontId="5" fillId="0" borderId="10" xfId="0" applyNumberFormat="1" applyFont="1" applyBorder="1"/>
    <xf numFmtId="0" fontId="29" fillId="24" borderId="22" xfId="0" applyFont="1" applyFill="1" applyBorder="1"/>
    <xf numFmtId="0" fontId="57" fillId="43" borderId="10" xfId="0" applyFont="1" applyFill="1" applyBorder="1"/>
    <xf numFmtId="0" fontId="32" fillId="0" borderId="20" xfId="0" applyFont="1" applyBorder="1"/>
    <xf numFmtId="0" fontId="32" fillId="36" borderId="10" xfId="0" applyFont="1" applyFill="1" applyBorder="1" applyAlignment="1" applyProtection="1">
      <alignment horizontal="center"/>
      <protection hidden="1"/>
    </xf>
    <xf numFmtId="0" fontId="0" fillId="0" borderId="0" xfId="0"/>
    <xf numFmtId="0" fontId="29" fillId="0" borderId="19" xfId="0" applyFont="1" applyBorder="1" applyAlignment="1">
      <alignment horizontal="left" vertical="center" wrapText="1"/>
    </xf>
    <xf numFmtId="0" fontId="29" fillId="0" borderId="14" xfId="0" applyFont="1" applyBorder="1" applyAlignment="1">
      <alignment horizontal="left" vertical="center"/>
    </xf>
    <xf numFmtId="0" fontId="29" fillId="0" borderId="19" xfId="0" applyFont="1" applyBorder="1" applyAlignment="1" applyProtection="1">
      <alignment horizontal="left" vertical="center"/>
    </xf>
    <xf numFmtId="0" fontId="27" fillId="0" borderId="19" xfId="0" applyFont="1" applyFill="1" applyBorder="1" applyAlignment="1" applyProtection="1">
      <alignment horizontal="left" vertical="center"/>
    </xf>
    <xf numFmtId="0" fontId="3" fillId="0" borderId="14" xfId="0" applyFont="1" applyBorder="1" applyAlignment="1" applyProtection="1">
      <alignment horizontal="left" vertical="center"/>
    </xf>
    <xf numFmtId="0" fontId="3" fillId="0" borderId="19" xfId="0" applyFont="1" applyBorder="1" applyAlignment="1" applyProtection="1">
      <alignment horizontal="left" vertical="center"/>
    </xf>
    <xf numFmtId="0" fontId="29" fillId="24" borderId="19" xfId="0" applyFont="1" applyFill="1" applyBorder="1" applyAlignment="1" applyProtection="1"/>
    <xf numFmtId="0" fontId="29" fillId="24" borderId="11" xfId="0" applyFont="1" applyFill="1" applyBorder="1" applyAlignment="1" applyProtection="1"/>
    <xf numFmtId="0" fontId="3" fillId="24" borderId="14" xfId="0" applyFont="1" applyFill="1" applyBorder="1" applyAlignment="1" applyProtection="1"/>
    <xf numFmtId="0" fontId="3" fillId="24" borderId="19" xfId="0" applyFont="1" applyFill="1" applyBorder="1" applyAlignment="1" applyProtection="1"/>
    <xf numFmtId="0" fontId="3" fillId="24" borderId="11" xfId="0" applyFont="1" applyFill="1" applyBorder="1" applyAlignment="1" applyProtection="1"/>
    <xf numFmtId="1" fontId="5" fillId="25" borderId="11" xfId="0" applyNumberFormat="1" applyFont="1" applyFill="1" applyBorder="1" applyAlignment="1" applyProtection="1">
      <alignment horizontal="right" vertical="center" wrapText="1"/>
      <protection locked="0"/>
    </xf>
    <xf numFmtId="0" fontId="3" fillId="24" borderId="19" xfId="0" applyFont="1" applyFill="1" applyBorder="1" applyAlignment="1" applyProtection="1">
      <alignment horizontal="left"/>
    </xf>
    <xf numFmtId="0" fontId="3" fillId="24" borderId="11" xfId="0" applyFont="1" applyFill="1" applyBorder="1" applyAlignment="1" applyProtection="1">
      <alignment horizontal="left"/>
    </xf>
    <xf numFmtId="0" fontId="27" fillId="0" borderId="19" xfId="0" applyFont="1" applyFill="1" applyBorder="1" applyAlignment="1" applyProtection="1">
      <alignment horizontal="left" vertical="top"/>
    </xf>
    <xf numFmtId="0" fontId="3" fillId="0" borderId="14" xfId="0" applyFont="1" applyFill="1" applyBorder="1" applyAlignment="1" applyProtection="1">
      <alignment horizontal="left" vertical="top" wrapText="1"/>
      <protection hidden="1"/>
    </xf>
    <xf numFmtId="0" fontId="3" fillId="0" borderId="12" xfId="0" applyFont="1" applyBorder="1" applyAlignment="1" applyProtection="1">
      <alignment horizontal="center" vertical="center" textRotation="90"/>
    </xf>
    <xf numFmtId="0" fontId="3" fillId="0" borderId="22" xfId="0" applyFont="1" applyFill="1" applyBorder="1" applyAlignment="1" applyProtection="1">
      <alignment horizontal="center" vertical="center"/>
    </xf>
    <xf numFmtId="0" fontId="0" fillId="0" borderId="10" xfId="0" applyBorder="1"/>
    <xf numFmtId="0" fontId="72" fillId="0" borderId="10" xfId="0" applyFont="1" applyBorder="1" applyAlignment="1">
      <alignment horizontal="center" vertical="top"/>
    </xf>
    <xf numFmtId="0" fontId="29" fillId="0" borderId="16"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11" xfId="0" applyFont="1" applyBorder="1" applyAlignment="1" applyProtection="1">
      <alignment horizontal="center" vertical="center" wrapText="1"/>
    </xf>
    <xf numFmtId="0" fontId="32" fillId="24" borderId="0" xfId="0" applyFont="1" applyFill="1" applyProtection="1">
      <protection hidden="1"/>
    </xf>
    <xf numFmtId="0" fontId="32" fillId="0" borderId="35" xfId="0" applyFont="1" applyBorder="1"/>
    <xf numFmtId="0" fontId="32" fillId="0" borderId="36" xfId="0" applyFont="1" applyBorder="1"/>
    <xf numFmtId="0" fontId="32" fillId="24" borderId="37" xfId="0" applyFont="1" applyFill="1" applyBorder="1" applyProtection="1">
      <protection hidden="1"/>
    </xf>
    <xf numFmtId="0" fontId="32" fillId="0" borderId="38" xfId="0" applyFont="1" applyBorder="1"/>
    <xf numFmtId="0" fontId="32" fillId="24" borderId="39" xfId="0" applyFont="1" applyFill="1" applyBorder="1" applyProtection="1">
      <protection hidden="1"/>
    </xf>
    <xf numFmtId="0" fontId="27" fillId="24" borderId="11" xfId="0" applyFont="1" applyFill="1" applyBorder="1" applyAlignment="1" applyProtection="1">
      <alignment horizontal="center" vertical="center"/>
    </xf>
    <xf numFmtId="1" fontId="32" fillId="0" borderId="10" xfId="0" applyNumberFormat="1" applyFont="1" applyBorder="1"/>
    <xf numFmtId="0" fontId="32" fillId="24" borderId="38" xfId="0" applyFont="1" applyFill="1" applyBorder="1"/>
    <xf numFmtId="0" fontId="32" fillId="24" borderId="10" xfId="0" applyFont="1" applyFill="1" applyBorder="1"/>
    <xf numFmtId="0" fontId="32" fillId="26" borderId="21" xfId="0" applyFont="1" applyFill="1" applyBorder="1"/>
    <xf numFmtId="0" fontId="32" fillId="26" borderId="23" xfId="0" applyFont="1" applyFill="1" applyBorder="1"/>
    <xf numFmtId="0" fontId="32" fillId="26" borderId="20" xfId="0" applyFont="1" applyFill="1" applyBorder="1"/>
    <xf numFmtId="0" fontId="32" fillId="26" borderId="24" xfId="0" applyFont="1" applyFill="1" applyBorder="1"/>
    <xf numFmtId="0" fontId="32" fillId="26" borderId="17" xfId="0" applyFont="1" applyFill="1" applyBorder="1"/>
    <xf numFmtId="0" fontId="32" fillId="26" borderId="22" xfId="0" applyFont="1" applyFill="1" applyBorder="1"/>
    <xf numFmtId="0" fontId="32" fillId="0" borderId="39" xfId="0" applyFont="1" applyBorder="1"/>
    <xf numFmtId="0" fontId="32" fillId="24" borderId="10" xfId="0" applyFont="1" applyFill="1" applyBorder="1" applyProtection="1">
      <protection locked="0"/>
    </xf>
    <xf numFmtId="1" fontId="32" fillId="24" borderId="10" xfId="0" applyNumberFormat="1" applyFont="1" applyFill="1" applyBorder="1" applyProtection="1">
      <protection hidden="1"/>
    </xf>
    <xf numFmtId="0" fontId="32" fillId="24" borderId="0" xfId="0" applyFont="1" applyFill="1" applyBorder="1" applyProtection="1">
      <protection hidden="1"/>
    </xf>
    <xf numFmtId="0" fontId="32" fillId="24" borderId="0" xfId="0" applyFont="1" applyFill="1" applyProtection="1">
      <protection locked="0"/>
    </xf>
    <xf numFmtId="0" fontId="32" fillId="24" borderId="38" xfId="0" applyFont="1" applyFill="1" applyBorder="1" applyProtection="1">
      <protection locked="0"/>
    </xf>
    <xf numFmtId="0" fontId="32" fillId="0" borderId="0" xfId="0" applyFont="1" applyProtection="1">
      <protection locked="0"/>
    </xf>
    <xf numFmtId="0" fontId="32" fillId="24" borderId="24" xfId="0" applyFont="1" applyFill="1" applyBorder="1"/>
    <xf numFmtId="0" fontId="32" fillId="26" borderId="22" xfId="0" applyFont="1" applyFill="1" applyBorder="1" applyProtection="1">
      <protection hidden="1"/>
    </xf>
    <xf numFmtId="0" fontId="32" fillId="26" borderId="22" xfId="0" applyFont="1" applyFill="1" applyBorder="1" applyAlignment="1" applyProtection="1">
      <alignment horizontal="right" vertical="center"/>
      <protection hidden="1"/>
    </xf>
    <xf numFmtId="0" fontId="32" fillId="24" borderId="22" xfId="0" applyFont="1" applyFill="1" applyBorder="1"/>
    <xf numFmtId="0" fontId="32" fillId="24" borderId="23" xfId="0" applyFont="1" applyFill="1" applyBorder="1"/>
    <xf numFmtId="1" fontId="29" fillId="0" borderId="10"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hidden="1"/>
    </xf>
    <xf numFmtId="1" fontId="32" fillId="0" borderId="0" xfId="0" applyNumberFormat="1" applyFont="1"/>
    <xf numFmtId="0" fontId="32" fillId="0" borderId="40" xfId="0" applyFont="1" applyBorder="1"/>
    <xf numFmtId="0" fontId="32" fillId="0" borderId="30" xfId="0" applyFont="1" applyBorder="1"/>
    <xf numFmtId="0" fontId="32" fillId="24" borderId="41" xfId="0" applyFont="1" applyFill="1" applyBorder="1" applyProtection="1">
      <protection hidden="1"/>
    </xf>
    <xf numFmtId="0" fontId="32" fillId="0" borderId="0" xfId="0" applyFont="1" applyBorder="1" applyAlignment="1">
      <alignment vertical="center"/>
    </xf>
    <xf numFmtId="0" fontId="32" fillId="0" borderId="0" xfId="0" applyFont="1" applyBorder="1" applyAlignment="1">
      <alignment horizontal="right" vertical="center"/>
    </xf>
    <xf numFmtId="0" fontId="32" fillId="0" borderId="10" xfId="0" applyFont="1" applyBorder="1" applyProtection="1">
      <protection hidden="1"/>
    </xf>
    <xf numFmtId="0" fontId="32" fillId="24" borderId="36" xfId="0" applyFont="1" applyFill="1" applyBorder="1"/>
    <xf numFmtId="0" fontId="32" fillId="0" borderId="37" xfId="0" applyFont="1" applyBorder="1"/>
    <xf numFmtId="0" fontId="32" fillId="0" borderId="13" xfId="0" applyFont="1" applyBorder="1" applyProtection="1">
      <protection hidden="1"/>
    </xf>
    <xf numFmtId="0" fontId="32" fillId="29" borderId="10" xfId="0" applyFont="1" applyFill="1" applyBorder="1" applyProtection="1">
      <protection hidden="1"/>
    </xf>
    <xf numFmtId="0" fontId="32" fillId="0" borderId="0" xfId="0" applyFont="1" applyProtection="1">
      <protection hidden="1"/>
    </xf>
    <xf numFmtId="0" fontId="32" fillId="29" borderId="10" xfId="0" applyFont="1" applyFill="1" applyBorder="1" applyAlignment="1">
      <alignment horizontal="left"/>
    </xf>
    <xf numFmtId="0" fontId="32" fillId="24" borderId="39" xfId="0" applyFont="1" applyFill="1" applyBorder="1"/>
    <xf numFmtId="0" fontId="32" fillId="24" borderId="19" xfId="0" applyFont="1" applyFill="1" applyBorder="1"/>
    <xf numFmtId="0" fontId="32" fillId="0" borderId="0" xfId="0" applyFont="1" applyBorder="1" applyProtection="1">
      <protection hidden="1"/>
    </xf>
    <xf numFmtId="0" fontId="32" fillId="0" borderId="0" xfId="0" applyFont="1" applyFill="1" applyBorder="1"/>
    <xf numFmtId="0" fontId="32" fillId="0" borderId="0" xfId="0" applyFont="1" applyFill="1" applyBorder="1" applyProtection="1">
      <protection hidden="1"/>
    </xf>
    <xf numFmtId="0" fontId="32" fillId="24" borderId="30" xfId="0" applyFont="1" applyFill="1" applyBorder="1"/>
    <xf numFmtId="0" fontId="32" fillId="0" borderId="41" xfId="0" applyFont="1" applyBorder="1"/>
    <xf numFmtId="0" fontId="32" fillId="24" borderId="37" xfId="0" applyFont="1" applyFill="1" applyBorder="1"/>
    <xf numFmtId="9" fontId="32" fillId="0" borderId="0" xfId="0" applyNumberFormat="1" applyFont="1"/>
    <xf numFmtId="0" fontId="32" fillId="24" borderId="41" xfId="0" applyFont="1" applyFill="1" applyBorder="1"/>
    <xf numFmtId="0" fontId="32" fillId="24" borderId="35" xfId="0" applyFont="1" applyFill="1" applyBorder="1"/>
    <xf numFmtId="14" fontId="32" fillId="0" borderId="0" xfId="0" applyNumberFormat="1" applyFont="1"/>
    <xf numFmtId="0" fontId="32" fillId="24" borderId="20" xfId="0" applyFont="1" applyFill="1" applyBorder="1"/>
    <xf numFmtId="0" fontId="32" fillId="24" borderId="15" xfId="0" applyFont="1" applyFill="1" applyBorder="1"/>
    <xf numFmtId="0" fontId="32" fillId="24" borderId="14" xfId="0" applyFont="1" applyFill="1" applyBorder="1"/>
    <xf numFmtId="0" fontId="32" fillId="24" borderId="11" xfId="0" applyFont="1" applyFill="1" applyBorder="1"/>
    <xf numFmtId="1" fontId="32" fillId="45" borderId="10" xfId="0" applyNumberFormat="1" applyFont="1" applyFill="1" applyBorder="1" applyAlignment="1" applyProtection="1">
      <alignment horizontal="right" vertical="center"/>
      <protection hidden="1"/>
    </xf>
    <xf numFmtId="0" fontId="32" fillId="24" borderId="40" xfId="0" applyFont="1" applyFill="1" applyBorder="1"/>
    <xf numFmtId="0" fontId="32" fillId="24" borderId="17" xfId="0" applyFont="1" applyFill="1" applyBorder="1"/>
    <xf numFmtId="0" fontId="32" fillId="24" borderId="12" xfId="0" applyFont="1" applyFill="1" applyBorder="1"/>
    <xf numFmtId="0" fontId="32" fillId="0" borderId="11" xfId="0" applyFont="1" applyBorder="1" applyAlignment="1">
      <alignment horizontal="right" vertical="center"/>
    </xf>
    <xf numFmtId="0" fontId="34" fillId="0" borderId="13" xfId="803" applyFont="1" applyFill="1" applyBorder="1" applyAlignment="1" applyProtection="1">
      <alignment horizontal="right" vertical="center"/>
      <protection hidden="1"/>
    </xf>
    <xf numFmtId="0" fontId="34" fillId="0" borderId="10" xfId="803" applyFont="1" applyFill="1" applyBorder="1" applyAlignment="1" applyProtection="1">
      <alignment horizontal="right" vertical="center"/>
      <protection hidden="1"/>
    </xf>
    <xf numFmtId="0" fontId="34" fillId="0" borderId="10" xfId="0" applyFont="1" applyFill="1" applyBorder="1" applyAlignment="1" applyProtection="1">
      <alignment horizontal="right" vertical="center"/>
      <protection hidden="1"/>
    </xf>
    <xf numFmtId="0" fontId="34" fillId="34" borderId="12" xfId="0" applyFont="1" applyFill="1" applyBorder="1" applyAlignment="1" applyProtection="1">
      <alignment horizontal="right" vertical="center"/>
      <protection locked="0" hidden="1"/>
    </xf>
    <xf numFmtId="0" fontId="34" fillId="34" borderId="13" xfId="0" applyFont="1" applyFill="1" applyBorder="1" applyAlignment="1" applyProtection="1">
      <alignment horizontal="center" vertical="center"/>
      <protection hidden="1"/>
    </xf>
    <xf numFmtId="0" fontId="34" fillId="0" borderId="13" xfId="0" applyFont="1" applyFill="1" applyBorder="1" applyProtection="1">
      <protection hidden="1"/>
    </xf>
    <xf numFmtId="0" fontId="34" fillId="0" borderId="10" xfId="0" applyFont="1" applyFill="1" applyBorder="1" applyProtection="1">
      <protection hidden="1"/>
    </xf>
    <xf numFmtId="0" fontId="34" fillId="0" borderId="10" xfId="0" applyFont="1" applyFill="1" applyBorder="1" applyAlignment="1" applyProtection="1">
      <alignment wrapText="1"/>
      <protection hidden="1"/>
    </xf>
    <xf numFmtId="1" fontId="34" fillId="24" borderId="10" xfId="0" applyNumberFormat="1" applyFont="1" applyFill="1" applyBorder="1" applyAlignment="1" applyProtection="1">
      <alignment horizontal="right"/>
      <protection hidden="1"/>
    </xf>
    <xf numFmtId="0" fontId="34" fillId="28" borderId="11" xfId="803" applyFont="1" applyFill="1" applyBorder="1" applyAlignment="1" applyProtection="1"/>
    <xf numFmtId="1" fontId="34" fillId="24" borderId="10" xfId="0" applyNumberFormat="1" applyFont="1" applyFill="1" applyBorder="1" applyAlignment="1" applyProtection="1">
      <alignment horizontal="right" vertical="center"/>
      <protection hidden="1"/>
    </xf>
    <xf numFmtId="0" fontId="44" fillId="28" borderId="14" xfId="0" applyFont="1" applyFill="1" applyBorder="1" applyAlignment="1">
      <alignment horizontal="right" vertical="center"/>
    </xf>
    <xf numFmtId="1" fontId="34" fillId="24" borderId="16" xfId="0" applyNumberFormat="1" applyFont="1" applyFill="1" applyBorder="1" applyAlignment="1" applyProtection="1">
      <alignment horizontal="right" vertical="center"/>
      <protection hidden="1"/>
    </xf>
    <xf numFmtId="0" fontId="32" fillId="24" borderId="16" xfId="0" applyFont="1" applyFill="1" applyBorder="1" applyAlignment="1"/>
    <xf numFmtId="0" fontId="32" fillId="24" borderId="12" xfId="0" applyFont="1" applyFill="1" applyBorder="1" applyAlignment="1"/>
    <xf numFmtId="0" fontId="32" fillId="24" borderId="13" xfId="0" applyFont="1" applyFill="1" applyBorder="1" applyAlignment="1"/>
    <xf numFmtId="0" fontId="32" fillId="24" borderId="0" xfId="0" applyFont="1" applyFill="1" applyBorder="1" applyAlignment="1">
      <alignment vertical="center"/>
    </xf>
    <xf numFmtId="0" fontId="32" fillId="0" borderId="14" xfId="0" applyFont="1" applyBorder="1" applyAlignment="1">
      <alignment horizontal="center" vertical="center"/>
    </xf>
    <xf numFmtId="0" fontId="32" fillId="0" borderId="35" xfId="0" applyFont="1" applyFill="1" applyBorder="1"/>
    <xf numFmtId="0" fontId="32" fillId="0" borderId="36" xfId="0" applyFont="1" applyFill="1" applyBorder="1"/>
    <xf numFmtId="0" fontId="32" fillId="0" borderId="37" xfId="0" applyFont="1" applyFill="1" applyBorder="1"/>
    <xf numFmtId="0" fontId="32" fillId="0" borderId="38" xfId="0" applyFont="1" applyFill="1" applyBorder="1"/>
    <xf numFmtId="0" fontId="32" fillId="0" borderId="39" xfId="0" applyFont="1" applyFill="1" applyBorder="1"/>
    <xf numFmtId="0" fontId="32" fillId="24" borderId="39" xfId="0" applyFont="1" applyFill="1" applyBorder="1" applyProtection="1"/>
    <xf numFmtId="0" fontId="32" fillId="24" borderId="41" xfId="0" applyFont="1" applyFill="1" applyBorder="1" applyProtection="1"/>
    <xf numFmtId="1" fontId="32" fillId="0" borderId="36" xfId="0" applyNumberFormat="1" applyFont="1" applyBorder="1"/>
    <xf numFmtId="1" fontId="32" fillId="24" borderId="30" xfId="0" applyNumberFormat="1" applyFont="1" applyFill="1" applyBorder="1"/>
    <xf numFmtId="0" fontId="32" fillId="0" borderId="16" xfId="0" applyFont="1" applyBorder="1"/>
    <xf numFmtId="0" fontId="32" fillId="0" borderId="0" xfId="0" applyFont="1" applyBorder="1" applyAlignment="1">
      <alignment horizontal="center" vertical="center"/>
    </xf>
    <xf numFmtId="0" fontId="32" fillId="0" borderId="0" xfId="0" applyFont="1" applyBorder="1" applyAlignment="1">
      <alignment horizontal="left" vertical="center" wrapText="1"/>
    </xf>
    <xf numFmtId="0" fontId="29" fillId="0" borderId="21" xfId="0" applyFont="1" applyBorder="1"/>
    <xf numFmtId="0" fontId="29" fillId="0" borderId="21" xfId="0" applyFont="1" applyBorder="1" applyAlignment="1">
      <alignment horizontal="center" vertical="center" wrapText="1"/>
    </xf>
    <xf numFmtId="0" fontId="29" fillId="0" borderId="21" xfId="0" applyFont="1" applyBorder="1" applyAlignment="1">
      <alignment horizontal="left" vertical="center"/>
    </xf>
    <xf numFmtId="0" fontId="32" fillId="0" borderId="30" xfId="0" applyFont="1" applyBorder="1" applyAlignment="1">
      <alignment horizontal="center" vertical="center"/>
    </xf>
    <xf numFmtId="0" fontId="32" fillId="0" borderId="30" xfId="0" applyFont="1" applyBorder="1" applyAlignment="1">
      <alignment horizontal="left" vertical="center" wrapText="1"/>
    </xf>
    <xf numFmtId="0" fontId="32" fillId="24" borderId="19" xfId="0" applyFont="1" applyFill="1" applyBorder="1" applyAlignment="1">
      <alignment horizontal="left" vertical="center"/>
    </xf>
    <xf numFmtId="0" fontId="32" fillId="24" borderId="11" xfId="0" applyFont="1" applyFill="1" applyBorder="1" applyAlignment="1">
      <alignment horizontal="left" vertical="center"/>
    </xf>
    <xf numFmtId="0" fontId="7" fillId="24" borderId="13" xfId="0" applyFont="1" applyFill="1" applyBorder="1" applyAlignment="1">
      <alignment horizontal="center" vertical="top" wrapText="1"/>
    </xf>
    <xf numFmtId="0" fontId="32" fillId="24" borderId="19" xfId="0" applyFont="1" applyFill="1" applyBorder="1" applyAlignment="1"/>
    <xf numFmtId="0" fontId="32" fillId="24" borderId="11" xfId="0" applyFont="1" applyFill="1" applyBorder="1" applyAlignment="1"/>
    <xf numFmtId="0" fontId="32" fillId="24" borderId="0" xfId="0" applyFont="1" applyFill="1" applyBorder="1" applyProtection="1"/>
    <xf numFmtId="0" fontId="32" fillId="24" borderId="15" xfId="0" applyFont="1" applyFill="1" applyBorder="1" applyProtection="1"/>
    <xf numFmtId="0" fontId="32" fillId="25" borderId="10" xfId="0" applyFont="1" applyFill="1" applyBorder="1" applyAlignment="1" applyProtection="1">
      <alignment horizontal="left" vertical="center"/>
      <protection locked="0"/>
    </xf>
    <xf numFmtId="0" fontId="32" fillId="0" borderId="24" xfId="0" applyFont="1" applyBorder="1"/>
    <xf numFmtId="0" fontId="32" fillId="26" borderId="0" xfId="0" applyFont="1" applyFill="1" applyBorder="1"/>
    <xf numFmtId="0" fontId="32" fillId="26" borderId="15" xfId="0" applyFont="1" applyFill="1" applyBorder="1"/>
    <xf numFmtId="0" fontId="32" fillId="24" borderId="13" xfId="0" applyFont="1" applyFill="1" applyBorder="1" applyAlignment="1">
      <alignment vertical="top"/>
    </xf>
    <xf numFmtId="0" fontId="32" fillId="0" borderId="38" xfId="0" applyFont="1" applyBorder="1" applyAlignment="1">
      <alignment horizontal="center" vertical="center"/>
    </xf>
    <xf numFmtId="0" fontId="3" fillId="0" borderId="19"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5" fillId="26" borderId="14" xfId="0" applyFont="1" applyFill="1" applyBorder="1" applyAlignment="1">
      <alignment vertical="center" wrapText="1"/>
    </xf>
    <xf numFmtId="0" fontId="57" fillId="0" borderId="0" xfId="0" applyFont="1" applyBorder="1" applyAlignment="1">
      <alignment horizontal="center" vertical="center"/>
    </xf>
    <xf numFmtId="0" fontId="3" fillId="0" borderId="30" xfId="0" applyFont="1" applyBorder="1" applyAlignment="1">
      <alignment horizontal="left" vertical="center" wrapText="1"/>
    </xf>
    <xf numFmtId="0" fontId="7" fillId="0" borderId="13" xfId="0" applyNumberFormat="1" applyFont="1" applyBorder="1" applyAlignment="1">
      <alignment horizontal="center" vertical="center" wrapText="1"/>
    </xf>
    <xf numFmtId="0" fontId="57" fillId="0" borderId="39" xfId="0" applyFont="1" applyBorder="1" applyAlignment="1">
      <alignment horizontal="center" vertical="center"/>
    </xf>
    <xf numFmtId="0" fontId="32" fillId="26" borderId="10" xfId="0" applyFont="1" applyFill="1" applyBorder="1"/>
    <xf numFmtId="0" fontId="32" fillId="26" borderId="10" xfId="0" applyFont="1" applyFill="1" applyBorder="1" applyAlignment="1">
      <alignment horizontal="right"/>
    </xf>
    <xf numFmtId="0" fontId="32" fillId="35" borderId="10" xfId="0" applyFont="1" applyFill="1" applyBorder="1"/>
    <xf numFmtId="0" fontId="0" fillId="0" borderId="0" xfId="0"/>
    <xf numFmtId="0" fontId="0" fillId="0" borderId="0" xfId="0"/>
    <xf numFmtId="0" fontId="78" fillId="0" borderId="33" xfId="872" applyBorder="1" applyAlignment="1">
      <alignment horizontal="left" vertical="top" wrapText="1"/>
    </xf>
    <xf numFmtId="0" fontId="73" fillId="46" borderId="10" xfId="870" applyFont="1" applyFill="1" applyBorder="1" applyAlignment="1">
      <alignment horizontal="center" vertical="center"/>
    </xf>
    <xf numFmtId="0" fontId="0" fillId="0" borderId="0" xfId="0"/>
    <xf numFmtId="49" fontId="5" fillId="25" borderId="10" xfId="0" applyNumberFormat="1" applyFont="1" applyFill="1" applyBorder="1" applyAlignment="1" applyProtection="1">
      <alignment horizontal="left" vertical="center"/>
      <protection locked="0"/>
    </xf>
    <xf numFmtId="0" fontId="0" fillId="0" borderId="0" xfId="0"/>
    <xf numFmtId="1" fontId="0" fillId="0" borderId="0" xfId="0" applyNumberFormat="1"/>
    <xf numFmtId="0" fontId="32" fillId="36" borderId="21" xfId="0" applyFont="1" applyFill="1" applyBorder="1" applyAlignment="1" applyProtection="1">
      <alignment horizontal="center"/>
      <protection hidden="1"/>
    </xf>
    <xf numFmtId="0" fontId="0" fillId="0" borderId="0" xfId="0" applyFill="1" applyBorder="1"/>
    <xf numFmtId="1" fontId="0" fillId="24" borderId="0" xfId="0" applyNumberFormat="1" applyFill="1"/>
    <xf numFmtId="0" fontId="57" fillId="24" borderId="38" xfId="0" applyFont="1" applyFill="1" applyBorder="1" applyAlignment="1">
      <alignment wrapText="1"/>
    </xf>
    <xf numFmtId="0" fontId="57" fillId="24" borderId="21" xfId="0" applyFont="1" applyFill="1" applyBorder="1" applyAlignment="1">
      <alignment wrapText="1"/>
    </xf>
    <xf numFmtId="0" fontId="57" fillId="24" borderId="23" xfId="0" applyFont="1" applyFill="1" applyBorder="1" applyAlignment="1">
      <alignment wrapText="1"/>
    </xf>
    <xf numFmtId="0" fontId="58" fillId="24" borderId="14" xfId="0" applyFont="1" applyFill="1" applyBorder="1" applyAlignment="1">
      <alignment horizontal="center" vertical="center" wrapText="1"/>
    </xf>
    <xf numFmtId="0" fontId="57" fillId="24" borderId="0" xfId="0" applyFont="1" applyFill="1" applyBorder="1" applyAlignment="1">
      <alignment wrapText="1"/>
    </xf>
    <xf numFmtId="0" fontId="57" fillId="24" borderId="39" xfId="0" applyFont="1" applyFill="1" applyBorder="1" applyAlignment="1">
      <alignment wrapText="1"/>
    </xf>
    <xf numFmtId="0" fontId="57" fillId="24" borderId="0" xfId="0" applyFont="1" applyFill="1" applyAlignment="1">
      <alignment wrapText="1"/>
    </xf>
    <xf numFmtId="0" fontId="0" fillId="0" borderId="10" xfId="0" applyBorder="1"/>
    <xf numFmtId="165" fontId="29" fillId="24" borderId="10" xfId="0" applyNumberFormat="1" applyFont="1" applyFill="1" applyBorder="1" applyAlignment="1">
      <alignment horizontal="center" vertical="center"/>
    </xf>
    <xf numFmtId="1" fontId="32" fillId="25" borderId="10" xfId="0" applyNumberFormat="1" applyFont="1" applyFill="1" applyBorder="1" applyAlignment="1" applyProtection="1">
      <alignment horizontal="right" vertical="center"/>
      <protection locked="0"/>
    </xf>
    <xf numFmtId="1" fontId="5" fillId="25" borderId="22" xfId="0" applyNumberFormat="1" applyFont="1" applyFill="1" applyBorder="1" applyAlignment="1" applyProtection="1">
      <alignment horizontal="left" vertical="center" wrapText="1"/>
      <protection locked="0"/>
    </xf>
    <xf numFmtId="1" fontId="5" fillId="25" borderId="10" xfId="699" applyNumberFormat="1" applyFont="1" applyFill="1" applyBorder="1" applyAlignment="1" applyProtection="1">
      <alignment horizontal="right" vertical="center" wrapText="1"/>
      <protection locked="0"/>
    </xf>
    <xf numFmtId="165" fontId="29" fillId="0" borderId="16" xfId="0" applyNumberFormat="1" applyFont="1" applyBorder="1" applyAlignment="1" applyProtection="1">
      <alignment horizontal="center" vertical="top"/>
    </xf>
    <xf numFmtId="165" fontId="29" fillId="0" borderId="12" xfId="0" applyNumberFormat="1" applyFont="1" applyBorder="1" applyAlignment="1" applyProtection="1">
      <alignment horizontal="center" vertical="top"/>
    </xf>
    <xf numFmtId="165" fontId="29" fillId="0" borderId="13" xfId="0" applyNumberFormat="1" applyFont="1" applyBorder="1" applyAlignment="1" applyProtection="1">
      <alignment horizontal="center" vertical="top"/>
    </xf>
    <xf numFmtId="0" fontId="26" fillId="27" borderId="19" xfId="0" applyFont="1" applyFill="1" applyBorder="1" applyAlignment="1">
      <alignment horizontal="center"/>
    </xf>
    <xf numFmtId="0" fontId="32" fillId="0" borderId="19" xfId="0" applyFont="1" applyBorder="1" applyAlignment="1">
      <alignment horizontal="center" vertical="center"/>
    </xf>
    <xf numFmtId="0" fontId="3" fillId="24" borderId="20" xfId="0" applyFont="1" applyFill="1" applyBorder="1" applyAlignment="1">
      <alignment vertical="center" textRotation="90"/>
    </xf>
    <xf numFmtId="0" fontId="5" fillId="25" borderId="10" xfId="0" applyFont="1" applyFill="1" applyBorder="1" applyAlignment="1" applyProtection="1">
      <alignment vertical="center" wrapText="1"/>
      <protection locked="0"/>
    </xf>
    <xf numFmtId="0" fontId="3" fillId="0" borderId="19" xfId="0" applyFont="1" applyBorder="1" applyAlignment="1"/>
    <xf numFmtId="0" fontId="3" fillId="0" borderId="14" xfId="0" applyFont="1" applyBorder="1" applyAlignment="1"/>
    <xf numFmtId="0" fontId="29" fillId="0" borderId="14" xfId="0" applyFont="1" applyBorder="1" applyAlignment="1">
      <alignment vertical="center"/>
    </xf>
    <xf numFmtId="0" fontId="29" fillId="0" borderId="19" xfId="0" applyFont="1" applyBorder="1" applyAlignment="1">
      <alignment vertical="center"/>
    </xf>
    <xf numFmtId="0" fontId="29" fillId="0" borderId="19" xfId="0" applyFont="1" applyBorder="1" applyAlignment="1">
      <alignment horizontal="center"/>
    </xf>
    <xf numFmtId="0" fontId="29" fillId="0" borderId="24" xfId="0" applyFont="1" applyBorder="1" applyAlignment="1">
      <alignment horizontal="center"/>
    </xf>
    <xf numFmtId="0" fontId="29" fillId="0" borderId="14" xfId="0" applyFont="1" applyBorder="1"/>
    <xf numFmtId="0" fontId="0" fillId="0" borderId="0" xfId="0" applyBorder="1"/>
    <xf numFmtId="0" fontId="27" fillId="0" borderId="13" xfId="0" applyFont="1" applyBorder="1" applyAlignment="1">
      <alignment horizontal="left" vertical="center"/>
    </xf>
    <xf numFmtId="0" fontId="7" fillId="24" borderId="16" xfId="0" applyFont="1" applyFill="1" applyBorder="1" applyAlignment="1">
      <alignment horizontal="center" vertical="top" wrapText="1"/>
    </xf>
    <xf numFmtId="1" fontId="27" fillId="24" borderId="10" xfId="0" applyNumberFormat="1" applyFont="1" applyFill="1" applyBorder="1" applyAlignment="1" applyProtection="1">
      <alignment horizontal="right" vertical="center"/>
      <protection hidden="1"/>
    </xf>
    <xf numFmtId="0" fontId="0" fillId="0" borderId="0" xfId="0"/>
    <xf numFmtId="49" fontId="5" fillId="25" borderId="10" xfId="0" applyNumberFormat="1" applyFont="1" applyFill="1" applyBorder="1" applyAlignment="1" applyProtection="1">
      <alignment horizontal="right" vertical="center"/>
      <protection locked="0"/>
    </xf>
    <xf numFmtId="0" fontId="27" fillId="28" borderId="17" xfId="0" applyFont="1" applyFill="1" applyBorder="1" applyAlignment="1">
      <alignment horizontal="center" vertical="top" wrapText="1"/>
    </xf>
    <xf numFmtId="1" fontId="28" fillId="28" borderId="22" xfId="0" applyNumberFormat="1" applyFont="1" applyFill="1" applyBorder="1" applyAlignment="1" applyProtection="1">
      <alignment horizontal="right" vertical="top" wrapText="1"/>
    </xf>
    <xf numFmtId="1" fontId="28" fillId="24" borderId="21" xfId="0" applyNumberFormat="1" applyFont="1" applyFill="1" applyBorder="1" applyAlignment="1" applyProtection="1">
      <alignment horizontal="right" vertical="center" wrapText="1"/>
    </xf>
    <xf numFmtId="0" fontId="3" fillId="24" borderId="14" xfId="0" applyFont="1" applyFill="1" applyBorder="1" applyAlignment="1">
      <alignment horizontal="left" vertical="center" wrapText="1"/>
    </xf>
    <xf numFmtId="0" fontId="3" fillId="0" borderId="14" xfId="0" applyFont="1" applyBorder="1" applyAlignment="1">
      <alignment horizontal="left" vertical="center" wrapText="1"/>
    </xf>
    <xf numFmtId="0" fontId="3" fillId="24" borderId="16" xfId="0" applyFont="1" applyFill="1" applyBorder="1" applyAlignment="1">
      <alignment horizontal="center" vertical="center"/>
    </xf>
    <xf numFmtId="0" fontId="3" fillId="24" borderId="12" xfId="0" applyFont="1" applyFill="1" applyBorder="1" applyAlignment="1">
      <alignment horizontal="center" vertical="center"/>
    </xf>
    <xf numFmtId="0" fontId="3" fillId="0" borderId="16" xfId="0" applyFont="1" applyBorder="1" applyAlignment="1">
      <alignment horizontal="center" vertical="center" wrapText="1"/>
    </xf>
    <xf numFmtId="0" fontId="29" fillId="0" borderId="10" xfId="0" applyFont="1" applyBorder="1" applyAlignment="1">
      <alignment horizontal="left" vertical="center"/>
    </xf>
    <xf numFmtId="0" fontId="3" fillId="0" borderId="21" xfId="0" applyFont="1" applyBorder="1" applyAlignment="1">
      <alignment horizontal="left" vertical="center" wrapText="1"/>
    </xf>
    <xf numFmtId="0" fontId="27" fillId="0" borderId="10" xfId="0" applyFont="1" applyBorder="1" applyAlignment="1">
      <alignment horizontal="left" vertical="center"/>
    </xf>
    <xf numFmtId="49" fontId="5" fillId="25" borderId="19" xfId="0" applyNumberFormat="1" applyFont="1" applyFill="1" applyBorder="1" applyAlignment="1" applyProtection="1">
      <alignment horizontal="left" vertical="center" wrapText="1"/>
      <protection locked="0"/>
    </xf>
    <xf numFmtId="49" fontId="5" fillId="25" borderId="11" xfId="0" applyNumberFormat="1" applyFont="1" applyFill="1" applyBorder="1" applyAlignment="1" applyProtection="1">
      <alignment horizontal="left" wrapText="1"/>
      <protection locked="0"/>
    </xf>
    <xf numFmtId="2" fontId="5" fillId="25" borderId="10" xfId="0" applyNumberFormat="1" applyFont="1" applyFill="1" applyBorder="1" applyAlignment="1" applyProtection="1">
      <alignment horizontal="right" vertical="center"/>
      <protection locked="0"/>
    </xf>
    <xf numFmtId="0" fontId="5" fillId="25" borderId="10" xfId="0" applyFont="1" applyFill="1" applyBorder="1" applyAlignment="1" applyProtection="1">
      <alignment horizontal="center" vertical="center" wrapText="1"/>
      <protection locked="0"/>
    </xf>
    <xf numFmtId="1" fontId="5" fillId="25" borderId="10" xfId="0" applyNumberFormat="1" applyFont="1" applyFill="1" applyBorder="1" applyAlignment="1" applyProtection="1">
      <alignment horizontal="right" vertical="center"/>
      <protection locked="0"/>
    </xf>
    <xf numFmtId="1" fontId="5" fillId="26" borderId="10" xfId="0" applyNumberFormat="1" applyFont="1" applyFill="1" applyBorder="1" applyAlignment="1" applyProtection="1">
      <alignment horizontal="right" vertical="center" wrapText="1"/>
    </xf>
    <xf numFmtId="1" fontId="5" fillId="25" borderId="10" xfId="0" applyNumberFormat="1" applyFont="1" applyFill="1" applyBorder="1" applyAlignment="1" applyProtection="1">
      <alignment horizontal="left" vertical="center" wrapText="1"/>
      <protection locked="0"/>
    </xf>
    <xf numFmtId="1" fontId="5" fillId="25" borderId="10" xfId="0" applyNumberFormat="1" applyFont="1" applyFill="1" applyBorder="1" applyAlignment="1" applyProtection="1">
      <alignment horizontal="left" wrapText="1"/>
      <protection locked="0"/>
    </xf>
    <xf numFmtId="0" fontId="5" fillId="26" borderId="10" xfId="0" applyNumberFormat="1" applyFont="1" applyFill="1" applyBorder="1" applyAlignment="1" applyProtection="1">
      <alignment horizontal="left" vertical="center" wrapText="1"/>
    </xf>
    <xf numFmtId="0" fontId="29" fillId="0" borderId="0" xfId="0" applyFont="1" applyBorder="1" applyAlignment="1">
      <alignment horizontal="center" vertical="center" wrapText="1"/>
    </xf>
    <xf numFmtId="0" fontId="56" fillId="0" borderId="10" xfId="803" applyFont="1" applyBorder="1" applyAlignment="1" applyProtection="1">
      <alignment horizontal="left" wrapText="1"/>
    </xf>
    <xf numFmtId="0" fontId="3" fillId="0" borderId="10" xfId="0" applyFont="1" applyBorder="1" applyAlignment="1">
      <alignment wrapText="1"/>
    </xf>
    <xf numFmtId="0" fontId="3" fillId="0" borderId="10" xfId="0" applyFont="1" applyBorder="1" applyAlignment="1">
      <alignment horizontal="right" vertical="center" wrapText="1"/>
    </xf>
    <xf numFmtId="1" fontId="3" fillId="0" borderId="10" xfId="0" applyNumberFormat="1" applyFont="1" applyBorder="1" applyAlignment="1" applyProtection="1">
      <alignment wrapText="1"/>
      <protection hidden="1"/>
    </xf>
    <xf numFmtId="0" fontId="29" fillId="0" borderId="10" xfId="0" applyFont="1" applyBorder="1" applyAlignment="1">
      <alignment horizontal="right" wrapText="1"/>
    </xf>
    <xf numFmtId="0" fontId="29" fillId="0" borderId="0" xfId="0" applyFont="1" applyBorder="1" applyAlignment="1">
      <alignment wrapText="1"/>
    </xf>
    <xf numFmtId="0" fontId="0" fillId="0" borderId="10" xfId="0" applyBorder="1"/>
    <xf numFmtId="0" fontId="5" fillId="25" borderId="10" xfId="0" applyFont="1" applyFill="1" applyBorder="1" applyAlignment="1" applyProtection="1">
      <alignment horizontal="left" vertical="center" wrapText="1"/>
      <protection locked="0"/>
    </xf>
    <xf numFmtId="49" fontId="5" fillId="25" borderId="10" xfId="0" applyNumberFormat="1" applyFont="1" applyFill="1" applyBorder="1" applyAlignment="1" applyProtection="1">
      <protection locked="0"/>
    </xf>
    <xf numFmtId="0" fontId="0" fillId="0" borderId="10" xfId="0" applyBorder="1"/>
    <xf numFmtId="0" fontId="74" fillId="0" borderId="0" xfId="0" applyFont="1"/>
    <xf numFmtId="0" fontId="3" fillId="0" borderId="10" xfId="895" applyFont="1" applyFill="1" applyBorder="1" applyAlignment="1" applyProtection="1">
      <alignment horizontal="center" vertical="center" wrapText="1"/>
    </xf>
    <xf numFmtId="0" fontId="75" fillId="0" borderId="10" xfId="0" applyFont="1" applyBorder="1"/>
    <xf numFmtId="0" fontId="32" fillId="0" borderId="10" xfId="0" applyFont="1" applyBorder="1" applyProtection="1"/>
    <xf numFmtId="0" fontId="3" fillId="24" borderId="21" xfId="0" applyFont="1" applyFill="1" applyBorder="1" applyAlignment="1" applyProtection="1"/>
    <xf numFmtId="49" fontId="5" fillId="24" borderId="19" xfId="878" applyNumberFormat="1" applyFont="1" applyFill="1" applyBorder="1" applyAlignment="1" applyProtection="1">
      <alignment horizontal="left" vertical="top" wrapText="1"/>
    </xf>
    <xf numFmtId="0" fontId="5" fillId="25" borderId="0" xfId="895" applyFont="1" applyFill="1" applyBorder="1" applyAlignment="1" applyProtection="1">
      <alignment horizontal="left" vertical="center"/>
      <protection locked="0"/>
    </xf>
    <xf numFmtId="0" fontId="40" fillId="24" borderId="22" xfId="0" applyFont="1" applyFill="1" applyBorder="1"/>
    <xf numFmtId="0" fontId="40" fillId="24" borderId="23" xfId="0" applyFont="1" applyFill="1" applyBorder="1"/>
    <xf numFmtId="0" fontId="29" fillId="0" borderId="10" xfId="0" applyFont="1" applyBorder="1" applyAlignment="1">
      <alignment horizontal="center" vertical="center"/>
    </xf>
    <xf numFmtId="0" fontId="0" fillId="0" borderId="22" xfId="0" applyBorder="1"/>
    <xf numFmtId="0" fontId="0" fillId="0" borderId="23" xfId="0" applyBorder="1"/>
    <xf numFmtId="0" fontId="0" fillId="0" borderId="20" xfId="0" applyBorder="1"/>
    <xf numFmtId="0" fontId="0" fillId="0" borderId="24" xfId="0" applyBorder="1"/>
    <xf numFmtId="0" fontId="3" fillId="24" borderId="13" xfId="0" applyFont="1" applyFill="1" applyBorder="1" applyAlignment="1">
      <alignment horizontal="center" vertical="center" textRotation="90" wrapText="1"/>
    </xf>
    <xf numFmtId="0" fontId="3" fillId="0" borderId="10" xfId="0" applyFont="1" applyBorder="1" applyAlignment="1">
      <alignment horizontal="left" vertical="center" wrapText="1"/>
    </xf>
    <xf numFmtId="0" fontId="3" fillId="24" borderId="16"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27" fillId="0" borderId="14"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center" vertical="center" textRotation="90"/>
    </xf>
    <xf numFmtId="0" fontId="3" fillId="0" borderId="12" xfId="0" applyFont="1" applyBorder="1" applyAlignment="1">
      <alignment horizontal="center" vertical="center" textRotation="90"/>
    </xf>
    <xf numFmtId="0" fontId="27" fillId="0" borderId="10" xfId="0" applyFont="1" applyBorder="1" applyAlignment="1">
      <alignment horizontal="left" vertical="center" wrapText="1"/>
    </xf>
    <xf numFmtId="0" fontId="26" fillId="27" borderId="14" xfId="0" applyFont="1" applyFill="1" applyBorder="1" applyAlignment="1">
      <alignment horizontal="center" vertical="center"/>
    </xf>
    <xf numFmtId="0" fontId="3" fillId="26" borderId="17" xfId="0" applyFont="1" applyFill="1" applyBorder="1" applyAlignment="1">
      <alignment horizontal="center" vertical="top" wrapText="1"/>
    </xf>
    <xf numFmtId="0" fontId="3" fillId="26" borderId="21" xfId="0" applyFont="1" applyFill="1" applyBorder="1" applyAlignment="1">
      <alignment horizontal="center" vertical="top" wrapText="1"/>
    </xf>
    <xf numFmtId="0" fontId="3" fillId="26" borderId="20" xfId="0" applyFont="1" applyFill="1" applyBorder="1" applyAlignment="1">
      <alignment horizontal="center" vertical="top" wrapText="1"/>
    </xf>
    <xf numFmtId="0" fontId="3" fillId="26" borderId="24"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4" borderId="12" xfId="0" applyFont="1" applyFill="1" applyBorder="1" applyAlignment="1">
      <alignment horizontal="center" vertical="top" wrapText="1"/>
    </xf>
    <xf numFmtId="0" fontId="3"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29" fillId="0" borderId="10" xfId="0" applyFont="1" applyBorder="1" applyAlignment="1">
      <alignment horizontal="left" vertical="center"/>
    </xf>
    <xf numFmtId="1" fontId="28" fillId="24" borderId="14" xfId="0" applyNumberFormat="1" applyFont="1" applyFill="1" applyBorder="1" applyAlignment="1" applyProtection="1">
      <alignment horizontal="right" vertical="center"/>
      <protection hidden="1"/>
    </xf>
    <xf numFmtId="1" fontId="28" fillId="24" borderId="11" xfId="0" applyNumberFormat="1" applyFont="1" applyFill="1" applyBorder="1" applyAlignment="1" applyProtection="1">
      <alignment horizontal="right" vertical="center"/>
      <protection hidden="1"/>
    </xf>
    <xf numFmtId="0" fontId="3" fillId="26" borderId="17" xfId="0" applyFont="1" applyFill="1" applyBorder="1" applyAlignment="1">
      <alignment horizontal="center"/>
    </xf>
    <xf numFmtId="0" fontId="3" fillId="26" borderId="18" xfId="0" applyFont="1" applyFill="1" applyBorder="1" applyAlignment="1">
      <alignment horizontal="center"/>
    </xf>
    <xf numFmtId="0" fontId="3" fillId="0" borderId="14" xfId="0" applyFont="1" applyBorder="1" applyAlignment="1" applyProtection="1">
      <alignment horizontal="center" vertical="top" wrapText="1"/>
    </xf>
    <xf numFmtId="1" fontId="5" fillId="25" borderId="10" xfId="0" applyNumberFormat="1" applyFont="1" applyFill="1" applyBorder="1" applyAlignment="1" applyProtection="1">
      <alignment horizontal="right" vertical="center" wrapText="1"/>
      <protection locked="0"/>
    </xf>
    <xf numFmtId="1" fontId="5" fillId="25" borderId="14" xfId="0" applyNumberFormat="1" applyFont="1" applyFill="1" applyBorder="1" applyAlignment="1" applyProtection="1">
      <alignment horizontal="right" vertical="center" wrapText="1"/>
      <protection locked="0"/>
    </xf>
    <xf numFmtId="0" fontId="3" fillId="0" borderId="10" xfId="0" applyFont="1" applyBorder="1" applyAlignment="1" applyProtection="1">
      <alignment horizontal="center" vertical="center" wrapText="1"/>
    </xf>
    <xf numFmtId="49" fontId="5" fillId="25" borderId="14" xfId="0" applyNumberFormat="1" applyFont="1" applyFill="1" applyBorder="1" applyAlignment="1" applyProtection="1">
      <alignment horizontal="left" vertical="center" wrapText="1"/>
      <protection locked="0"/>
    </xf>
    <xf numFmtId="49" fontId="5" fillId="25" borderId="11" xfId="0" applyNumberFormat="1" applyFont="1" applyFill="1" applyBorder="1" applyAlignment="1" applyProtection="1">
      <alignment horizontal="left" vertical="center" wrapText="1"/>
      <protection locked="0"/>
    </xf>
    <xf numFmtId="49" fontId="5" fillId="25" borderId="10" xfId="0" applyNumberFormat="1"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24" borderId="16" xfId="0" applyFont="1" applyFill="1" applyBorder="1" applyAlignment="1" applyProtection="1">
      <alignment horizontal="center" vertical="top" wrapText="1"/>
    </xf>
    <xf numFmtId="0" fontId="27" fillId="0" borderId="19"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center" vertical="top"/>
    </xf>
    <xf numFmtId="0" fontId="3" fillId="0" borderId="11" xfId="0" applyFont="1" applyBorder="1" applyAlignment="1">
      <alignment horizontal="center" vertical="top"/>
    </xf>
    <xf numFmtId="0" fontId="3" fillId="0" borderId="14" xfId="0" applyFont="1" applyBorder="1" applyAlignment="1">
      <alignment horizontal="left"/>
    </xf>
    <xf numFmtId="0" fontId="3" fillId="26" borderId="20" xfId="0" applyFont="1" applyFill="1" applyBorder="1" applyAlignment="1">
      <alignment horizontal="center"/>
    </xf>
    <xf numFmtId="0" fontId="3" fillId="0" borderId="10" xfId="0" applyFont="1" applyBorder="1" applyAlignment="1">
      <alignment horizontal="left"/>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26" borderId="21" xfId="0" applyFont="1" applyFill="1" applyBorder="1" applyAlignment="1">
      <alignment horizont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textRotation="90" wrapText="1"/>
    </xf>
    <xf numFmtId="0" fontId="3" fillId="24" borderId="19" xfId="0" applyFont="1" applyFill="1" applyBorder="1"/>
    <xf numFmtId="0" fontId="3" fillId="0" borderId="19" xfId="0" applyFont="1" applyBorder="1" applyAlignment="1">
      <alignment horizontal="left" vertical="top" wrapText="1"/>
    </xf>
    <xf numFmtId="0" fontId="3" fillId="0" borderId="11" xfId="0" applyFont="1" applyBorder="1" applyAlignment="1">
      <alignment horizontal="left" vertical="top" wrapText="1"/>
    </xf>
    <xf numFmtId="0" fontId="3" fillId="0" borderId="18" xfId="0" applyFont="1" applyBorder="1" applyAlignment="1">
      <alignment horizontal="center"/>
    </xf>
    <xf numFmtId="0" fontId="3" fillId="0" borderId="22" xfId="0" applyFont="1" applyBorder="1" applyAlignment="1">
      <alignment horizontal="center"/>
    </xf>
    <xf numFmtId="0" fontId="3" fillId="24" borderId="14" xfId="0" applyFont="1" applyFill="1" applyBorder="1" applyAlignment="1">
      <alignment wrapText="1"/>
    </xf>
    <xf numFmtId="0" fontId="3" fillId="24" borderId="11" xfId="0" applyFont="1" applyFill="1" applyBorder="1" applyAlignment="1">
      <alignment wrapText="1"/>
    </xf>
    <xf numFmtId="0" fontId="3" fillId="0" borderId="10" xfId="0" applyFont="1" applyBorder="1" applyAlignment="1">
      <alignment horizontal="center" vertical="center" wrapText="1"/>
    </xf>
    <xf numFmtId="0" fontId="29" fillId="0" borderId="11"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14" xfId="0" applyFont="1" applyBorder="1" applyAlignment="1">
      <alignment horizontal="left" vertical="center"/>
    </xf>
    <xf numFmtId="0" fontId="7" fillId="0" borderId="19" xfId="0" applyFont="1" applyBorder="1" applyAlignment="1">
      <alignment horizontal="left" vertical="center" wrapText="1"/>
    </xf>
    <xf numFmtId="0" fontId="32" fillId="24" borderId="0" xfId="0" applyFont="1" applyFill="1" applyBorder="1" applyAlignment="1">
      <alignment horizontal="center"/>
    </xf>
    <xf numFmtId="0" fontId="3" fillId="24" borderId="19" xfId="0" applyFont="1" applyFill="1" applyBorder="1" applyAlignment="1">
      <alignment horizontal="center" vertical="top" wrapText="1"/>
    </xf>
    <xf numFmtId="0" fontId="3" fillId="0" borderId="10" xfId="0" applyFont="1" applyBorder="1" applyAlignment="1">
      <alignment vertical="top" wrapText="1"/>
    </xf>
    <xf numFmtId="165" fontId="29" fillId="0" borderId="10" xfId="0" applyNumberFormat="1" applyFont="1" applyBorder="1" applyAlignment="1">
      <alignment horizontal="center" vertical="center"/>
    </xf>
    <xf numFmtId="0" fontId="26" fillId="27" borderId="14" xfId="0" applyFont="1" applyFill="1" applyBorder="1" applyAlignment="1">
      <alignment horizontal="center" vertical="center" wrapText="1"/>
    </xf>
    <xf numFmtId="0" fontId="29" fillId="0" borderId="19" xfId="0" applyFont="1" applyBorder="1" applyAlignment="1">
      <alignment horizontal="left" vertical="center"/>
    </xf>
    <xf numFmtId="0" fontId="29" fillId="0" borderId="10" xfId="0" applyFont="1" applyBorder="1" applyAlignment="1">
      <alignment horizontal="center" vertical="center" wrapText="1"/>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center" vertical="center"/>
    </xf>
    <xf numFmtId="0" fontId="0" fillId="0" borderId="0" xfId="0"/>
    <xf numFmtId="0" fontId="3" fillId="24" borderId="14" xfId="0" applyFont="1" applyFill="1" applyBorder="1" applyAlignment="1" applyProtection="1">
      <alignment horizontal="left"/>
    </xf>
    <xf numFmtId="0" fontId="3" fillId="24" borderId="14" xfId="0" applyFont="1" applyFill="1" applyBorder="1" applyAlignment="1" applyProtection="1">
      <alignment vertical="top"/>
    </xf>
    <xf numFmtId="0" fontId="3" fillId="24" borderId="19" xfId="0" applyFont="1" applyFill="1" applyBorder="1" applyAlignment="1" applyProtection="1">
      <alignment vertical="top"/>
    </xf>
    <xf numFmtId="0" fontId="3" fillId="24" borderId="11" xfId="0" applyFont="1" applyFill="1" applyBorder="1" applyAlignment="1" applyProtection="1">
      <alignment vertical="top"/>
    </xf>
    <xf numFmtId="0" fontId="3" fillId="0" borderId="14" xfId="0" applyFont="1" applyBorder="1" applyAlignment="1" applyProtection="1">
      <alignment horizontal="left" vertical="top"/>
    </xf>
    <xf numFmtId="1" fontId="5" fillId="47" borderId="14" xfId="0" applyNumberFormat="1" applyFont="1" applyFill="1" applyBorder="1" applyAlignment="1" applyProtection="1">
      <alignment horizontal="right" vertical="center"/>
    </xf>
    <xf numFmtId="1" fontId="5" fillId="48" borderId="10" xfId="0" applyNumberFormat="1" applyFont="1" applyFill="1" applyBorder="1" applyAlignment="1" applyProtection="1">
      <alignment horizontal="right" vertical="center"/>
      <protection locked="0"/>
    </xf>
    <xf numFmtId="1" fontId="5" fillId="49" borderId="10" xfId="0" applyNumberFormat="1" applyFont="1" applyFill="1" applyBorder="1" applyAlignment="1" applyProtection="1">
      <alignment horizontal="right" vertical="center"/>
      <protection hidden="1"/>
    </xf>
    <xf numFmtId="1" fontId="5" fillId="47" borderId="16" xfId="0" applyNumberFormat="1" applyFont="1" applyFill="1" applyBorder="1" applyAlignment="1" applyProtection="1">
      <alignment horizontal="left" vertical="center" wrapText="1"/>
    </xf>
    <xf numFmtId="1" fontId="5" fillId="47" borderId="17" xfId="0" applyNumberFormat="1" applyFont="1" applyFill="1" applyBorder="1" applyAlignment="1" applyProtection="1">
      <alignment horizontal="left" vertical="center" wrapText="1"/>
    </xf>
    <xf numFmtId="49" fontId="5" fillId="47" borderId="10" xfId="0" applyNumberFormat="1" applyFont="1" applyFill="1" applyBorder="1" applyAlignment="1" applyProtection="1">
      <alignment horizontal="left" vertical="center" wrapText="1"/>
    </xf>
    <xf numFmtId="1" fontId="5" fillId="47" borderId="10" xfId="0" applyNumberFormat="1" applyFont="1" applyFill="1" applyBorder="1" applyAlignment="1" applyProtection="1">
      <alignment horizontal="right" vertical="center" wrapText="1"/>
    </xf>
    <xf numFmtId="1" fontId="5" fillId="47" borderId="10" xfId="0" applyNumberFormat="1" applyFont="1" applyFill="1" applyBorder="1" applyAlignment="1" applyProtection="1">
      <alignment horizontal="right" wrapText="1"/>
    </xf>
    <xf numFmtId="1" fontId="5" fillId="48" borderId="10" xfId="0" applyNumberFormat="1" applyFont="1" applyFill="1" applyBorder="1" applyAlignment="1" applyProtection="1">
      <alignment horizontal="left" vertical="center" wrapText="1"/>
      <protection locked="0"/>
    </xf>
    <xf numFmtId="49" fontId="5" fillId="48" borderId="11" xfId="0" applyNumberFormat="1" applyFont="1" applyFill="1" applyBorder="1" applyAlignment="1" applyProtection="1">
      <protection locked="0"/>
    </xf>
    <xf numFmtId="49" fontId="5" fillId="48" borderId="22" xfId="0" applyNumberFormat="1" applyFont="1" applyFill="1" applyBorder="1" applyAlignment="1" applyProtection="1">
      <protection locked="0"/>
    </xf>
    <xf numFmtId="49" fontId="5" fillId="48" borderId="16" xfId="0" applyNumberFormat="1" applyFont="1" applyFill="1" applyBorder="1" applyAlignment="1" applyProtection="1">
      <alignment horizontal="left" vertical="center" wrapText="1"/>
      <protection locked="0"/>
    </xf>
    <xf numFmtId="49" fontId="5" fillId="51" borderId="10" xfId="0" applyNumberFormat="1" applyFont="1" applyFill="1" applyBorder="1" applyAlignment="1" applyProtection="1">
      <alignment horizontal="left" vertical="top" wrapText="1"/>
    </xf>
    <xf numFmtId="0" fontId="5" fillId="47" borderId="14" xfId="0" applyFont="1" applyFill="1" applyBorder="1" applyAlignment="1" applyProtection="1">
      <alignment horizontal="left" vertical="top" wrapText="1"/>
    </xf>
    <xf numFmtId="49" fontId="5" fillId="51" borderId="14" xfId="0" applyNumberFormat="1" applyFont="1" applyFill="1" applyBorder="1" applyAlignment="1" applyProtection="1">
      <alignment horizontal="left" vertical="top" wrapText="1"/>
    </xf>
    <xf numFmtId="0" fontId="5" fillId="48" borderId="10" xfId="0" applyNumberFormat="1" applyFont="1" applyFill="1" applyBorder="1" applyAlignment="1" applyProtection="1">
      <alignment horizontal="right" vertical="center" wrapText="1"/>
      <protection locked="0"/>
    </xf>
    <xf numFmtId="0" fontId="5" fillId="47" borderId="10" xfId="0" applyNumberFormat="1" applyFont="1" applyFill="1" applyBorder="1" applyAlignment="1" applyProtection="1">
      <alignment horizontal="left" vertical="center" wrapText="1"/>
    </xf>
    <xf numFmtId="0" fontId="29" fillId="0" borderId="23" xfId="0" applyFont="1" applyBorder="1" applyAlignment="1">
      <alignment horizontal="center" vertical="center" wrapText="1"/>
    </xf>
    <xf numFmtId="0" fontId="29" fillId="0" borderId="21" xfId="0" applyFont="1" applyBorder="1" applyAlignment="1">
      <alignment wrapText="1"/>
    </xf>
    <xf numFmtId="0" fontId="29" fillId="0" borderId="23" xfId="0" applyFont="1" applyBorder="1" applyAlignment="1">
      <alignment wrapText="1"/>
    </xf>
    <xf numFmtId="0" fontId="29" fillId="0" borderId="23" xfId="0" applyFont="1" applyBorder="1"/>
    <xf numFmtId="0" fontId="29" fillId="0" borderId="20" xfId="0" applyFont="1" applyBorder="1"/>
    <xf numFmtId="0" fontId="29" fillId="0" borderId="15" xfId="0" applyFont="1" applyBorder="1"/>
    <xf numFmtId="0" fontId="29" fillId="0" borderId="24" xfId="0" applyFont="1" applyBorder="1"/>
    <xf numFmtId="0" fontId="29" fillId="0" borderId="20" xfId="0" applyFont="1" applyBorder="1" applyAlignment="1">
      <alignment wrapText="1"/>
    </xf>
    <xf numFmtId="0" fontId="29" fillId="0" borderId="15" xfId="0" applyFont="1" applyBorder="1" applyAlignment="1">
      <alignment wrapText="1"/>
    </xf>
    <xf numFmtId="0" fontId="29" fillId="0" borderId="24" xfId="0" applyFont="1" applyBorder="1" applyAlignment="1">
      <alignment wrapText="1"/>
    </xf>
    <xf numFmtId="0" fontId="86" fillId="24" borderId="10" xfId="0" applyFont="1" applyFill="1" applyBorder="1" applyAlignment="1">
      <alignment horizontal="center" wrapText="1"/>
    </xf>
    <xf numFmtId="0" fontId="86" fillId="24" borderId="10" xfId="0" applyFont="1" applyFill="1" applyBorder="1" applyAlignment="1">
      <alignment vertical="top" wrapText="1"/>
    </xf>
    <xf numFmtId="0" fontId="86" fillId="0" borderId="10" xfId="0" applyFont="1" applyBorder="1" applyAlignment="1">
      <alignment wrapText="1"/>
    </xf>
    <xf numFmtId="0" fontId="86" fillId="0" borderId="10" xfId="0" applyNumberFormat="1" applyFont="1" applyBorder="1" applyAlignment="1">
      <alignment horizontal="left" vertical="top" wrapText="1"/>
    </xf>
    <xf numFmtId="0" fontId="64" fillId="24" borderId="10" xfId="0" applyFont="1" applyFill="1" applyBorder="1" applyAlignment="1">
      <alignment wrapText="1"/>
    </xf>
    <xf numFmtId="0" fontId="86" fillId="24" borderId="16" xfId="0" applyFont="1" applyFill="1" applyBorder="1" applyAlignment="1">
      <alignment horizontal="center" wrapText="1"/>
    </xf>
    <xf numFmtId="0" fontId="64" fillId="24" borderId="13" xfId="0" applyFont="1" applyFill="1" applyBorder="1" applyAlignment="1">
      <alignment wrapText="1"/>
    </xf>
    <xf numFmtId="0" fontId="64" fillId="24" borderId="12" xfId="0" applyFont="1" applyFill="1" applyBorder="1" applyAlignment="1">
      <alignment wrapText="1"/>
    </xf>
    <xf numFmtId="0" fontId="86" fillId="24" borderId="13" xfId="0" applyFont="1" applyFill="1" applyBorder="1" applyAlignment="1">
      <alignment horizontal="center" wrapText="1"/>
    </xf>
    <xf numFmtId="0" fontId="86" fillId="24" borderId="12" xfId="0" applyFont="1" applyFill="1" applyBorder="1" applyAlignment="1">
      <alignment horizontal="center" wrapText="1"/>
    </xf>
    <xf numFmtId="0" fontId="86" fillId="38" borderId="11" xfId="0" applyFont="1" applyFill="1" applyBorder="1" applyAlignment="1">
      <alignment vertical="top" wrapText="1"/>
    </xf>
    <xf numFmtId="49" fontId="5" fillId="48" borderId="10" xfId="0" applyNumberFormat="1" applyFont="1" applyFill="1" applyBorder="1" applyAlignment="1" applyProtection="1">
      <alignment horizontal="right" vertical="center" wrapText="1"/>
      <protection locked="0"/>
    </xf>
    <xf numFmtId="49" fontId="5" fillId="47" borderId="14" xfId="0" applyNumberFormat="1" applyFont="1" applyFill="1" applyBorder="1" applyAlignment="1" applyProtection="1">
      <alignment horizontal="left" vertical="top" wrapText="1"/>
    </xf>
    <xf numFmtId="49" fontId="5" fillId="0" borderId="10" xfId="0" applyNumberFormat="1" applyFont="1" applyFill="1" applyBorder="1" applyAlignment="1" applyProtection="1">
      <protection locked="0" hidden="1"/>
    </xf>
    <xf numFmtId="0" fontId="57" fillId="48" borderId="10" xfId="0" applyFont="1" applyFill="1" applyBorder="1" applyProtection="1">
      <protection locked="0"/>
    </xf>
    <xf numFmtId="1" fontId="5" fillId="47" borderId="14" xfId="0" applyNumberFormat="1" applyFont="1" applyFill="1" applyBorder="1" applyAlignment="1" applyProtection="1">
      <alignment horizontal="right" vertical="center" wrapText="1"/>
    </xf>
    <xf numFmtId="1" fontId="5" fillId="48" borderId="10" xfId="0" applyNumberFormat="1" applyFont="1" applyFill="1" applyBorder="1" applyAlignment="1" applyProtection="1">
      <alignment horizontal="right" vertical="center" wrapText="1"/>
      <protection locked="0"/>
    </xf>
    <xf numFmtId="0" fontId="0" fillId="0" borderId="0" xfId="0"/>
    <xf numFmtId="0" fontId="29" fillId="0" borderId="11" xfId="0" applyFont="1" applyBorder="1" applyAlignment="1">
      <alignment horizontal="center" vertical="center" wrapText="1"/>
    </xf>
    <xf numFmtId="0" fontId="0" fillId="0" borderId="30" xfId="0" applyBorder="1"/>
    <xf numFmtId="1" fontId="5" fillId="48" borderId="10" xfId="0" quotePrefix="1" applyNumberFormat="1" applyFont="1" applyFill="1" applyBorder="1" applyAlignment="1" applyProtection="1">
      <alignment horizontal="left" vertical="center" wrapText="1"/>
      <protection locked="0"/>
    </xf>
    <xf numFmtId="171" fontId="5" fillId="48" borderId="10" xfId="0" applyNumberFormat="1" applyFont="1" applyFill="1" applyBorder="1" applyAlignment="1" applyProtection="1">
      <alignment horizontal="left" vertical="center" wrapText="1"/>
      <protection locked="0"/>
    </xf>
    <xf numFmtId="171" fontId="28" fillId="24" borderId="10" xfId="0" applyNumberFormat="1" applyFont="1" applyFill="1" applyBorder="1" applyAlignment="1" applyProtection="1">
      <alignment horizontal="right" vertical="center"/>
      <protection hidden="1"/>
    </xf>
    <xf numFmtId="171" fontId="5" fillId="25" borderId="10" xfId="0" applyNumberFormat="1" applyFont="1" applyFill="1" applyBorder="1" applyAlignment="1" applyProtection="1">
      <alignment horizontal="left" vertical="center" wrapText="1"/>
      <protection locked="0"/>
    </xf>
    <xf numFmtId="171" fontId="5" fillId="25" borderId="10" xfId="0" applyNumberFormat="1" applyFont="1" applyFill="1" applyBorder="1" applyAlignment="1" applyProtection="1">
      <alignment horizontal="right" vertical="center"/>
      <protection locked="0"/>
    </xf>
    <xf numFmtId="0" fontId="32" fillId="24" borderId="43" xfId="0" applyFont="1" applyFill="1" applyBorder="1" applyAlignment="1">
      <alignment horizontal="left" vertical="top" wrapText="1"/>
    </xf>
    <xf numFmtId="49" fontId="5" fillId="47" borderId="17" xfId="0" applyNumberFormat="1" applyFont="1" applyFill="1" applyBorder="1" applyAlignment="1" applyProtection="1">
      <alignment horizontal="left" vertical="top" wrapText="1"/>
    </xf>
    <xf numFmtId="49" fontId="5" fillId="25" borderId="14" xfId="0" applyNumberFormat="1" applyFont="1" applyFill="1" applyBorder="1" applyAlignment="1" applyProtection="1">
      <alignment horizontal="left" vertical="center" wrapText="1"/>
      <protection locked="0"/>
    </xf>
    <xf numFmtId="1" fontId="5" fillId="25" borderId="10" xfId="0" applyNumberFormat="1" applyFont="1" applyFill="1" applyBorder="1" applyAlignment="1" applyProtection="1">
      <alignment horizontal="right" vertical="center" wrapText="1"/>
      <protection locked="0"/>
    </xf>
    <xf numFmtId="49" fontId="5" fillId="25" borderId="10" xfId="0" applyNumberFormat="1" applyFont="1" applyFill="1" applyBorder="1" applyAlignment="1" applyProtection="1">
      <alignment horizontal="left" vertical="center" wrapText="1"/>
      <protection locked="0"/>
    </xf>
    <xf numFmtId="1" fontId="28" fillId="24" borderId="10" xfId="0" applyNumberFormat="1" applyFont="1" applyFill="1" applyBorder="1" applyAlignment="1" applyProtection="1">
      <alignment horizontal="right" vertical="center"/>
      <protection hidden="1"/>
    </xf>
    <xf numFmtId="1" fontId="90" fillId="50" borderId="10" xfId="0" applyNumberFormat="1" applyFont="1" applyFill="1" applyBorder="1" applyAlignment="1" applyProtection="1">
      <alignment horizontal="right" vertical="center"/>
      <protection hidden="1"/>
    </xf>
    <xf numFmtId="1" fontId="28" fillId="24" borderId="10" xfId="0" applyNumberFormat="1" applyFont="1" applyFill="1" applyBorder="1" applyAlignment="1" applyProtection="1">
      <alignment horizontal="right" vertical="center"/>
      <protection hidden="1"/>
    </xf>
    <xf numFmtId="0" fontId="29" fillId="0" borderId="24" xfId="0" applyFont="1" applyBorder="1" applyAlignment="1"/>
    <xf numFmtId="0" fontId="85" fillId="0" borderId="0" xfId="0" applyFont="1"/>
    <xf numFmtId="0" fontId="85" fillId="0" borderId="10" xfId="0" applyFont="1" applyBorder="1"/>
    <xf numFmtId="0" fontId="57" fillId="0" borderId="10" xfId="0" applyFont="1" applyBorder="1"/>
    <xf numFmtId="1" fontId="5" fillId="25" borderId="10" xfId="0" applyNumberFormat="1" applyFont="1" applyFill="1" applyBorder="1" applyAlignment="1" applyProtection="1">
      <alignment horizontal="right" vertical="center" wrapText="1"/>
      <protection locked="0"/>
    </xf>
    <xf numFmtId="49" fontId="5" fillId="25" borderId="10" xfId="0" applyNumberFormat="1" applyFont="1" applyFill="1" applyBorder="1" applyAlignment="1" applyProtection="1">
      <alignment horizontal="left" vertical="center" wrapText="1"/>
      <protection locked="0"/>
    </xf>
    <xf numFmtId="0" fontId="57" fillId="0" borderId="12" xfId="0" applyFont="1" applyBorder="1"/>
    <xf numFmtId="0" fontId="0" fillId="0" borderId="0" xfId="0"/>
    <xf numFmtId="1" fontId="28" fillId="24" borderId="10" xfId="0" applyNumberFormat="1" applyFont="1" applyFill="1" applyBorder="1" applyAlignment="1" applyProtection="1">
      <alignment horizontal="right" vertical="center"/>
      <protection hidden="1"/>
    </xf>
    <xf numFmtId="0" fontId="3" fillId="24" borderId="13" xfId="0" applyFont="1" applyFill="1" applyBorder="1" applyAlignment="1">
      <alignment vertical="center"/>
    </xf>
    <xf numFmtId="0" fontId="3" fillId="26" borderId="21" xfId="0" applyFont="1" applyFill="1" applyBorder="1" applyAlignment="1">
      <alignment horizontal="center"/>
    </xf>
    <xf numFmtId="0" fontId="29" fillId="0" borderId="10" xfId="0" applyFont="1" applyBorder="1"/>
    <xf numFmtId="0" fontId="29" fillId="0" borderId="10" xfId="0" applyFont="1" applyBorder="1" applyAlignment="1">
      <alignment horizontal="center" vertical="center"/>
    </xf>
    <xf numFmtId="0" fontId="3" fillId="0" borderId="12" xfId="0" applyFont="1" applyBorder="1" applyAlignment="1">
      <alignment horizontal="center" vertical="center" textRotation="90"/>
    </xf>
    <xf numFmtId="0" fontId="3" fillId="26" borderId="21" xfId="0" applyFont="1" applyFill="1" applyBorder="1" applyAlignment="1">
      <alignment horizontal="center"/>
    </xf>
    <xf numFmtId="0" fontId="3" fillId="0" borderId="10" xfId="0" applyFont="1" applyBorder="1" applyAlignment="1">
      <alignment horizontal="center"/>
    </xf>
    <xf numFmtId="0" fontId="3" fillId="24" borderId="20" xfId="0" applyFont="1" applyFill="1" applyBorder="1" applyAlignment="1">
      <alignment vertical="center" textRotation="90"/>
    </xf>
    <xf numFmtId="0" fontId="3" fillId="0" borderId="10" xfId="0" applyFont="1" applyBorder="1" applyAlignment="1">
      <alignment horizontal="center" vertical="top"/>
    </xf>
    <xf numFmtId="1" fontId="5" fillId="48" borderId="14" xfId="0" applyNumberFormat="1" applyFont="1" applyFill="1" applyBorder="1" applyAlignment="1" applyProtection="1">
      <alignment horizontal="right" vertical="center"/>
      <protection locked="0"/>
    </xf>
    <xf numFmtId="0" fontId="3" fillId="0" borderId="21" xfId="878" applyFont="1" applyBorder="1" applyAlignment="1">
      <alignment horizontal="center" vertical="center" textRotation="90" wrapText="1"/>
    </xf>
    <xf numFmtId="0" fontId="3" fillId="0" borderId="23" xfId="878" applyFont="1" applyBorder="1" applyAlignment="1">
      <alignment horizontal="center" vertical="center" textRotation="90" wrapText="1"/>
    </xf>
    <xf numFmtId="0" fontId="3" fillId="26" borderId="21" xfId="0" applyFont="1" applyFill="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left" vertical="center" wrapText="1"/>
    </xf>
    <xf numFmtId="0" fontId="3" fillId="24" borderId="12" xfId="0" applyFont="1" applyFill="1" applyBorder="1" applyAlignment="1">
      <alignment horizontal="center" vertical="top" wrapText="1"/>
    </xf>
    <xf numFmtId="1" fontId="5" fillId="25" borderId="10" xfId="0" applyNumberFormat="1" applyFont="1" applyFill="1" applyBorder="1" applyAlignment="1" applyProtection="1">
      <alignment horizontal="right" vertical="center" wrapText="1"/>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26" borderId="21" xfId="0" applyFont="1" applyFill="1" applyBorder="1" applyAlignment="1" applyProtection="1">
      <alignment horizontal="center" vertical="top" wrapText="1"/>
      <protection hidden="1"/>
    </xf>
    <xf numFmtId="1" fontId="28" fillId="24" borderId="10" xfId="0" applyNumberFormat="1" applyFont="1" applyFill="1" applyBorder="1" applyAlignment="1" applyProtection="1">
      <alignment horizontal="right" vertical="center"/>
      <protection hidden="1"/>
    </xf>
    <xf numFmtId="0" fontId="3" fillId="0" borderId="13" xfId="0" applyFont="1" applyBorder="1" applyAlignment="1">
      <alignment horizontal="center" vertical="center" wrapText="1"/>
    </xf>
    <xf numFmtId="0" fontId="3" fillId="0" borderId="13" xfId="0" applyFont="1" applyBorder="1" applyAlignment="1">
      <alignment horizontal="center" vertical="top" wrapText="1"/>
    </xf>
    <xf numFmtId="49" fontId="5" fillId="25" borderId="14" xfId="0" applyNumberFormat="1" applyFont="1" applyFill="1" applyBorder="1" applyAlignment="1" applyProtection="1">
      <alignment horizontal="left" vertical="center" wrapText="1"/>
      <protection locked="0"/>
    </xf>
    <xf numFmtId="49" fontId="5" fillId="25" borderId="10" xfId="0" applyNumberFormat="1" applyFont="1" applyFill="1" applyBorder="1" applyAlignment="1" applyProtection="1">
      <alignment horizontal="left" vertical="center" wrapText="1"/>
      <protection locked="0"/>
    </xf>
    <xf numFmtId="0" fontId="3" fillId="0" borderId="14" xfId="0" applyFont="1" applyBorder="1" applyAlignment="1">
      <alignment horizontal="center" vertical="center" wrapText="1"/>
    </xf>
    <xf numFmtId="165" fontId="29" fillId="0" borderId="10" xfId="0" applyNumberFormat="1" applyFont="1" applyBorder="1" applyAlignment="1">
      <alignment horizontal="center" vertical="center"/>
    </xf>
    <xf numFmtId="0" fontId="5" fillId="25" borderId="14" xfId="0" applyFont="1" applyFill="1" applyBorder="1" applyAlignment="1" applyProtection="1">
      <alignment horizontal="left" vertical="center" wrapText="1"/>
      <protection locked="0"/>
    </xf>
    <xf numFmtId="0" fontId="29" fillId="0" borderId="10" xfId="0" applyFont="1" applyBorder="1" applyAlignment="1">
      <alignment horizontal="center"/>
    </xf>
    <xf numFmtId="0" fontId="29" fillId="0" borderId="10" xfId="0" applyFont="1" applyBorder="1" applyAlignment="1">
      <alignment horizontal="left" vertical="center" wrapText="1"/>
    </xf>
    <xf numFmtId="0" fontId="3" fillId="0" borderId="10" xfId="0" applyFont="1" applyBorder="1" applyAlignment="1">
      <alignment horizontal="center" vertical="top"/>
    </xf>
    <xf numFmtId="0" fontId="7" fillId="0" borderId="14" xfId="0" applyFont="1" applyBorder="1" applyAlignment="1">
      <alignment horizontal="center" vertical="center" wrapText="1"/>
    </xf>
    <xf numFmtId="1" fontId="28" fillId="24" borderId="10" xfId="0" applyNumberFormat="1" applyFont="1" applyFill="1" applyBorder="1" applyAlignment="1" applyProtection="1">
      <alignment horizontal="right" vertical="center"/>
      <protection hidden="1"/>
    </xf>
    <xf numFmtId="0" fontId="3"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 fontId="5" fillId="47" borderId="10" xfId="0" applyNumberFormat="1" applyFont="1" applyFill="1" applyBorder="1" applyAlignment="1" applyProtection="1">
      <alignment horizontal="right" vertical="center" wrapText="1"/>
    </xf>
    <xf numFmtId="0" fontId="3" fillId="26" borderId="14" xfId="0" applyFont="1" applyFill="1" applyBorder="1" applyAlignment="1" applyProtection="1">
      <alignment vertical="top" wrapText="1"/>
    </xf>
    <xf numFmtId="0" fontId="3" fillId="0" borderId="14" xfId="0" applyFont="1" applyBorder="1" applyAlignment="1">
      <alignment horizontal="left" vertical="center" wrapText="1"/>
    </xf>
    <xf numFmtId="1" fontId="5" fillId="25" borderId="10" xfId="0" applyNumberFormat="1" applyFont="1" applyFill="1" applyBorder="1" applyAlignment="1" applyProtection="1">
      <alignment horizontal="right" vertical="center" wrapText="1"/>
      <protection locked="0"/>
    </xf>
    <xf numFmtId="1" fontId="5" fillId="25" borderId="14" xfId="0" applyNumberFormat="1" applyFont="1" applyFill="1" applyBorder="1" applyAlignment="1" applyProtection="1">
      <alignment horizontal="right" vertical="center" wrapText="1"/>
      <protection locked="0"/>
    </xf>
    <xf numFmtId="0" fontId="3" fillId="0" borderId="10" xfId="0" applyFont="1" applyBorder="1" applyAlignment="1">
      <alignment horizontal="center" vertical="center" wrapText="1"/>
    </xf>
    <xf numFmtId="0" fontId="0" fillId="0" borderId="0" xfId="0"/>
    <xf numFmtId="0" fontId="29" fillId="0" borderId="14" xfId="0" applyFont="1" applyBorder="1" applyAlignment="1">
      <alignment horizontal="center" vertical="center" wrapText="1"/>
    </xf>
    <xf numFmtId="0" fontId="3" fillId="0" borderId="16" xfId="0" applyFont="1" applyBorder="1" applyAlignment="1">
      <alignment horizontal="center" vertical="center" wrapText="1"/>
    </xf>
    <xf numFmtId="1" fontId="5" fillId="25" borderId="10" xfId="0" applyNumberFormat="1" applyFont="1" applyFill="1" applyBorder="1" applyAlignment="1" applyProtection="1">
      <alignment horizontal="right" vertical="center" wrapText="1"/>
      <protection locked="0"/>
    </xf>
    <xf numFmtId="1" fontId="5" fillId="25" borderId="14" xfId="0" applyNumberFormat="1" applyFont="1" applyFill="1" applyBorder="1" applyAlignment="1" applyProtection="1">
      <alignment horizontal="right" vertical="center" wrapText="1"/>
      <protection locked="0"/>
    </xf>
    <xf numFmtId="1" fontId="5" fillId="25" borderId="11" xfId="0" applyNumberFormat="1" applyFont="1" applyFill="1" applyBorder="1" applyAlignment="1" applyProtection="1">
      <alignment horizontal="right" vertical="center" wrapText="1"/>
      <protection locked="0"/>
    </xf>
    <xf numFmtId="0" fontId="26" fillId="27" borderId="14" xfId="0" applyFont="1" applyFill="1" applyBorder="1" applyAlignment="1">
      <alignment horizontal="center"/>
    </xf>
    <xf numFmtId="0" fontId="7" fillId="0" borderId="10" xfId="0" applyFont="1" applyBorder="1" applyAlignment="1">
      <alignment horizontal="center" vertical="center" wrapText="1"/>
    </xf>
    <xf numFmtId="1" fontId="28" fillId="24" borderId="10" xfId="0" applyNumberFormat="1" applyFont="1" applyFill="1" applyBorder="1" applyAlignment="1" applyProtection="1">
      <alignment horizontal="right" vertical="center"/>
      <protection hidden="1"/>
    </xf>
    <xf numFmtId="0" fontId="5" fillId="26" borderId="22" xfId="0" applyFont="1" applyFill="1" applyBorder="1" applyAlignment="1">
      <alignment vertical="center" wrapText="1"/>
    </xf>
    <xf numFmtId="0" fontId="5" fillId="26" borderId="23" xfId="0" applyFont="1" applyFill="1" applyBorder="1" applyAlignment="1">
      <alignment vertical="center" wrapText="1"/>
    </xf>
    <xf numFmtId="1" fontId="28" fillId="0" borderId="20" xfId="0" applyNumberFormat="1" applyFont="1" applyBorder="1" applyAlignment="1" applyProtection="1">
      <alignment horizontal="right" vertical="center" wrapText="1"/>
      <protection hidden="1"/>
    </xf>
    <xf numFmtId="0" fontId="5" fillId="26" borderId="0" xfId="0" applyFont="1" applyFill="1" applyBorder="1" applyAlignment="1">
      <alignment vertical="center" wrapText="1"/>
    </xf>
    <xf numFmtId="0" fontId="5" fillId="26" borderId="18" xfId="0" applyFont="1" applyFill="1" applyBorder="1" applyAlignment="1">
      <alignment vertical="center" wrapText="1"/>
    </xf>
    <xf numFmtId="0" fontId="5" fillId="26" borderId="21" xfId="0" applyFont="1" applyFill="1" applyBorder="1" applyAlignment="1">
      <alignment vertical="center" wrapText="1"/>
    </xf>
    <xf numFmtId="0" fontId="5" fillId="26" borderId="20" xfId="0" applyFont="1" applyFill="1" applyBorder="1" applyAlignment="1">
      <alignment vertical="center" wrapText="1"/>
    </xf>
    <xf numFmtId="0" fontId="5" fillId="26" borderId="15" xfId="0" applyFont="1" applyFill="1" applyBorder="1" applyAlignment="1">
      <alignment vertical="center" wrapText="1"/>
    </xf>
    <xf numFmtId="0" fontId="5" fillId="26" borderId="24" xfId="0" applyFont="1" applyFill="1" applyBorder="1" applyAlignment="1">
      <alignment vertical="center" wrapText="1"/>
    </xf>
    <xf numFmtId="0" fontId="5" fillId="26" borderId="11" xfId="0" applyFont="1" applyFill="1" applyBorder="1" applyAlignment="1">
      <alignment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1" fontId="5" fillId="25" borderId="10" xfId="0" applyNumberFormat="1" applyFont="1" applyFill="1" applyBorder="1" applyAlignment="1" applyProtection="1">
      <alignment horizontal="right" vertical="center" wrapText="1"/>
      <protection locked="0"/>
    </xf>
    <xf numFmtId="1" fontId="5" fillId="48" borderId="10" xfId="0" applyNumberFormat="1" applyFont="1" applyFill="1" applyBorder="1" applyAlignment="1" applyProtection="1">
      <alignment horizontal="right" vertical="center" wrapText="1"/>
      <protection locked="0"/>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0" fillId="0" borderId="0" xfId="0"/>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1" fontId="27" fillId="24" borderId="10" xfId="0" applyNumberFormat="1" applyFont="1" applyFill="1" applyBorder="1" applyAlignment="1" applyProtection="1">
      <alignment horizontal="right" vertical="center"/>
      <protection hidden="1"/>
    </xf>
    <xf numFmtId="0" fontId="3" fillId="0" borderId="10" xfId="0" applyFont="1" applyBorder="1" applyAlignment="1">
      <alignment horizontal="left" vertical="center"/>
    </xf>
    <xf numFmtId="0" fontId="0" fillId="0" borderId="0" xfId="0"/>
    <xf numFmtId="0" fontId="3" fillId="0" borderId="10" xfId="0" applyFont="1" applyBorder="1" applyAlignment="1">
      <alignment horizontal="center"/>
    </xf>
    <xf numFmtId="0" fontId="3" fillId="0" borderId="11" xfId="0" applyFont="1" applyBorder="1" applyAlignment="1">
      <alignment horizontal="center"/>
    </xf>
    <xf numFmtId="1" fontId="28" fillId="24" borderId="10" xfId="0" applyNumberFormat="1" applyFont="1" applyFill="1" applyBorder="1" applyAlignment="1" applyProtection="1">
      <alignment horizontal="right" vertical="top"/>
      <protection hidden="1"/>
    </xf>
    <xf numFmtId="0" fontId="0" fillId="0" borderId="0" xfId="0"/>
    <xf numFmtId="0" fontId="29" fillId="0" borderId="10" xfId="0" applyFont="1" applyBorder="1" applyAlignment="1">
      <alignment horizontal="center" vertical="center"/>
    </xf>
    <xf numFmtId="0" fontId="29" fillId="0" borderId="14" xfId="0" applyFont="1" applyBorder="1" applyAlignment="1">
      <alignment horizontal="left" vertical="center"/>
    </xf>
    <xf numFmtId="0" fontId="29" fillId="0" borderId="19" xfId="0" applyFont="1" applyBorder="1" applyAlignment="1">
      <alignment horizontal="left" vertical="center"/>
    </xf>
    <xf numFmtId="0" fontId="29" fillId="0" borderId="11" xfId="0" applyFont="1" applyBorder="1" applyAlignment="1">
      <alignment horizontal="left" vertical="center"/>
    </xf>
    <xf numFmtId="0" fontId="0" fillId="0" borderId="0" xfId="0"/>
    <xf numFmtId="0" fontId="29" fillId="0" borderId="10" xfId="0" applyFont="1" applyBorder="1" applyAlignment="1">
      <alignment horizontal="center" vertical="center"/>
    </xf>
    <xf numFmtId="0" fontId="29" fillId="0" borderId="10" xfId="0" applyFont="1" applyBorder="1" applyAlignment="1">
      <alignment horizontal="left" vertical="center"/>
    </xf>
    <xf numFmtId="0" fontId="29" fillId="0" borderId="14" xfId="0" applyFont="1" applyBorder="1" applyAlignment="1">
      <alignment horizontal="left" vertical="center"/>
    </xf>
    <xf numFmtId="0" fontId="29" fillId="0" borderId="19" xfId="0" applyFont="1" applyBorder="1" applyAlignment="1">
      <alignment horizontal="left" vertical="center"/>
    </xf>
    <xf numFmtId="0" fontId="29" fillId="0" borderId="11" xfId="0" applyFont="1" applyBorder="1" applyAlignment="1">
      <alignment horizontal="left" vertical="center"/>
    </xf>
    <xf numFmtId="0" fontId="0" fillId="0" borderId="0" xfId="0"/>
    <xf numFmtId="0" fontId="0" fillId="0" borderId="0" xfId="0"/>
    <xf numFmtId="0" fontId="85" fillId="0" borderId="13" xfId="0" applyFont="1" applyBorder="1"/>
    <xf numFmtId="0" fontId="3" fillId="0" borderId="21" xfId="878" applyFont="1" applyBorder="1" applyAlignment="1">
      <alignment horizontal="center" vertical="center" textRotation="90" wrapText="1"/>
    </xf>
    <xf numFmtId="0" fontId="3" fillId="0" borderId="23" xfId="878" applyFont="1" applyBorder="1" applyAlignment="1">
      <alignment horizontal="center" vertical="center" textRotation="90" wrapText="1"/>
    </xf>
    <xf numFmtId="0" fontId="29" fillId="0" borderId="10" xfId="0" applyFont="1" applyBorder="1" applyAlignment="1">
      <alignment horizontal="center" vertical="center"/>
    </xf>
    <xf numFmtId="0" fontId="3" fillId="24" borderId="14" xfId="0" applyFont="1" applyFill="1" applyBorder="1" applyAlignment="1">
      <alignment horizontal="left" vertical="center" wrapText="1"/>
    </xf>
    <xf numFmtId="0" fontId="57" fillId="0" borderId="10" xfId="0" applyFont="1" applyBorder="1"/>
    <xf numFmtId="49" fontId="5" fillId="2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7" fillId="0" borderId="14" xfId="0" applyFont="1" applyBorder="1" applyAlignment="1">
      <alignment horizontal="left" vertical="center" wrapText="1"/>
    </xf>
    <xf numFmtId="0" fontId="3" fillId="0" borderId="20" xfId="0" applyFont="1" applyBorder="1" applyAlignment="1">
      <alignment horizontal="center" vertical="top" wrapText="1"/>
    </xf>
    <xf numFmtId="0" fontId="0" fillId="0" borderId="0" xfId="0"/>
    <xf numFmtId="0" fontId="3" fillId="0" borderId="12" xfId="0" applyFont="1" applyBorder="1" applyAlignment="1" applyProtection="1">
      <alignment horizontal="center" vertical="center" textRotation="90"/>
    </xf>
    <xf numFmtId="0" fontId="3" fillId="0" borderId="10" xfId="0" applyFont="1" applyBorder="1" applyAlignment="1">
      <alignment horizontal="center" vertical="center"/>
    </xf>
    <xf numFmtId="0" fontId="7" fillId="0" borderId="10" xfId="0" applyFont="1" applyBorder="1" applyAlignment="1">
      <alignment horizontal="center" vertical="center" wrapText="1"/>
    </xf>
    <xf numFmtId="1" fontId="28" fillId="24" borderId="10" xfId="0" applyNumberFormat="1" applyFont="1" applyFill="1" applyBorder="1" applyAlignment="1" applyProtection="1">
      <alignment horizontal="right" vertical="center"/>
      <protection hidden="1"/>
    </xf>
    <xf numFmtId="0" fontId="7" fillId="0" borderId="10" xfId="0" applyFont="1" applyBorder="1" applyAlignment="1">
      <alignment horizontal="left" vertical="center" wrapText="1"/>
    </xf>
    <xf numFmtId="1" fontId="28" fillId="24" borderId="10" xfId="0" applyNumberFormat="1" applyFont="1" applyFill="1" applyBorder="1" applyAlignment="1" applyProtection="1">
      <alignment horizontal="right" vertical="center"/>
      <protection hidden="1"/>
    </xf>
    <xf numFmtId="168" fontId="5" fillId="47" borderId="10" xfId="0" applyNumberFormat="1" applyFont="1" applyFill="1" applyBorder="1" applyAlignment="1" applyProtection="1">
      <alignment horizontal="left" vertical="center" wrapText="1"/>
    </xf>
    <xf numFmtId="168" fontId="5" fillId="48" borderId="10" xfId="0" applyNumberFormat="1" applyFont="1" applyFill="1" applyBorder="1" applyAlignment="1" applyProtection="1">
      <alignment horizontal="left" vertical="center" wrapText="1"/>
      <protection locked="0"/>
    </xf>
    <xf numFmtId="49" fontId="5" fillId="48" borderId="10" xfId="0" applyNumberFormat="1" applyFont="1" applyFill="1" applyBorder="1" applyAlignment="1" applyProtection="1">
      <alignment horizontal="left" vertical="center"/>
      <protection locked="0"/>
    </xf>
    <xf numFmtId="1" fontId="32" fillId="48" borderId="10" xfId="0" applyNumberFormat="1" applyFont="1" applyFill="1" applyBorder="1" applyAlignment="1" applyProtection="1">
      <alignment horizontal="right" vertical="center"/>
      <protection locked="0"/>
    </xf>
    <xf numFmtId="2" fontId="32" fillId="48" borderId="10" xfId="0" applyNumberFormat="1" applyFont="1" applyFill="1" applyBorder="1" applyAlignment="1" applyProtection="1">
      <alignment horizontal="right" vertical="center"/>
      <protection locked="0"/>
    </xf>
    <xf numFmtId="2" fontId="32" fillId="48" borderId="11" xfId="0" applyNumberFormat="1" applyFont="1" applyFill="1" applyBorder="1" applyAlignment="1" applyProtection="1">
      <alignment horizontal="center" vertical="center"/>
      <protection locked="0"/>
    </xf>
    <xf numFmtId="0" fontId="5" fillId="48" borderId="10" xfId="0" applyNumberFormat="1" applyFont="1" applyFill="1" applyBorder="1" applyAlignment="1" applyProtection="1">
      <alignment horizontal="left" vertical="center"/>
      <protection locked="0"/>
    </xf>
    <xf numFmtId="49" fontId="5" fillId="47" borderId="16" xfId="0" applyNumberFormat="1" applyFont="1" applyFill="1" applyBorder="1" applyAlignment="1" applyProtection="1">
      <alignment horizontal="left" vertical="top"/>
    </xf>
    <xf numFmtId="0" fontId="0" fillId="0" borderId="0" xfId="0"/>
    <xf numFmtId="0" fontId="3" fillId="24" borderId="21" xfId="0" applyFont="1" applyFill="1" applyBorder="1" applyAlignment="1">
      <alignment vertical="center" textRotation="90"/>
    </xf>
    <xf numFmtId="0" fontId="3" fillId="0" borderId="10" xfId="0" applyFont="1" applyBorder="1" applyAlignment="1">
      <alignment horizontal="center" vertical="center"/>
    </xf>
    <xf numFmtId="0" fontId="5" fillId="47" borderId="10" xfId="0" applyNumberFormat="1" applyFont="1" applyFill="1" applyBorder="1" applyAlignment="1" applyProtection="1">
      <alignment horizontal="right"/>
    </xf>
    <xf numFmtId="1" fontId="5" fillId="47" borderId="11" xfId="0" applyNumberFormat="1" applyFont="1" applyFill="1" applyBorder="1" applyAlignment="1" applyProtection="1">
      <alignment vertical="top"/>
    </xf>
    <xf numFmtId="0" fontId="32" fillId="0" borderId="10" xfId="0" applyFont="1" applyBorder="1" applyAlignment="1">
      <alignment horizontal="left" wrapText="1"/>
    </xf>
    <xf numFmtId="0" fontId="32" fillId="0" borderId="11" xfId="0" applyFont="1" applyBorder="1" applyAlignment="1">
      <alignment horizontal="left" vertical="center" wrapText="1"/>
    </xf>
    <xf numFmtId="0" fontId="32" fillId="0" borderId="11" xfId="877" applyFont="1" applyBorder="1" applyAlignment="1">
      <alignment horizontal="left"/>
    </xf>
    <xf numFmtId="0" fontId="32" fillId="0" borderId="14" xfId="0" applyFont="1" applyBorder="1" applyAlignment="1">
      <alignment horizontal="left" vertical="top" wrapText="1"/>
    </xf>
    <xf numFmtId="0" fontId="5" fillId="0" borderId="10" xfId="879" applyFont="1" applyFill="1" applyBorder="1" applyAlignment="1">
      <alignment horizontal="left" vertical="top" wrapText="1"/>
    </xf>
    <xf numFmtId="0" fontId="5" fillId="0" borderId="10" xfId="883" applyFont="1" applyFill="1" applyBorder="1" applyAlignment="1">
      <alignment horizontal="left" vertical="top" wrapText="1"/>
    </xf>
    <xf numFmtId="0" fontId="32" fillId="53" borderId="10" xfId="0" applyFont="1" applyFill="1" applyBorder="1"/>
    <xf numFmtId="0" fontId="0" fillId="53" borderId="0" xfId="0" applyFill="1"/>
    <xf numFmtId="0" fontId="32" fillId="0" borderId="10" xfId="0" applyFont="1" applyBorder="1" applyAlignment="1">
      <alignment horizontal="left" vertical="top"/>
    </xf>
    <xf numFmtId="0" fontId="32" fillId="0" borderId="19" xfId="0" applyFont="1" applyBorder="1" applyAlignment="1">
      <alignment horizontal="left"/>
    </xf>
    <xf numFmtId="49" fontId="5" fillId="48"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0" borderId="0" xfId="0"/>
    <xf numFmtId="0" fontId="29" fillId="0" borderId="10" xfId="0" applyFont="1" applyBorder="1" applyAlignment="1">
      <alignment horizontal="center" vertical="center"/>
    </xf>
    <xf numFmtId="0" fontId="58" fillId="0" borderId="10" xfId="0" applyFont="1" applyBorder="1" applyAlignment="1">
      <alignment horizontal="center" vertical="center"/>
    </xf>
    <xf numFmtId="0" fontId="3" fillId="26" borderId="15" xfId="0" applyFont="1" applyFill="1" applyBorder="1" applyAlignment="1">
      <alignment horizontal="center"/>
    </xf>
    <xf numFmtId="0" fontId="3" fillId="26" borderId="24" xfId="0" applyFont="1" applyFill="1" applyBorder="1" applyAlignment="1">
      <alignment horizontal="center"/>
    </xf>
    <xf numFmtId="0" fontId="58" fillId="0" borderId="19" xfId="0" applyFont="1" applyBorder="1" applyAlignment="1">
      <alignment vertical="center"/>
    </xf>
    <xf numFmtId="0" fontId="57" fillId="0" borderId="17" xfId="0" applyFont="1" applyBorder="1"/>
    <xf numFmtId="1" fontId="28" fillId="24" borderId="10" xfId="0" applyNumberFormat="1" applyFont="1" applyFill="1" applyBorder="1" applyAlignment="1" applyProtection="1">
      <alignment horizontal="right" vertical="center"/>
      <protection hidden="1"/>
    </xf>
    <xf numFmtId="0" fontId="3" fillId="24" borderId="14" xfId="0" applyFont="1" applyFill="1" applyBorder="1"/>
    <xf numFmtId="0" fontId="0" fillId="0" borderId="45" xfId="0" applyBorder="1" applyAlignment="1">
      <alignment horizontal="center" vertical="top"/>
    </xf>
    <xf numFmtId="0" fontId="98" fillId="0" borderId="46" xfId="0" applyFont="1" applyBorder="1" applyAlignment="1">
      <alignment vertical="center"/>
    </xf>
    <xf numFmtId="0" fontId="0" fillId="54" borderId="28" xfId="0" applyFill="1" applyBorder="1"/>
    <xf numFmtId="0" fontId="0" fillId="54" borderId="18" xfId="0" applyFill="1" applyBorder="1"/>
    <xf numFmtId="0" fontId="0" fillId="54" borderId="47" xfId="0" applyFill="1" applyBorder="1"/>
    <xf numFmtId="0" fontId="0" fillId="54" borderId="48" xfId="0" applyFill="1" applyBorder="1"/>
    <xf numFmtId="0" fontId="0" fillId="54" borderId="15" xfId="0" applyFill="1" applyBorder="1"/>
    <xf numFmtId="0" fontId="0" fillId="54" borderId="49" xfId="0" applyFill="1" applyBorder="1"/>
    <xf numFmtId="0" fontId="23" fillId="0" borderId="45" xfId="0" applyFont="1" applyBorder="1" applyAlignment="1">
      <alignment horizontal="center"/>
    </xf>
    <xf numFmtId="0" fontId="23" fillId="0" borderId="46" xfId="0" applyFont="1" applyBorder="1" applyAlignment="1">
      <alignment horizontal="center"/>
    </xf>
    <xf numFmtId="0" fontId="23" fillId="0" borderId="45" xfId="0" applyFont="1" applyBorder="1" applyAlignment="1">
      <alignment horizontal="center" vertical="top"/>
    </xf>
    <xf numFmtId="0" fontId="23" fillId="0" borderId="52" xfId="0" applyFont="1" applyBorder="1" applyAlignment="1">
      <alignment horizontal="center" vertical="top"/>
    </xf>
    <xf numFmtId="0" fontId="77" fillId="0" borderId="10" xfId="1041" applyBorder="1" applyAlignment="1">
      <alignment horizontal="center" vertical="center"/>
    </xf>
    <xf numFmtId="0" fontId="3" fillId="0" borderId="10" xfId="0" applyFont="1" applyBorder="1" applyAlignment="1">
      <alignment horizontal="left" vertical="top" wrapText="1"/>
    </xf>
    <xf numFmtId="0" fontId="3" fillId="26" borderId="17" xfId="0" applyFont="1" applyFill="1" applyBorder="1" applyAlignment="1">
      <alignment horizontal="center"/>
    </xf>
    <xf numFmtId="0" fontId="3" fillId="0" borderId="10"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26" borderId="20" xfId="0" applyFont="1" applyFill="1" applyBorder="1" applyAlignment="1">
      <alignment horizontal="center"/>
    </xf>
    <xf numFmtId="0" fontId="3" fillId="26" borderId="21" xfId="0" applyFont="1" applyFill="1" applyBorder="1" applyAlignment="1">
      <alignment horizontal="center"/>
    </xf>
    <xf numFmtId="0" fontId="5" fillId="26" borderId="21" xfId="0" applyNumberFormat="1" applyFont="1" applyFill="1" applyBorder="1" applyAlignment="1" applyProtection="1">
      <alignment horizontal="right"/>
    </xf>
    <xf numFmtId="0" fontId="5" fillId="26" borderId="23" xfId="0" applyNumberFormat="1" applyFont="1" applyFill="1" applyBorder="1" applyAlignment="1" applyProtection="1">
      <alignment horizontal="right"/>
    </xf>
    <xf numFmtId="0" fontId="0" fillId="0" borderId="0" xfId="0"/>
    <xf numFmtId="0" fontId="3" fillId="0" borderId="10" xfId="0" applyFont="1" applyBorder="1" applyAlignment="1">
      <alignment horizontal="center"/>
    </xf>
    <xf numFmtId="0" fontId="3" fillId="0" borderId="10" xfId="0" applyFont="1" applyBorder="1" applyAlignment="1">
      <alignment horizontal="center" vertical="center"/>
    </xf>
    <xf numFmtId="0" fontId="3" fillId="0" borderId="12" xfId="0" applyFont="1" applyBorder="1" applyAlignment="1">
      <alignment horizontal="center"/>
    </xf>
    <xf numFmtId="1" fontId="28" fillId="24" borderId="10" xfId="0" applyNumberFormat="1" applyFont="1" applyFill="1" applyBorder="1" applyAlignment="1" applyProtection="1">
      <alignment horizontal="right" vertical="center"/>
      <protection hidden="1"/>
    </xf>
    <xf numFmtId="0" fontId="0" fillId="0" borderId="0" xfId="0" applyBorder="1"/>
    <xf numFmtId="0" fontId="29" fillId="0" borderId="13" xfId="0" applyFont="1" applyBorder="1" applyAlignment="1">
      <alignment horizontal="center" vertical="top"/>
    </xf>
    <xf numFmtId="0" fontId="29" fillId="0" borderId="10" xfId="0" applyFont="1" applyBorder="1" applyAlignment="1">
      <alignment horizontal="center" vertical="top"/>
    </xf>
    <xf numFmtId="0" fontId="0" fillId="0" borderId="0" xfId="0"/>
    <xf numFmtId="0" fontId="3" fillId="24" borderId="16" xfId="0" applyFont="1" applyFill="1" applyBorder="1" applyAlignment="1">
      <alignment vertical="top"/>
    </xf>
    <xf numFmtId="1" fontId="7" fillId="0" borderId="10" xfId="0" applyNumberFormat="1" applyFont="1" applyFill="1" applyBorder="1" applyAlignment="1" applyProtection="1">
      <alignment horizontal="left" vertical="top" wrapText="1"/>
    </xf>
    <xf numFmtId="0" fontId="0" fillId="0" borderId="0" xfId="0" applyAlignment="1">
      <alignment vertical="top"/>
    </xf>
    <xf numFmtId="0" fontId="0" fillId="54" borderId="0" xfId="0" applyFill="1"/>
    <xf numFmtId="0" fontId="0" fillId="54" borderId="0" xfId="0" applyFill="1" applyAlignment="1">
      <alignment vertical="top"/>
    </xf>
    <xf numFmtId="0" fontId="0" fillId="54" borderId="35" xfId="0" applyFill="1" applyBorder="1"/>
    <xf numFmtId="0" fontId="0" fillId="54" borderId="36" xfId="0" applyFill="1" applyBorder="1"/>
    <xf numFmtId="0" fontId="0" fillId="54" borderId="38" xfId="0" applyFill="1" applyBorder="1"/>
    <xf numFmtId="0" fontId="0" fillId="54" borderId="38" xfId="0" applyFill="1" applyBorder="1" applyAlignment="1">
      <alignment vertical="top"/>
    </xf>
    <xf numFmtId="0" fontId="61" fillId="0" borderId="16" xfId="0" applyFont="1" applyBorder="1" applyAlignment="1">
      <alignment horizontal="center" vertical="center" wrapText="1"/>
    </xf>
    <xf numFmtId="0" fontId="7" fillId="54" borderId="22" xfId="0" applyFont="1" applyFill="1" applyBorder="1" applyAlignment="1">
      <alignment horizontal="center" vertical="top"/>
    </xf>
    <xf numFmtId="0" fontId="7" fillId="54" borderId="23" xfId="0" applyFont="1" applyFill="1" applyBorder="1" applyAlignment="1">
      <alignment horizontal="center" vertical="top"/>
    </xf>
    <xf numFmtId="0" fontId="7" fillId="54" borderId="24" xfId="0" applyFont="1" applyFill="1" applyBorder="1" applyAlignment="1">
      <alignment horizontal="center" vertical="top"/>
    </xf>
    <xf numFmtId="0" fontId="7" fillId="54" borderId="22" xfId="0" applyFont="1" applyFill="1" applyBorder="1" applyAlignment="1">
      <alignment horizontal="center" vertical="center"/>
    </xf>
    <xf numFmtId="0" fontId="7" fillId="54" borderId="23" xfId="0" applyFont="1" applyFill="1" applyBorder="1" applyAlignment="1">
      <alignment horizontal="center" vertical="center"/>
    </xf>
    <xf numFmtId="0" fontId="5" fillId="26" borderId="0" xfId="0" applyNumberFormat="1" applyFont="1" applyFill="1" applyBorder="1" applyAlignment="1" applyProtection="1">
      <alignment horizontal="right"/>
    </xf>
    <xf numFmtId="0" fontId="0" fillId="54" borderId="0" xfId="0" applyFill="1" applyBorder="1"/>
    <xf numFmtId="0" fontId="0" fillId="54" borderId="30" xfId="0" applyFill="1" applyBorder="1"/>
    <xf numFmtId="1" fontId="3" fillId="54" borderId="23" xfId="0" applyNumberFormat="1" applyFont="1" applyFill="1" applyBorder="1" applyAlignment="1">
      <alignment horizontal="center" vertical="top"/>
    </xf>
    <xf numFmtId="1" fontId="3" fillId="0" borderId="11" xfId="0" applyNumberFormat="1" applyFont="1" applyBorder="1" applyAlignment="1">
      <alignment horizontal="center" vertical="top"/>
    </xf>
    <xf numFmtId="1" fontId="3" fillId="0" borderId="24" xfId="0" applyNumberFormat="1" applyFont="1" applyBorder="1" applyAlignment="1">
      <alignment horizontal="center" vertical="top"/>
    </xf>
    <xf numFmtId="0" fontId="0" fillId="54" borderId="12" xfId="0" applyFill="1" applyBorder="1"/>
    <xf numFmtId="0" fontId="0" fillId="54" borderId="13" xfId="0" applyFill="1" applyBorder="1"/>
    <xf numFmtId="1" fontId="3" fillId="54" borderId="22" xfId="0" applyNumberFormat="1" applyFont="1" applyFill="1" applyBorder="1" applyAlignment="1">
      <alignment horizontal="center" vertical="top"/>
    </xf>
    <xf numFmtId="0" fontId="3" fillId="54" borderId="12" xfId="0" applyFont="1" applyFill="1" applyBorder="1" applyAlignment="1">
      <alignment vertical="center" textRotation="90"/>
    </xf>
    <xf numFmtId="1" fontId="3" fillId="54" borderId="24" xfId="0" applyNumberFormat="1" applyFont="1" applyFill="1" applyBorder="1" applyAlignment="1">
      <alignment horizontal="center" vertical="top"/>
    </xf>
    <xf numFmtId="0" fontId="0" fillId="54" borderId="0" xfId="0" applyFill="1" applyBorder="1" applyAlignment="1">
      <alignment horizontal="center"/>
    </xf>
    <xf numFmtId="0" fontId="7" fillId="54" borderId="14" xfId="0" applyFont="1" applyFill="1" applyBorder="1" applyAlignment="1">
      <alignment horizontal="left" vertical="center"/>
    </xf>
    <xf numFmtId="0" fontId="7" fillId="54" borderId="19" xfId="0" applyFont="1" applyFill="1" applyBorder="1" applyAlignment="1">
      <alignment horizontal="left" vertical="center"/>
    </xf>
    <xf numFmtId="0" fontId="26" fillId="54" borderId="19" xfId="0" applyFont="1" applyFill="1" applyBorder="1" applyAlignment="1">
      <alignment horizontal="left" vertical="center"/>
    </xf>
    <xf numFmtId="0" fontId="26" fillId="54" borderId="11" xfId="0" applyFont="1" applyFill="1" applyBorder="1" applyAlignment="1">
      <alignment horizontal="left" vertical="center"/>
    </xf>
    <xf numFmtId="0" fontId="0" fillId="54" borderId="22" xfId="0" applyFill="1" applyBorder="1" applyAlignment="1"/>
    <xf numFmtId="0" fontId="0" fillId="54" borderId="24" xfId="0" applyFill="1" applyBorder="1"/>
    <xf numFmtId="1" fontId="3" fillId="54" borderId="11" xfId="0" applyNumberFormat="1" applyFont="1" applyFill="1" applyBorder="1" applyAlignment="1">
      <alignment horizontal="center" vertical="top"/>
    </xf>
    <xf numFmtId="0" fontId="0" fillId="54" borderId="39" xfId="0" applyFill="1" applyBorder="1"/>
    <xf numFmtId="0" fontId="0" fillId="54" borderId="40" xfId="0" applyFill="1" applyBorder="1"/>
    <xf numFmtId="0" fontId="0" fillId="54" borderId="41" xfId="0" applyFill="1" applyBorder="1"/>
    <xf numFmtId="0" fontId="0" fillId="54" borderId="37" xfId="0" applyFill="1" applyBorder="1"/>
    <xf numFmtId="0" fontId="0" fillId="54" borderId="39" xfId="0" applyFill="1" applyBorder="1" applyAlignment="1">
      <alignment vertical="top"/>
    </xf>
    <xf numFmtId="0" fontId="0" fillId="54" borderId="0" xfId="0" applyFill="1" applyAlignment="1">
      <alignment horizontal="center"/>
    </xf>
    <xf numFmtId="0" fontId="0" fillId="54" borderId="36" xfId="0" applyFill="1" applyBorder="1" applyAlignment="1">
      <alignment horizontal="center"/>
    </xf>
    <xf numFmtId="0" fontId="5" fillId="26" borderId="16" xfId="0" applyNumberFormat="1" applyFont="1" applyFill="1" applyBorder="1" applyAlignment="1" applyProtection="1">
      <alignment horizontal="center" vertical="top"/>
    </xf>
    <xf numFmtId="0" fontId="5" fillId="26" borderId="13" xfId="0" applyNumberFormat="1" applyFont="1" applyFill="1" applyBorder="1" applyAlignment="1" applyProtection="1">
      <alignment horizontal="center"/>
    </xf>
    <xf numFmtId="0" fontId="7" fillId="0" borderId="16" xfId="0" applyFont="1" applyBorder="1" applyAlignment="1">
      <alignment horizontal="center" vertical="top"/>
    </xf>
    <xf numFmtId="0" fontId="7" fillId="54" borderId="19" xfId="0" applyFont="1" applyFill="1" applyBorder="1" applyAlignment="1">
      <alignment horizontal="center" vertical="center"/>
    </xf>
    <xf numFmtId="0" fontId="0" fillId="54" borderId="30" xfId="0" applyFill="1" applyBorder="1" applyAlignment="1">
      <alignment horizontal="center"/>
    </xf>
    <xf numFmtId="0" fontId="0" fillId="0" borderId="0" xfId="0"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10" xfId="0" applyBorder="1"/>
    <xf numFmtId="0" fontId="0" fillId="0" borderId="0" xfId="0"/>
    <xf numFmtId="0" fontId="0" fillId="0" borderId="0" xfId="0"/>
    <xf numFmtId="0" fontId="57" fillId="0" borderId="10" xfId="0" applyFont="1" applyBorder="1"/>
    <xf numFmtId="0" fontId="27" fillId="0" borderId="0" xfId="0" applyFont="1" applyBorder="1" applyAlignment="1">
      <alignment horizontal="left" vertical="center" wrapText="1"/>
    </xf>
    <xf numFmtId="0" fontId="0" fillId="0" borderId="0" xfId="0"/>
    <xf numFmtId="0" fontId="27" fillId="0" borderId="15" xfId="0" applyFont="1" applyBorder="1" applyAlignment="1">
      <alignment horizontal="left" vertical="center" wrapText="1"/>
    </xf>
    <xf numFmtId="0" fontId="27" fillId="0" borderId="20" xfId="0" applyFont="1" applyBorder="1" applyAlignment="1">
      <alignment horizontal="left" vertical="center"/>
    </xf>
    <xf numFmtId="0" fontId="57" fillId="0" borderId="31" xfId="0" applyFont="1" applyBorder="1"/>
    <xf numFmtId="0" fontId="27" fillId="0" borderId="14" xfId="0" applyFont="1" applyBorder="1" applyAlignment="1" applyProtection="1">
      <alignment horizontal="right" vertical="center" wrapText="1"/>
      <protection hidden="1"/>
    </xf>
    <xf numFmtId="1" fontId="28" fillId="24" borderId="14" xfId="0" applyNumberFormat="1" applyFont="1" applyFill="1" applyBorder="1" applyAlignment="1" applyProtection="1">
      <alignment horizontal="right" vertical="center"/>
      <protection hidden="1"/>
    </xf>
    <xf numFmtId="1" fontId="28" fillId="24" borderId="10" xfId="0" applyNumberFormat="1" applyFont="1" applyFill="1" applyBorder="1" applyAlignment="1" applyProtection="1">
      <alignment horizontal="right" vertical="center"/>
      <protection hidden="1"/>
    </xf>
    <xf numFmtId="1" fontId="28" fillId="24" borderId="10" xfId="0" applyNumberFormat="1" applyFont="1" applyFill="1" applyBorder="1" applyAlignment="1" applyProtection="1">
      <alignment horizontal="right" vertical="center"/>
      <protection hidden="1"/>
    </xf>
    <xf numFmtId="1" fontId="5" fillId="25" borderId="10" xfId="0" applyNumberFormat="1" applyFont="1" applyFill="1" applyBorder="1" applyAlignment="1" applyProtection="1">
      <alignment horizontal="right" vertical="center" wrapText="1"/>
      <protection locked="0"/>
    </xf>
    <xf numFmtId="49" fontId="5" fillId="25" borderId="10" xfId="0" applyNumberFormat="1" applyFont="1" applyFill="1" applyBorder="1" applyAlignment="1" applyProtection="1">
      <alignment horizontal="left" vertical="center" wrapText="1"/>
      <protection locked="0"/>
    </xf>
    <xf numFmtId="49" fontId="5" fillId="25" borderId="14" xfId="0" applyNumberFormat="1" applyFont="1" applyFill="1" applyBorder="1" applyAlignment="1" applyProtection="1">
      <alignment horizontal="left" vertical="center" wrapText="1"/>
      <protection locked="0"/>
    </xf>
    <xf numFmtId="1" fontId="28" fillId="24" borderId="10" xfId="0" applyNumberFormat="1" applyFont="1" applyFill="1" applyBorder="1" applyAlignment="1" applyProtection="1">
      <alignment horizontal="right" vertical="center"/>
      <protection hidden="1"/>
    </xf>
    <xf numFmtId="49" fontId="5" fillId="25" borderId="11" xfId="0" applyNumberFormat="1"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1" xfId="0" applyFont="1" applyBorder="1" applyAlignment="1" applyProtection="1">
      <alignment horizontal="left" vertical="center"/>
    </xf>
    <xf numFmtId="1" fontId="5" fillId="25" borderId="11" xfId="0" applyNumberFormat="1" applyFont="1" applyFill="1" applyBorder="1" applyAlignment="1" applyProtection="1">
      <alignment horizontal="right" vertical="center" wrapText="1"/>
      <protection locked="0"/>
    </xf>
    <xf numFmtId="1" fontId="5" fillId="25" borderId="14" xfId="0" applyNumberFormat="1" applyFont="1" applyFill="1" applyBorder="1" applyAlignment="1" applyProtection="1">
      <alignment horizontal="left" wrapText="1"/>
      <protection locked="0"/>
    </xf>
    <xf numFmtId="0" fontId="27" fillId="0" borderId="14" xfId="0" applyFont="1" applyFill="1" applyBorder="1" applyAlignment="1" applyProtection="1">
      <alignment horizontal="center" vertical="center"/>
    </xf>
    <xf numFmtId="0" fontId="29" fillId="0" borderId="14" xfId="0" applyFont="1" applyBorder="1" applyAlignment="1" applyProtection="1">
      <alignment horizontal="center" vertical="center"/>
    </xf>
    <xf numFmtId="0" fontId="29" fillId="0" borderId="11" xfId="0" applyFont="1" applyBorder="1" applyAlignment="1" applyProtection="1">
      <alignment horizontal="center" vertical="center"/>
    </xf>
    <xf numFmtId="1" fontId="5" fillId="25" borderId="14" xfId="0" applyNumberFormat="1" applyFont="1" applyFill="1" applyBorder="1" applyAlignment="1" applyProtection="1">
      <alignment horizontal="left" vertical="center" wrapText="1"/>
      <protection locked="0"/>
    </xf>
    <xf numFmtId="0" fontId="29" fillId="0" borderId="11" xfId="0" applyFont="1" applyBorder="1" applyAlignment="1" applyProtection="1">
      <alignment horizontal="center" vertical="center" wrapText="1"/>
    </xf>
    <xf numFmtId="0" fontId="3" fillId="0" borderId="11" xfId="0" applyFont="1" applyBorder="1" applyProtection="1"/>
    <xf numFmtId="0" fontId="32" fillId="0" borderId="14" xfId="0" applyFont="1" applyBorder="1" applyAlignment="1">
      <alignment wrapText="1"/>
    </xf>
    <xf numFmtId="1" fontId="28" fillId="50" borderId="14" xfId="0" applyNumberFormat="1" applyFont="1" applyFill="1" applyBorder="1" applyAlignment="1" applyProtection="1">
      <alignment horizontal="right" vertical="center" wrapText="1"/>
    </xf>
    <xf numFmtId="1" fontId="5" fillId="48" borderId="10" xfId="0" applyNumberFormat="1" applyFont="1" applyFill="1" applyBorder="1" applyAlignment="1" applyProtection="1">
      <alignment horizontal="right" vertical="center" wrapText="1"/>
      <protection locked="0"/>
    </xf>
    <xf numFmtId="1" fontId="28" fillId="50" borderId="10" xfId="0" applyNumberFormat="1" applyFont="1" applyFill="1" applyBorder="1" applyAlignment="1" applyProtection="1">
      <alignment horizontal="right" vertical="center" wrapText="1"/>
    </xf>
    <xf numFmtId="1" fontId="5" fillId="48" borderId="14" xfId="0" applyNumberFormat="1" applyFont="1" applyFill="1" applyBorder="1" applyAlignment="1" applyProtection="1">
      <alignment horizontal="left" vertical="center" wrapText="1"/>
      <protection locked="0"/>
    </xf>
    <xf numFmtId="1" fontId="5" fillId="48" borderId="14" xfId="0" applyNumberFormat="1" applyFont="1" applyFill="1" applyBorder="1" applyAlignment="1" applyProtection="1">
      <alignment horizontal="left" wrapText="1"/>
      <protection locked="0"/>
    </xf>
    <xf numFmtId="0" fontId="29" fillId="0" borderId="10" xfId="0" applyFont="1" applyBorder="1" applyAlignment="1">
      <alignment horizontal="center" vertical="center"/>
    </xf>
    <xf numFmtId="0" fontId="29" fillId="0" borderId="14" xfId="0" applyFont="1" applyBorder="1" applyAlignment="1">
      <alignment vertical="center"/>
    </xf>
    <xf numFmtId="0" fontId="101" fillId="24" borderId="0" xfId="0" applyFont="1" applyFill="1" applyBorder="1"/>
    <xf numFmtId="0" fontId="32" fillId="56" borderId="10" xfId="0" applyFont="1" applyFill="1" applyBorder="1" applyAlignment="1" applyProtection="1">
      <alignment vertical="center" wrapText="1"/>
      <protection hidden="1"/>
    </xf>
    <xf numFmtId="1" fontId="5" fillId="48" borderId="10" xfId="0" applyNumberFormat="1" applyFont="1" applyFill="1" applyBorder="1" applyAlignment="1" applyProtection="1">
      <alignment vertical="center" wrapText="1"/>
      <protection locked="0"/>
    </xf>
    <xf numFmtId="1" fontId="5" fillId="48" borderId="10" xfId="0" applyNumberFormat="1" applyFont="1" applyFill="1" applyBorder="1" applyAlignment="1" applyProtection="1">
      <alignment horizontal="left" wrapText="1"/>
      <protection locked="0"/>
    </xf>
    <xf numFmtId="49" fontId="5" fillId="25" borderId="10" xfId="0" applyNumberFormat="1" applyFont="1" applyFill="1" applyBorder="1" applyAlignment="1" applyProtection="1">
      <alignment horizontal="left" vertical="center" wrapText="1"/>
      <protection locked="0"/>
    </xf>
    <xf numFmtId="49" fontId="5" fillId="25" borderId="14" xfId="0" applyNumberFormat="1" applyFont="1" applyFill="1" applyBorder="1" applyAlignment="1" applyProtection="1">
      <alignment horizontal="left" vertical="center" wrapText="1"/>
      <protection locked="0"/>
    </xf>
    <xf numFmtId="49" fontId="5" fillId="0" borderId="21" xfId="0" applyNumberFormat="1" applyFont="1" applyFill="1" applyBorder="1" applyAlignment="1" applyProtection="1">
      <alignment horizontal="left" vertical="center" wrapText="1"/>
      <protection hidden="1"/>
    </xf>
    <xf numFmtId="0" fontId="3" fillId="24" borderId="0" xfId="878" applyFont="1" applyFill="1" applyBorder="1" applyAlignment="1" applyProtection="1">
      <alignment horizontal="left" vertical="top" wrapText="1"/>
    </xf>
    <xf numFmtId="0" fontId="57" fillId="0" borderId="10" xfId="0" applyFont="1" applyBorder="1" applyAlignment="1" applyProtection="1">
      <alignment horizontal="center"/>
    </xf>
    <xf numFmtId="0" fontId="5" fillId="24" borderId="0" xfId="878" applyFont="1" applyFill="1" applyBorder="1" applyAlignment="1" applyProtection="1">
      <alignment horizontal="left" vertical="top" wrapText="1"/>
    </xf>
    <xf numFmtId="0" fontId="57" fillId="24" borderId="39" xfId="0" applyFont="1" applyFill="1" applyBorder="1" applyProtection="1">
      <protection hidden="1"/>
    </xf>
    <xf numFmtId="0" fontId="57" fillId="24" borderId="0" xfId="0" applyFont="1" applyFill="1" applyProtection="1">
      <protection hidden="1"/>
    </xf>
    <xf numFmtId="0" fontId="5" fillId="24" borderId="0" xfId="878" applyFont="1" applyFill="1" applyBorder="1" applyAlignment="1" applyProtection="1">
      <alignment vertical="top" wrapText="1"/>
      <protection hidden="1"/>
    </xf>
    <xf numFmtId="0" fontId="57" fillId="0" borderId="0" xfId="0" applyFont="1" applyBorder="1" applyAlignment="1" applyProtection="1">
      <alignment horizontal="center"/>
      <protection hidden="1"/>
    </xf>
    <xf numFmtId="49" fontId="5" fillId="0" borderId="0" xfId="0" applyNumberFormat="1" applyFont="1" applyFill="1" applyBorder="1" applyAlignment="1" applyProtection="1">
      <alignment horizontal="left" vertical="center" wrapText="1"/>
      <protection hidden="1"/>
    </xf>
    <xf numFmtId="0" fontId="3" fillId="26" borderId="23" xfId="0" applyFont="1" applyFill="1" applyBorder="1" applyAlignment="1">
      <alignment horizontal="center"/>
    </xf>
    <xf numFmtId="0" fontId="29" fillId="0" borderId="14" xfId="0" applyFont="1" applyBorder="1" applyAlignment="1">
      <alignment vertical="center"/>
    </xf>
    <xf numFmtId="0" fontId="29" fillId="0" borderId="19" xfId="0" applyFont="1" applyBorder="1" applyAlignment="1">
      <alignment vertical="center"/>
    </xf>
    <xf numFmtId="0" fontId="27" fillId="0" borderId="10" xfId="0" applyFont="1" applyBorder="1" applyAlignment="1">
      <alignment horizontal="center" vertical="center" wrapText="1" shrinkToFit="1"/>
    </xf>
    <xf numFmtId="1" fontId="5" fillId="47" borderId="10" xfId="0" applyNumberFormat="1" applyFont="1" applyFill="1" applyBorder="1" applyAlignment="1" applyProtection="1">
      <alignment horizontal="right" vertical="center"/>
    </xf>
    <xf numFmtId="0" fontId="57" fillId="0" borderId="10" xfId="0" applyFont="1" applyBorder="1"/>
    <xf numFmtId="0" fontId="3" fillId="0" borderId="21" xfId="878" applyFont="1" applyBorder="1" applyAlignment="1">
      <alignment horizontal="center" vertical="center" textRotation="90" wrapText="1"/>
    </xf>
    <xf numFmtId="0" fontId="3" fillId="0" borderId="23" xfId="878" applyFont="1" applyBorder="1" applyAlignment="1">
      <alignment horizontal="center" vertical="center" textRotation="90" wrapText="1"/>
    </xf>
    <xf numFmtId="0" fontId="84" fillId="0" borderId="0" xfId="0" applyFont="1"/>
    <xf numFmtId="0" fontId="57" fillId="0" borderId="38" xfId="0" applyFont="1" applyBorder="1" applyAlignment="1">
      <alignment horizontal="left" vertical="top"/>
    </xf>
    <xf numFmtId="0" fontId="3" fillId="0" borderId="21" xfId="878" applyFont="1" applyBorder="1" applyAlignment="1">
      <alignment horizontal="left" vertical="top" textRotation="90" wrapText="1"/>
    </xf>
    <xf numFmtId="0" fontId="3" fillId="0" borderId="23" xfId="878" applyFont="1" applyBorder="1" applyAlignment="1">
      <alignment horizontal="left" vertical="top" textRotation="90" wrapText="1"/>
    </xf>
    <xf numFmtId="0" fontId="32" fillId="24" borderId="21" xfId="0" applyFont="1" applyFill="1" applyBorder="1" applyAlignment="1">
      <alignment horizontal="left" vertical="top"/>
    </xf>
    <xf numFmtId="0" fontId="57" fillId="24" borderId="0" xfId="0" applyFont="1" applyFill="1" applyBorder="1" applyAlignment="1">
      <alignment horizontal="left" vertical="top"/>
    </xf>
    <xf numFmtId="0" fontId="57" fillId="0" borderId="39" xfId="0" applyFont="1" applyBorder="1" applyAlignment="1">
      <alignment horizontal="left" vertical="top"/>
    </xf>
    <xf numFmtId="0" fontId="57" fillId="0" borderId="0" xfId="0" applyFont="1" applyAlignment="1">
      <alignment horizontal="left" vertical="top"/>
    </xf>
    <xf numFmtId="0" fontId="3" fillId="26" borderId="21" xfId="0" applyFont="1" applyFill="1" applyBorder="1" applyAlignment="1">
      <alignment horizontal="center" vertical="top" wrapText="1"/>
    </xf>
    <xf numFmtId="1" fontId="5" fillId="25" borderId="10" xfId="0" applyNumberFormat="1" applyFont="1" applyFill="1" applyBorder="1" applyAlignment="1" applyProtection="1">
      <alignment horizontal="right" vertical="center" wrapText="1"/>
      <protection locked="0"/>
    </xf>
    <xf numFmtId="0" fontId="29" fillId="0" borderId="19" xfId="0" applyFont="1" applyBorder="1" applyAlignment="1">
      <alignment horizontal="left" vertical="center" wrapText="1"/>
    </xf>
    <xf numFmtId="0" fontId="0" fillId="0" borderId="0" xfId="0"/>
    <xf numFmtId="0" fontId="3" fillId="0" borderId="10" xfId="0" applyFont="1" applyBorder="1" applyAlignment="1">
      <alignment horizontal="center"/>
    </xf>
    <xf numFmtId="1" fontId="3" fillId="24" borderId="12" xfId="0" applyNumberFormat="1" applyFont="1" applyFill="1" applyBorder="1" applyAlignment="1">
      <alignment horizontal="center" vertical="top" wrapText="1"/>
    </xf>
    <xf numFmtId="0" fontId="3" fillId="0" borderId="14" xfId="0" applyFont="1" applyBorder="1" applyAlignment="1">
      <alignment horizontal="left" vertical="center" wrapText="1"/>
    </xf>
    <xf numFmtId="1" fontId="28" fillId="24" borderId="14" xfId="0" applyNumberFormat="1" applyFont="1" applyFill="1" applyBorder="1" applyAlignment="1" applyProtection="1">
      <alignment horizontal="right" vertical="center"/>
      <protection hidden="1"/>
    </xf>
    <xf numFmtId="1" fontId="5" fillId="25" borderId="10" xfId="0" applyNumberFormat="1" applyFont="1" applyFill="1" applyBorder="1" applyAlignment="1" applyProtection="1">
      <alignment horizontal="right" vertical="center" wrapText="1"/>
      <protection locked="0"/>
    </xf>
    <xf numFmtId="1" fontId="5" fillId="25" borderId="14" xfId="0" applyNumberFormat="1" applyFont="1" applyFill="1" applyBorder="1" applyAlignment="1" applyProtection="1">
      <alignment horizontal="right" vertical="center" wrapText="1"/>
      <protection locked="0"/>
    </xf>
    <xf numFmtId="49" fontId="5" fillId="25" borderId="14" xfId="0" applyNumberFormat="1" applyFont="1" applyFill="1" applyBorder="1" applyAlignment="1" applyProtection="1">
      <alignment horizontal="left" vertical="center" wrapText="1"/>
      <protection locked="0"/>
    </xf>
    <xf numFmtId="49" fontId="5" fillId="25" borderId="17" xfId="0" applyNumberFormat="1" applyFont="1" applyFill="1" applyBorder="1" applyAlignment="1" applyProtection="1">
      <alignment horizontal="left" vertical="center" wrapText="1"/>
      <protection locked="0"/>
    </xf>
    <xf numFmtId="1" fontId="5" fillId="25" borderId="15" xfId="0" applyNumberFormat="1" applyFont="1" applyFill="1" applyBorder="1" applyAlignment="1" applyProtection="1">
      <alignment horizontal="right" vertical="center" wrapText="1"/>
      <protection locked="0"/>
    </xf>
    <xf numFmtId="1" fontId="28" fillId="0" borderId="15" xfId="0" applyNumberFormat="1" applyFont="1" applyBorder="1" applyAlignment="1" applyProtection="1">
      <alignment horizontal="right" vertical="center" wrapText="1"/>
      <protection hidden="1"/>
    </xf>
    <xf numFmtId="1" fontId="5" fillId="47" borderId="10" xfId="0" applyNumberFormat="1" applyFont="1" applyFill="1" applyBorder="1" applyAlignment="1" applyProtection="1">
      <alignment horizontal="left" vertical="center" wrapText="1"/>
    </xf>
    <xf numFmtId="0" fontId="5" fillId="26" borderId="21" xfId="0" applyNumberFormat="1" applyFont="1" applyFill="1" applyBorder="1" applyAlignment="1" applyProtection="1">
      <alignment horizontal="right"/>
    </xf>
    <xf numFmtId="0" fontId="5" fillId="26" borderId="23" xfId="0" applyNumberFormat="1" applyFont="1" applyFill="1" applyBorder="1" applyAlignment="1" applyProtection="1">
      <alignment horizontal="right"/>
    </xf>
    <xf numFmtId="0" fontId="0" fillId="0" borderId="0" xfId="0"/>
    <xf numFmtId="1" fontId="28" fillId="24" borderId="10" xfId="0" applyNumberFormat="1" applyFont="1" applyFill="1" applyBorder="1" applyAlignment="1" applyProtection="1">
      <alignment horizontal="right" vertical="center"/>
      <protection hidden="1"/>
    </xf>
    <xf numFmtId="0" fontId="0" fillId="0" borderId="0" xfId="0"/>
    <xf numFmtId="0" fontId="3" fillId="0" borderId="12" xfId="0" applyFont="1" applyBorder="1" applyAlignment="1" applyProtection="1">
      <alignment horizontal="center" vertical="center" textRotation="90"/>
    </xf>
    <xf numFmtId="0" fontId="7" fillId="54" borderId="10" xfId="0" applyFont="1" applyFill="1" applyBorder="1" applyAlignment="1">
      <alignment horizontal="center" vertical="center"/>
    </xf>
    <xf numFmtId="0" fontId="3" fillId="0" borderId="12" xfId="0" applyFont="1" applyBorder="1" applyAlignment="1">
      <alignment horizontal="center" vertical="center" textRotation="90"/>
    </xf>
    <xf numFmtId="0" fontId="3" fillId="26" borderId="21" xfId="0" applyFont="1" applyFill="1" applyBorder="1" applyAlignment="1">
      <alignment horizontal="center"/>
    </xf>
    <xf numFmtId="0" fontId="29" fillId="0" borderId="10" xfId="0" applyFont="1" applyBorder="1" applyAlignment="1">
      <alignment horizontal="center"/>
    </xf>
    <xf numFmtId="0" fontId="3" fillId="0" borderId="10" xfId="0" applyFont="1" applyFill="1" applyBorder="1" applyAlignment="1" applyProtection="1">
      <alignment horizontal="center" vertical="center"/>
    </xf>
    <xf numFmtId="0" fontId="3" fillId="0" borderId="21" xfId="878" applyFont="1" applyBorder="1" applyAlignment="1">
      <alignment horizontal="center" vertical="center" textRotation="90" wrapText="1"/>
    </xf>
    <xf numFmtId="0" fontId="3" fillId="0" borderId="23" xfId="878" applyFont="1" applyBorder="1" applyAlignment="1">
      <alignment horizontal="center" vertical="center" textRotation="90" wrapText="1"/>
    </xf>
    <xf numFmtId="1" fontId="5" fillId="25" borderId="14"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7" fillId="0" borderId="10" xfId="0" applyFont="1" applyBorder="1" applyAlignment="1">
      <alignment horizontal="center" vertical="center" wrapText="1"/>
    </xf>
    <xf numFmtId="1" fontId="3" fillId="0" borderId="23" xfId="0" applyNumberFormat="1" applyFont="1" applyBorder="1" applyAlignment="1">
      <alignment horizontal="center" vertical="top"/>
    </xf>
    <xf numFmtId="0" fontId="29" fillId="24" borderId="19" xfId="0" applyFont="1" applyFill="1" applyBorder="1" applyAlignment="1" applyProtection="1">
      <alignment horizontal="left" vertical="center"/>
    </xf>
    <xf numFmtId="165" fontId="29" fillId="0" borderId="12" xfId="0" applyNumberFormat="1" applyFont="1" applyBorder="1" applyAlignment="1" applyProtection="1">
      <alignment horizontal="center" vertical="top"/>
    </xf>
    <xf numFmtId="0" fontId="3" fillId="24" borderId="14" xfId="0" applyFont="1" applyFill="1" applyBorder="1" applyAlignment="1" applyProtection="1"/>
    <xf numFmtId="0" fontId="3" fillId="24" borderId="19" xfId="0" applyFont="1" applyFill="1" applyBorder="1" applyAlignment="1" applyProtection="1"/>
    <xf numFmtId="0" fontId="3" fillId="24" borderId="11" xfId="0" applyFont="1" applyFill="1" applyBorder="1" applyAlignment="1" applyProtection="1"/>
    <xf numFmtId="0" fontId="0" fillId="0" borderId="0" xfId="0"/>
    <xf numFmtId="0" fontId="3" fillId="0" borderId="12" xfId="0" applyFont="1" applyBorder="1" applyAlignment="1" applyProtection="1">
      <alignment horizontal="center" vertical="center" textRotation="90"/>
    </xf>
    <xf numFmtId="0" fontId="29" fillId="0" borderId="10" xfId="0" applyFont="1" applyBorder="1" applyAlignment="1">
      <alignment horizontal="center" vertical="center"/>
    </xf>
    <xf numFmtId="0" fontId="3" fillId="0" borderId="10" xfId="0" applyFont="1" applyBorder="1" applyAlignment="1">
      <alignment horizontal="center" vertical="top"/>
    </xf>
    <xf numFmtId="0" fontId="3" fillId="0" borderId="12" xfId="0" applyFont="1" applyBorder="1" applyAlignment="1">
      <alignment horizontal="center" vertical="center" textRotation="90"/>
    </xf>
    <xf numFmtId="0" fontId="3" fillId="26" borderId="21" xfId="0" applyFont="1" applyFill="1" applyBorder="1" applyAlignment="1">
      <alignment horizontal="center"/>
    </xf>
    <xf numFmtId="0" fontId="29" fillId="0" borderId="22" xfId="0" applyFont="1" applyBorder="1" applyAlignment="1">
      <alignment horizontal="center" vertical="center"/>
    </xf>
    <xf numFmtId="0" fontId="3" fillId="0" borderId="14"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0" fillId="0" borderId="0" xfId="0"/>
    <xf numFmtId="0" fontId="3" fillId="24" borderId="21" xfId="0" applyFont="1" applyFill="1" applyBorder="1" applyAlignment="1">
      <alignment vertical="center" textRotation="90"/>
    </xf>
    <xf numFmtId="0" fontId="3" fillId="24" borderId="20" xfId="0" applyFont="1" applyFill="1" applyBorder="1" applyAlignment="1">
      <alignment vertical="center" textRotation="90"/>
    </xf>
    <xf numFmtId="0" fontId="3" fillId="0" borderId="10" xfId="0" applyFont="1" applyBorder="1" applyAlignment="1">
      <alignment horizontal="center" vertical="center"/>
    </xf>
    <xf numFmtId="1" fontId="28" fillId="24" borderId="10" xfId="0" applyNumberFormat="1" applyFont="1" applyFill="1" applyBorder="1" applyAlignment="1" applyProtection="1">
      <alignment horizontal="right" vertical="center"/>
      <protection hidden="1"/>
    </xf>
    <xf numFmtId="0" fontId="0" fillId="0" borderId="0" xfId="0"/>
    <xf numFmtId="0" fontId="0" fillId="0" borderId="0" xfId="0"/>
    <xf numFmtId="0" fontId="26" fillId="27" borderId="10" xfId="0" applyFont="1" applyFill="1" applyBorder="1" applyAlignment="1">
      <alignment wrapText="1"/>
    </xf>
    <xf numFmtId="0" fontId="3" fillId="26" borderId="20" xfId="0" applyFont="1" applyFill="1" applyBorder="1" applyAlignment="1">
      <alignment horizontal="center"/>
    </xf>
    <xf numFmtId="0" fontId="3" fillId="0" borderId="10" xfId="0" applyFont="1" applyBorder="1" applyAlignment="1">
      <alignment horizontal="center"/>
    </xf>
    <xf numFmtId="0" fontId="0" fillId="0" borderId="0" xfId="0"/>
    <xf numFmtId="0" fontId="0" fillId="0" borderId="0" xfId="0"/>
    <xf numFmtId="0" fontId="103" fillId="0" borderId="10" xfId="0" applyFont="1" applyBorder="1" applyAlignment="1" applyProtection="1">
      <alignment horizontal="center"/>
    </xf>
    <xf numFmtId="1" fontId="5" fillId="25" borderId="10" xfId="0" applyNumberFormat="1" applyFont="1" applyFill="1" applyBorder="1" applyAlignment="1" applyProtection="1">
      <alignment horizontal="right" vertical="center" wrapText="1"/>
      <protection locked="0"/>
    </xf>
    <xf numFmtId="0" fontId="0" fillId="0" borderId="0" xfId="0" applyProtection="1"/>
    <xf numFmtId="1" fontId="5" fillId="26" borderId="14" xfId="0" applyNumberFormat="1" applyFont="1" applyFill="1" applyBorder="1" applyAlignment="1" applyProtection="1">
      <alignment horizontal="right" vertical="center"/>
    </xf>
    <xf numFmtId="1" fontId="5" fillId="25" borderId="10" xfId="0" applyNumberFormat="1" applyFont="1" applyFill="1" applyBorder="1" applyAlignment="1" applyProtection="1">
      <alignment horizontal="right" vertical="center" wrapText="1"/>
      <protection locked="0"/>
    </xf>
    <xf numFmtId="49" fontId="5" fillId="25" borderId="10" xfId="0" applyNumberFormat="1" applyFont="1" applyFill="1" applyBorder="1" applyAlignment="1" applyProtection="1">
      <alignment horizontal="left" vertical="center" wrapText="1"/>
      <protection locked="0"/>
    </xf>
    <xf numFmtId="0" fontId="5" fillId="26" borderId="15" xfId="0" applyFont="1" applyFill="1" applyBorder="1" applyAlignment="1" applyProtection="1">
      <alignment vertical="center" wrapText="1"/>
    </xf>
    <xf numFmtId="0" fontId="3" fillId="24" borderId="13" xfId="0" applyFont="1" applyFill="1" applyBorder="1" applyAlignment="1">
      <alignment horizontal="right"/>
    </xf>
    <xf numFmtId="1" fontId="32" fillId="0" borderId="11" xfId="0" applyNumberFormat="1" applyFont="1" applyBorder="1"/>
    <xf numFmtId="0" fontId="29" fillId="0" borderId="10" xfId="0" applyFont="1" applyBorder="1"/>
    <xf numFmtId="0" fontId="4" fillId="0" borderId="0" xfId="803" quotePrefix="1" applyFont="1" applyBorder="1" applyAlignment="1" applyProtection="1">
      <alignment vertical="center"/>
    </xf>
    <xf numFmtId="0" fontId="3" fillId="0" borderId="16" xfId="0" applyFont="1" applyBorder="1" applyAlignment="1" applyProtection="1">
      <alignment vertical="top"/>
    </xf>
    <xf numFmtId="0" fontId="3" fillId="0" borderId="12" xfId="0" applyFont="1" applyBorder="1" applyAlignment="1" applyProtection="1">
      <alignment vertical="top"/>
    </xf>
    <xf numFmtId="0" fontId="3" fillId="0" borderId="13" xfId="0" applyFont="1" applyBorder="1" applyAlignment="1" applyProtection="1">
      <alignment vertical="top"/>
    </xf>
    <xf numFmtId="1" fontId="28" fillId="0" borderId="11" xfId="0" applyNumberFormat="1" applyFont="1" applyFill="1" applyBorder="1" applyAlignment="1" applyProtection="1">
      <alignment horizontal="right" vertical="center"/>
      <protection hidden="1"/>
    </xf>
    <xf numFmtId="0" fontId="3" fillId="0" borderId="16" xfId="0" applyFont="1" applyBorder="1" applyAlignment="1">
      <alignment horizontal="center" vertical="center" wrapText="1"/>
    </xf>
    <xf numFmtId="0" fontId="0" fillId="0" borderId="0" xfId="0"/>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1" fontId="5" fillId="47" borderId="10" xfId="0" applyNumberFormat="1" applyFont="1" applyFill="1" applyBorder="1" applyAlignment="1" applyProtection="1">
      <alignment horizontal="right" vertical="center" wrapText="1"/>
      <protection hidden="1"/>
    </xf>
    <xf numFmtId="1" fontId="28" fillId="24" borderId="10" xfId="0" applyNumberFormat="1" applyFont="1" applyFill="1" applyBorder="1" applyAlignment="1" applyProtection="1">
      <alignment horizontal="right" vertical="center"/>
      <protection hidden="1"/>
    </xf>
    <xf numFmtId="0" fontId="0" fillId="0" borderId="0" xfId="0"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26" fillId="27" borderId="14" xfId="0" applyFont="1" applyFill="1" applyBorder="1" applyAlignment="1" applyProtection="1">
      <alignment vertical="center"/>
      <protection hidden="1"/>
    </xf>
    <xf numFmtId="0" fontId="26" fillId="27" borderId="11" xfId="0" applyFont="1" applyFill="1" applyBorder="1" applyAlignment="1" applyProtection="1">
      <alignment vertical="center"/>
      <protection hidden="1"/>
    </xf>
    <xf numFmtId="0" fontId="26" fillId="27" borderId="19" xfId="0" applyFont="1" applyFill="1" applyBorder="1" applyAlignment="1" applyProtection="1">
      <alignment horizontal="center" vertical="center"/>
      <protection hidden="1"/>
    </xf>
    <xf numFmtId="0" fontId="0" fillId="0" borderId="39" xfId="0" applyBorder="1" applyProtection="1">
      <protection hidden="1"/>
    </xf>
    <xf numFmtId="0" fontId="3" fillId="0" borderId="10"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2" fillId="0" borderId="12" xfId="0" applyFont="1" applyBorder="1" applyProtection="1">
      <protection hidden="1"/>
    </xf>
    <xf numFmtId="0" fontId="32" fillId="0" borderId="21" xfId="0" applyFont="1" applyBorder="1" applyProtection="1">
      <protection hidden="1"/>
    </xf>
    <xf numFmtId="0" fontId="32" fillId="0" borderId="19" xfId="0" applyFont="1" applyBorder="1" applyProtection="1">
      <protection hidden="1"/>
    </xf>
    <xf numFmtId="0" fontId="3" fillId="0" borderId="10" xfId="0" applyFont="1" applyBorder="1" applyAlignment="1" applyProtection="1">
      <alignment vertical="center"/>
      <protection hidden="1"/>
    </xf>
    <xf numFmtId="0" fontId="32" fillId="0" borderId="14" xfId="0" applyFont="1" applyBorder="1" applyAlignment="1" applyProtection="1">
      <alignment horizontal="center" vertical="center"/>
      <protection hidden="1"/>
    </xf>
    <xf numFmtId="0" fontId="32" fillId="0" borderId="19" xfId="0" applyFont="1" applyBorder="1" applyAlignment="1" applyProtection="1">
      <alignment horizontal="center" vertical="center"/>
      <protection hidden="1"/>
    </xf>
    <xf numFmtId="0" fontId="0" fillId="0" borderId="40" xfId="0" applyBorder="1" applyProtection="1">
      <protection hidden="1"/>
    </xf>
    <xf numFmtId="0" fontId="0" fillId="0" borderId="30" xfId="0" applyBorder="1" applyProtection="1">
      <protection hidden="1"/>
    </xf>
    <xf numFmtId="0" fontId="0" fillId="0" borderId="41" xfId="0" applyBorder="1" applyProtection="1">
      <protection hidden="1"/>
    </xf>
    <xf numFmtId="0" fontId="5" fillId="25" borderId="10" xfId="0" applyFont="1" applyFill="1" applyBorder="1" applyAlignment="1" applyProtection="1">
      <alignment horizontal="left" vertical="center" wrapText="1"/>
      <protection locked="0" hidden="1"/>
    </xf>
    <xf numFmtId="0" fontId="5" fillId="25" borderId="10" xfId="0" applyFont="1" applyFill="1" applyBorder="1" applyAlignment="1" applyProtection="1">
      <alignment horizontal="left" wrapText="1"/>
      <protection locked="0" hidden="1"/>
    </xf>
    <xf numFmtId="49" fontId="5" fillId="25" borderId="10" xfId="0" applyNumberFormat="1" applyFont="1" applyFill="1" applyBorder="1" applyAlignment="1" applyProtection="1">
      <alignment horizontal="left" vertical="center" wrapText="1"/>
      <protection locked="0" hidden="1"/>
    </xf>
    <xf numFmtId="1" fontId="5" fillId="25" borderId="10" xfId="0" applyNumberFormat="1" applyFont="1" applyFill="1" applyBorder="1" applyAlignment="1" applyProtection="1">
      <alignment horizontal="right" vertical="center"/>
      <protection locked="0" hidden="1"/>
    </xf>
    <xf numFmtId="49" fontId="5" fillId="47" borderId="16" xfId="878" applyNumberFormat="1" applyFont="1" applyFill="1" applyBorder="1" applyAlignment="1" applyProtection="1">
      <alignment horizontal="left" vertical="center" wrapText="1"/>
    </xf>
    <xf numFmtId="0" fontId="100" fillId="55" borderId="14" xfId="1041" applyFont="1" applyFill="1" applyBorder="1" applyAlignment="1">
      <alignment horizontal="center" vertical="center"/>
    </xf>
    <xf numFmtId="0" fontId="77" fillId="0" borderId="14" xfId="1041" applyBorder="1" applyAlignment="1">
      <alignment horizontal="center" vertical="center"/>
    </xf>
    <xf numFmtId="0" fontId="0" fillId="0" borderId="10" xfId="0" applyBorder="1" applyAlignment="1">
      <alignment horizontal="justify" vertical="center" wrapText="1"/>
    </xf>
    <xf numFmtId="0" fontId="0" fillId="0" borderId="10" xfId="0" applyFill="1" applyBorder="1" applyAlignment="1">
      <alignment horizontal="justify" vertical="center" wrapText="1"/>
    </xf>
    <xf numFmtId="0" fontId="105" fillId="0" borderId="10" xfId="0" applyFont="1" applyFill="1" applyBorder="1" applyAlignment="1">
      <alignment horizontal="justify" vertical="center" wrapText="1"/>
    </xf>
    <xf numFmtId="165" fontId="29" fillId="0" borderId="12" xfId="0" applyNumberFormat="1" applyFont="1" applyBorder="1" applyAlignment="1" applyProtection="1">
      <alignment horizontal="center" vertical="top"/>
    </xf>
    <xf numFmtId="0" fontId="29" fillId="0" borderId="11" xfId="0" applyFont="1" applyBorder="1" applyAlignment="1" applyProtection="1">
      <alignment horizontal="left" vertical="center" wrapText="1"/>
    </xf>
    <xf numFmtId="0" fontId="27" fillId="0" borderId="14"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18" xfId="0" applyFont="1" applyFill="1" applyBorder="1" applyAlignment="1" applyProtection="1">
      <alignment horizontal="left" vertical="center"/>
    </xf>
    <xf numFmtId="0" fontId="27" fillId="0" borderId="22" xfId="0" applyFont="1" applyFill="1" applyBorder="1" applyAlignment="1" applyProtection="1">
      <alignment horizontal="left" vertical="center"/>
    </xf>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quotePrefix="1" applyFont="1" applyBorder="1" applyAlignment="1">
      <alignment horizontal="center" vertical="center" wrapText="1"/>
    </xf>
    <xf numFmtId="1" fontId="5" fillId="48" borderId="10" xfId="0" applyNumberFormat="1" applyFont="1" applyFill="1" applyBorder="1" applyAlignment="1" applyProtection="1">
      <alignment horizontal="right" vertical="center" wrapText="1"/>
      <protection locked="0"/>
    </xf>
    <xf numFmtId="0" fontId="29" fillId="0" borderId="14" xfId="0" applyFont="1" applyBorder="1" applyAlignment="1">
      <alignment horizontal="center" vertical="center" wrapText="1"/>
    </xf>
    <xf numFmtId="0" fontId="3" fillId="0" borderId="23" xfId="0" applyFont="1" applyBorder="1" applyAlignment="1" applyProtection="1">
      <alignment vertical="center" textRotation="90"/>
    </xf>
    <xf numFmtId="0" fontId="3" fillId="24" borderId="17" xfId="0" applyFont="1" applyFill="1" applyBorder="1" applyAlignment="1" applyProtection="1"/>
    <xf numFmtId="0" fontId="3" fillId="24" borderId="18" xfId="0" applyFont="1" applyFill="1" applyBorder="1" applyAlignment="1" applyProtection="1"/>
    <xf numFmtId="0" fontId="3" fillId="24" borderId="22" xfId="0" applyFont="1" applyFill="1" applyBorder="1" applyAlignment="1" applyProtection="1"/>
    <xf numFmtId="0" fontId="3" fillId="24" borderId="23" xfId="0" applyFont="1" applyFill="1" applyBorder="1" applyAlignment="1" applyProtection="1"/>
    <xf numFmtId="0" fontId="3" fillId="24" borderId="20" xfId="0" applyFont="1" applyFill="1" applyBorder="1" applyAlignment="1" applyProtection="1"/>
    <xf numFmtId="0" fontId="3" fillId="24" borderId="15" xfId="0" applyFont="1" applyFill="1" applyBorder="1" applyAlignment="1" applyProtection="1"/>
    <xf numFmtId="0" fontId="3" fillId="24" borderId="24" xfId="0" applyFont="1" applyFill="1" applyBorder="1" applyAlignment="1" applyProtection="1"/>
    <xf numFmtId="49" fontId="5" fillId="25" borderId="10" xfId="0" applyNumberFormat="1" applyFont="1" applyFill="1" applyBorder="1" applyAlignment="1" applyProtection="1">
      <alignment horizontal="left" vertical="center" wrapText="1"/>
      <protection locked="0"/>
    </xf>
    <xf numFmtId="0" fontId="5" fillId="48" borderId="10" xfId="0" applyFont="1" applyFill="1" applyBorder="1" applyAlignment="1" applyProtection="1">
      <alignment horizontal="left" vertical="center" wrapText="1"/>
    </xf>
    <xf numFmtId="0" fontId="29" fillId="0" borderId="14" xfId="0" applyFont="1" applyFill="1" applyBorder="1" applyAlignment="1">
      <alignment horizontal="center" vertical="center"/>
    </xf>
    <xf numFmtId="0" fontId="7" fillId="0" borderId="10" xfId="0" applyFont="1" applyBorder="1" applyAlignment="1">
      <alignment horizontal="center" vertical="center" wrapText="1"/>
    </xf>
    <xf numFmtId="0" fontId="32" fillId="0" borderId="10" xfId="0" applyFont="1" applyBorder="1" applyAlignment="1">
      <alignment horizontal="center" vertical="top" wrapText="1"/>
    </xf>
    <xf numFmtId="0" fontId="0" fillId="0" borderId="10" xfId="0" applyBorder="1"/>
    <xf numFmtId="0" fontId="0" fillId="0" borderId="0" xfId="0"/>
    <xf numFmtId="49" fontId="5" fillId="47" borderId="10" xfId="0" applyNumberFormat="1" applyFont="1" applyFill="1" applyBorder="1" applyAlignment="1" applyProtection="1">
      <alignment horizontal="left" vertical="center" wrapText="1"/>
    </xf>
    <xf numFmtId="0" fontId="32" fillId="0" borderId="0" xfId="0" applyFont="1" applyAlignment="1">
      <alignment horizontal="right"/>
    </xf>
    <xf numFmtId="1" fontId="5" fillId="47" borderId="10" xfId="0" applyNumberFormat="1" applyFont="1" applyFill="1" applyBorder="1" applyAlignment="1" applyProtection="1">
      <alignment horizontal="right" vertical="center" wrapText="1"/>
    </xf>
    <xf numFmtId="1" fontId="5" fillId="47" borderId="20" xfId="0" applyNumberFormat="1" applyFont="1" applyFill="1" applyBorder="1" applyAlignment="1" applyProtection="1">
      <alignment horizontal="right" vertical="center"/>
    </xf>
    <xf numFmtId="1" fontId="5" fillId="48" borderId="10" xfId="0" applyNumberFormat="1" applyFont="1" applyFill="1" applyBorder="1" applyAlignment="1" applyProtection="1">
      <alignment horizontal="right" vertical="center" wrapText="1"/>
      <protection locked="0"/>
    </xf>
    <xf numFmtId="1" fontId="5" fillId="25" borderId="10" xfId="0" applyNumberFormat="1" applyFont="1" applyFill="1" applyBorder="1" applyAlignment="1" applyProtection="1">
      <alignment horizontal="right" vertical="center" wrapText="1"/>
      <protection locked="0"/>
    </xf>
    <xf numFmtId="49" fontId="5" fillId="25" borderId="10" xfId="0" applyNumberFormat="1" applyFont="1" applyFill="1" applyBorder="1" applyAlignment="1" applyProtection="1">
      <alignment horizontal="left" vertical="center" wrapText="1"/>
      <protection locked="0"/>
    </xf>
    <xf numFmtId="1" fontId="5" fillId="48" borderId="10" xfId="0" applyNumberFormat="1" applyFont="1" applyFill="1" applyBorder="1" applyAlignment="1" applyProtection="1">
      <alignment horizontal="right" vertical="center" wrapText="1"/>
      <protection locked="0"/>
    </xf>
    <xf numFmtId="1" fontId="5" fillId="47" borderId="10" xfId="0" applyNumberFormat="1" applyFont="1" applyFill="1" applyBorder="1" applyAlignment="1" applyProtection="1">
      <alignment horizontal="right" vertical="center" wrapText="1"/>
    </xf>
    <xf numFmtId="49" fontId="5" fillId="47" borderId="10" xfId="0" applyNumberFormat="1" applyFont="1" applyFill="1" applyBorder="1" applyAlignment="1" applyProtection="1">
      <alignment horizontal="left" vertical="center" wrapText="1"/>
    </xf>
    <xf numFmtId="1" fontId="5" fillId="47" borderId="10" xfId="0" applyNumberFormat="1" applyFont="1" applyFill="1" applyBorder="1" applyAlignment="1" applyProtection="1">
      <alignment horizontal="left" wrapText="1"/>
    </xf>
    <xf numFmtId="49" fontId="5" fillId="48" borderId="10" xfId="0" applyNumberFormat="1" applyFont="1" applyFill="1" applyBorder="1" applyAlignment="1" applyProtection="1">
      <alignment horizontal="left" vertical="center" wrapText="1"/>
      <protection locked="0"/>
    </xf>
    <xf numFmtId="1" fontId="5" fillId="47" borderId="10" xfId="0" applyNumberFormat="1" applyFont="1" applyFill="1" applyBorder="1" applyAlignment="1" applyProtection="1">
      <alignment horizontal="right" vertical="center" wrapText="1"/>
    </xf>
    <xf numFmtId="0" fontId="5" fillId="48" borderId="10" xfId="0" applyNumberFormat="1" applyFont="1" applyFill="1" applyBorder="1" applyAlignment="1" applyProtection="1">
      <alignment horizontal="center" vertical="center" wrapText="1"/>
      <protection locked="0"/>
    </xf>
    <xf numFmtId="49" fontId="5" fillId="48" borderId="10" xfId="0" applyNumberFormat="1" applyFont="1" applyFill="1" applyBorder="1" applyAlignment="1" applyProtection="1">
      <alignment horizontal="center" vertical="center" wrapText="1"/>
      <protection locked="0"/>
    </xf>
    <xf numFmtId="0" fontId="5" fillId="48" borderId="10" xfId="0" applyFont="1" applyFill="1" applyBorder="1" applyAlignment="1" applyProtection="1">
      <alignment horizontal="center" vertical="center" wrapText="1"/>
      <protection locked="0"/>
    </xf>
    <xf numFmtId="0" fontId="5" fillId="56" borderId="10" xfId="0" applyFont="1" applyFill="1" applyBorder="1" applyAlignment="1" applyProtection="1">
      <alignment vertical="center" wrapText="1"/>
      <protection hidden="1"/>
    </xf>
    <xf numFmtId="1" fontId="5" fillId="48" borderId="10" xfId="0" applyNumberFormat="1" applyFont="1" applyFill="1" applyBorder="1" applyAlignment="1" applyProtection="1">
      <alignment horizontal="left" vertical="top" wrapText="1"/>
      <protection locked="0"/>
    </xf>
    <xf numFmtId="0" fontId="32" fillId="48" borderId="0" xfId="0" applyFont="1" applyFill="1" applyBorder="1" applyAlignment="1" applyProtection="1">
      <alignment vertical="top"/>
      <protection locked="0"/>
    </xf>
    <xf numFmtId="0" fontId="32" fillId="48" borderId="10" xfId="0" applyFont="1" applyFill="1" applyBorder="1" applyAlignment="1" applyProtection="1">
      <alignment vertical="top"/>
      <protection locked="0"/>
    </xf>
    <xf numFmtId="0" fontId="32" fillId="48" borderId="10" xfId="0" applyFont="1" applyFill="1" applyBorder="1" applyProtection="1">
      <protection locked="0"/>
    </xf>
    <xf numFmtId="1" fontId="5" fillId="48" borderId="11" xfId="0" applyNumberFormat="1" applyFont="1" applyFill="1" applyBorder="1" applyAlignment="1" applyProtection="1">
      <alignment horizontal="left" vertical="center" wrapText="1"/>
      <protection locked="0"/>
    </xf>
    <xf numFmtId="1" fontId="5" fillId="48" borderId="22" xfId="0" applyNumberFormat="1" applyFont="1" applyFill="1" applyBorder="1" applyAlignment="1" applyProtection="1">
      <alignment horizontal="left" vertical="center" wrapText="1"/>
      <protection locked="0"/>
    </xf>
    <xf numFmtId="1" fontId="5" fillId="48" borderId="16" xfId="0" applyNumberFormat="1" applyFont="1" applyFill="1" applyBorder="1" applyAlignment="1" applyProtection="1">
      <alignment horizontal="right" vertical="center"/>
      <protection locked="0"/>
    </xf>
    <xf numFmtId="170" fontId="5" fillId="48" borderId="14" xfId="0" applyNumberFormat="1" applyFont="1" applyFill="1" applyBorder="1" applyAlignment="1" applyProtection="1">
      <alignment horizontal="right" vertical="center" wrapText="1"/>
      <protection locked="0"/>
    </xf>
    <xf numFmtId="170" fontId="5" fillId="48" borderId="17" xfId="0" applyNumberFormat="1" applyFont="1" applyFill="1" applyBorder="1" applyAlignment="1" applyProtection="1">
      <alignment horizontal="right" vertical="center" wrapText="1"/>
      <protection locked="0"/>
    </xf>
    <xf numFmtId="170" fontId="5" fillId="48" borderId="16" xfId="0" applyNumberFormat="1" applyFont="1" applyFill="1" applyBorder="1" applyAlignment="1" applyProtection="1">
      <alignment horizontal="right" vertical="center" wrapText="1"/>
      <protection locked="0"/>
    </xf>
    <xf numFmtId="11" fontId="5" fillId="48" borderId="10" xfId="0" applyNumberFormat="1" applyFont="1" applyFill="1" applyBorder="1" applyAlignment="1" applyProtection="1">
      <alignment horizontal="left" vertical="center" wrapText="1"/>
      <protection locked="0"/>
    </xf>
    <xf numFmtId="1" fontId="5" fillId="47" borderId="10" xfId="0" applyNumberFormat="1" applyFont="1" applyFill="1" applyBorder="1" applyAlignment="1" applyProtection="1">
      <alignment horizontal="right" vertical="top"/>
    </xf>
    <xf numFmtId="1" fontId="5" fillId="25" borderId="10" xfId="0" applyNumberFormat="1" applyFont="1" applyFill="1" applyBorder="1" applyAlignment="1" applyProtection="1">
      <alignment horizontal="right" vertical="center" wrapText="1"/>
      <protection locked="0"/>
    </xf>
    <xf numFmtId="1" fontId="5" fillId="48" borderId="10" xfId="0" applyNumberFormat="1" applyFont="1" applyFill="1" applyBorder="1" applyAlignment="1" applyProtection="1">
      <alignment horizontal="right" vertical="center" wrapText="1"/>
      <protection locked="0"/>
    </xf>
    <xf numFmtId="1" fontId="5" fillId="48" borderId="14" xfId="0" applyNumberFormat="1" applyFont="1" applyFill="1" applyBorder="1" applyAlignment="1" applyProtection="1">
      <alignment horizontal="right" vertical="center" wrapText="1"/>
      <protection locked="0"/>
    </xf>
    <xf numFmtId="49" fontId="5" fillId="47" borderId="10" xfId="878" applyNumberFormat="1" applyFont="1" applyFill="1" applyBorder="1" applyAlignment="1" applyProtection="1">
      <alignment horizontal="left" vertical="center" wrapText="1"/>
    </xf>
    <xf numFmtId="49" fontId="5" fillId="47" borderId="10" xfId="0" applyNumberFormat="1" applyFont="1" applyFill="1" applyBorder="1" applyAlignment="1" applyProtection="1">
      <alignment horizontal="left" vertical="center" wrapText="1"/>
    </xf>
    <xf numFmtId="0" fontId="29" fillId="0" borderId="10" xfId="0" applyFont="1" applyBorder="1" applyAlignment="1" applyProtection="1">
      <alignment horizontal="center"/>
      <protection hidden="1"/>
    </xf>
    <xf numFmtId="0" fontId="57" fillId="0" borderId="10" xfId="0" applyFont="1" applyBorder="1"/>
    <xf numFmtId="1" fontId="32" fillId="25" borderId="13" xfId="0" applyNumberFormat="1" applyFont="1" applyFill="1" applyBorder="1" applyAlignment="1" applyProtection="1">
      <alignment horizontal="left" vertical="center"/>
      <protection locked="0"/>
    </xf>
    <xf numFmtId="1" fontId="5" fillId="47" borderId="10" xfId="0" applyNumberFormat="1" applyFont="1" applyFill="1" applyBorder="1" applyAlignment="1" applyProtection="1">
      <alignment horizontal="right" vertical="center" wrapText="1"/>
    </xf>
    <xf numFmtId="2" fontId="32" fillId="24" borderId="10" xfId="0" applyNumberFormat="1" applyFont="1" applyFill="1" applyBorder="1" applyProtection="1"/>
    <xf numFmtId="0" fontId="3" fillId="0" borderId="11" xfId="0" applyFont="1" applyBorder="1" applyAlignment="1">
      <alignment horizontal="center" vertical="center" wrapText="1"/>
    </xf>
    <xf numFmtId="0" fontId="29" fillId="24" borderId="10" xfId="0" applyFont="1" applyFill="1" applyBorder="1" applyAlignment="1">
      <alignment horizontal="center" vertical="center"/>
    </xf>
    <xf numFmtId="0" fontId="3" fillId="0" borderId="10" xfId="0" applyFont="1" applyBorder="1" applyAlignment="1">
      <alignment horizontal="left" vertical="top" wrapText="1"/>
    </xf>
    <xf numFmtId="0" fontId="3" fillId="26" borderId="21" xfId="0" applyFont="1" applyFill="1" applyBorder="1" applyAlignment="1">
      <alignment horizontal="center"/>
    </xf>
    <xf numFmtId="1" fontId="5" fillId="48" borderId="10" xfId="0" applyNumberFormat="1" applyFont="1" applyFill="1" applyBorder="1" applyAlignment="1" applyProtection="1">
      <alignment horizontal="right" vertical="center" wrapText="1"/>
      <protection locked="0"/>
    </xf>
    <xf numFmtId="0" fontId="3" fillId="0" borderId="16" xfId="0" applyFont="1" applyBorder="1" applyAlignment="1" applyProtection="1">
      <alignment horizontal="center" vertical="center" wrapText="1"/>
    </xf>
    <xf numFmtId="0" fontId="5" fillId="26" borderId="21" xfId="0" applyNumberFormat="1" applyFont="1" applyFill="1" applyBorder="1" applyAlignment="1" applyProtection="1">
      <alignment horizontal="right"/>
    </xf>
    <xf numFmtId="0" fontId="5" fillId="26" borderId="23" xfId="0" applyNumberFormat="1" applyFont="1" applyFill="1" applyBorder="1" applyAlignment="1" applyProtection="1">
      <alignment horizontal="right"/>
    </xf>
    <xf numFmtId="0" fontId="0" fillId="0" borderId="0" xfId="0"/>
    <xf numFmtId="0" fontId="29" fillId="0" borderId="10" xfId="0" applyFont="1" applyBorder="1" applyAlignment="1">
      <alignment horizontal="center"/>
    </xf>
    <xf numFmtId="0" fontId="5" fillId="25" borderId="14" xfId="0" applyFont="1" applyFill="1" applyBorder="1" applyAlignment="1" applyProtection="1">
      <alignment horizontal="left" vertical="center" wrapText="1"/>
      <protection locked="0"/>
    </xf>
    <xf numFmtId="0" fontId="29" fillId="0" borderId="10" xfId="0" applyFont="1" applyBorder="1"/>
    <xf numFmtId="0" fontId="3" fillId="0" borderId="12" xfId="0" applyFont="1" applyBorder="1" applyAlignment="1">
      <alignment horizontal="center"/>
    </xf>
    <xf numFmtId="1" fontId="28" fillId="24" borderId="10" xfId="0" applyNumberFormat="1" applyFont="1" applyFill="1" applyBorder="1" applyAlignment="1" applyProtection="1">
      <alignment horizontal="right" vertical="center"/>
      <protection hidden="1"/>
    </xf>
    <xf numFmtId="171" fontId="5" fillId="48" borderId="10" xfId="0" applyNumberFormat="1" applyFont="1" applyFill="1" applyBorder="1" applyAlignment="1" applyProtection="1">
      <alignment horizontal="right" vertical="center"/>
      <protection locked="0"/>
    </xf>
    <xf numFmtId="0" fontId="5" fillId="47" borderId="13" xfId="0" applyFont="1" applyFill="1" applyBorder="1" applyAlignment="1" applyProtection="1">
      <alignment vertical="center" wrapText="1"/>
    </xf>
    <xf numFmtId="49" fontId="5" fillId="47" borderId="13" xfId="0" applyNumberFormat="1" applyFont="1" applyFill="1" applyBorder="1" applyAlignment="1" applyProtection="1">
      <alignment vertical="center" wrapText="1"/>
    </xf>
    <xf numFmtId="1" fontId="5" fillId="47" borderId="10" xfId="0" applyNumberFormat="1" applyFont="1" applyFill="1" applyBorder="1" applyAlignment="1" applyProtection="1">
      <alignment horizontal="right" vertical="center" wrapText="1"/>
    </xf>
    <xf numFmtId="0" fontId="5" fillId="48" borderId="10" xfId="0" applyFont="1" applyFill="1" applyBorder="1" applyAlignment="1" applyProtection="1">
      <alignment horizontal="left" vertical="center" wrapText="1"/>
      <protection locked="0"/>
    </xf>
    <xf numFmtId="49" fontId="5" fillId="48" borderId="10" xfId="0" applyNumberFormat="1" applyFont="1" applyFill="1" applyBorder="1" applyAlignment="1" applyProtection="1">
      <protection locked="0"/>
    </xf>
    <xf numFmtId="49" fontId="5" fillId="48" borderId="10" xfId="0" applyNumberFormat="1" applyFont="1" applyFill="1" applyBorder="1" applyAlignment="1" applyProtection="1">
      <alignment horizontal="left" vertical="center" wrapText="1"/>
      <protection locked="0"/>
    </xf>
    <xf numFmtId="1" fontId="5" fillId="47" borderId="13" xfId="0" applyNumberFormat="1" applyFont="1" applyFill="1" applyBorder="1" applyAlignment="1" applyProtection="1">
      <alignment horizontal="left" vertical="center"/>
    </xf>
    <xf numFmtId="1" fontId="5" fillId="47" borderId="10" xfId="0" applyNumberFormat="1" applyFont="1" applyFill="1" applyBorder="1" applyAlignment="1" applyProtection="1">
      <alignment horizontal="left" vertical="top"/>
    </xf>
    <xf numFmtId="2" fontId="28" fillId="24" borderId="13" xfId="0" applyNumberFormat="1" applyFont="1" applyFill="1" applyBorder="1" applyAlignment="1" applyProtection="1">
      <alignment horizontal="right" vertical="center"/>
      <protection hidden="1"/>
    </xf>
    <xf numFmtId="49" fontId="5" fillId="47" borderId="11" xfId="0" applyNumberFormat="1" applyFont="1" applyFill="1" applyBorder="1" applyAlignment="1" applyProtection="1"/>
    <xf numFmtId="1" fontId="5" fillId="48" borderId="10" xfId="0" applyNumberFormat="1" applyFont="1" applyFill="1" applyBorder="1" applyAlignment="1" applyProtection="1">
      <alignment horizontal="right" wrapText="1"/>
      <protection locked="0"/>
    </xf>
    <xf numFmtId="1" fontId="5" fillId="47" borderId="14" xfId="0" applyNumberFormat="1" applyFont="1" applyFill="1" applyBorder="1" applyAlignment="1" applyProtection="1">
      <alignment horizontal="right" vertical="top"/>
    </xf>
    <xf numFmtId="1" fontId="5" fillId="47" borderId="10" xfId="698" applyNumberFormat="1" applyFont="1" applyFill="1" applyBorder="1" applyAlignment="1" applyProtection="1">
      <alignment horizontal="right" vertical="top"/>
    </xf>
    <xf numFmtId="1" fontId="5" fillId="48" borderId="10" xfId="0" applyNumberFormat="1" applyFont="1" applyFill="1" applyBorder="1" applyAlignment="1" applyProtection="1">
      <alignment horizontal="center" vertical="center" wrapText="1"/>
      <protection locked="0"/>
    </xf>
    <xf numFmtId="49" fontId="5" fillId="48" borderId="10" xfId="0" applyNumberFormat="1" applyFont="1" applyFill="1" applyBorder="1" applyAlignment="1" applyProtection="1">
      <alignment vertical="center" wrapText="1"/>
      <protection locked="0"/>
    </xf>
    <xf numFmtId="0" fontId="5" fillId="48" borderId="10" xfId="0" applyNumberFormat="1" applyFont="1" applyFill="1" applyBorder="1" applyAlignment="1" applyProtection="1">
      <alignment horizontal="left" vertical="center" wrapText="1"/>
      <protection locked="0"/>
    </xf>
    <xf numFmtId="49" fontId="5" fillId="48" borderId="10" xfId="0" applyNumberFormat="1" applyFont="1" applyFill="1" applyBorder="1" applyAlignment="1" applyProtection="1">
      <alignment horizontal="left" vertical="center" wrapText="1"/>
      <protection locked="0"/>
    </xf>
    <xf numFmtId="1" fontId="5" fillId="48" borderId="10"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1" fontId="5" fillId="47" borderId="11" xfId="0" applyNumberFormat="1" applyFont="1" applyFill="1" applyBorder="1" applyAlignment="1" applyProtection="1">
      <alignment horizontal="left" vertical="top"/>
    </xf>
    <xf numFmtId="1" fontId="5" fillId="47" borderId="10" xfId="0" applyNumberFormat="1" applyFont="1" applyFill="1" applyBorder="1" applyAlignment="1" applyProtection="1">
      <alignment vertical="top"/>
    </xf>
    <xf numFmtId="0" fontId="5" fillId="47" borderId="10" xfId="0" applyNumberFormat="1" applyFont="1" applyFill="1" applyBorder="1" applyAlignment="1" applyProtection="1">
      <alignment horizontal="left" vertical="center"/>
    </xf>
    <xf numFmtId="1" fontId="3" fillId="26" borderId="14" xfId="0" applyNumberFormat="1" applyFont="1" applyFill="1" applyBorder="1" applyAlignment="1" applyProtection="1">
      <alignment vertical="top" wrapText="1"/>
    </xf>
    <xf numFmtId="1" fontId="5" fillId="48" borderId="13" xfId="0" applyNumberFormat="1" applyFont="1" applyFill="1" applyBorder="1" applyAlignment="1" applyProtection="1">
      <alignment horizontal="right" vertical="center"/>
      <protection locked="0"/>
    </xf>
    <xf numFmtId="1" fontId="5" fillId="26" borderId="20" xfId="0" applyNumberFormat="1" applyFont="1" applyFill="1" applyBorder="1" applyAlignment="1" applyProtection="1">
      <alignment horizontal="right" vertical="center" wrapText="1"/>
    </xf>
    <xf numFmtId="1" fontId="5" fillId="26" borderId="14" xfId="0" applyNumberFormat="1" applyFont="1" applyFill="1" applyBorder="1" applyAlignment="1" applyProtection="1">
      <alignment horizontal="right" vertical="center" wrapText="1"/>
    </xf>
    <xf numFmtId="1" fontId="32" fillId="26" borderId="10" xfId="0" applyNumberFormat="1" applyFont="1" applyFill="1" applyBorder="1" applyAlignment="1" applyProtection="1">
      <alignment horizontal="right" vertical="center"/>
    </xf>
    <xf numFmtId="1" fontId="5" fillId="48" borderId="20" xfId="0" applyNumberFormat="1" applyFont="1" applyFill="1" applyBorder="1" applyAlignment="1" applyProtection="1">
      <alignment horizontal="right" vertical="center"/>
      <protection locked="0"/>
    </xf>
    <xf numFmtId="0" fontId="5" fillId="48" borderId="10" xfId="878" applyFont="1" applyFill="1" applyBorder="1" applyAlignment="1" applyProtection="1">
      <alignment horizontal="left" vertical="center" wrapText="1"/>
      <protection locked="0"/>
    </xf>
    <xf numFmtId="49" fontId="5" fillId="48" borderId="13" xfId="0" applyNumberFormat="1" applyFont="1" applyFill="1" applyBorder="1" applyAlignment="1" applyProtection="1">
      <alignment horizontal="left" vertical="center" wrapText="1"/>
      <protection locked="0"/>
    </xf>
    <xf numFmtId="1" fontId="5" fillId="48" borderId="10" xfId="0" applyNumberFormat="1" applyFont="1" applyFill="1" applyBorder="1" applyAlignment="1" applyProtection="1">
      <alignment horizontal="right" vertical="center" wrapText="1"/>
      <protection locked="0"/>
    </xf>
    <xf numFmtId="49" fontId="5" fillId="48" borderId="10" xfId="0" applyNumberFormat="1" applyFont="1" applyFill="1" applyBorder="1" applyAlignment="1" applyProtection="1">
      <alignment horizontal="left" vertical="center" wrapText="1"/>
      <protection locked="0"/>
    </xf>
    <xf numFmtId="0" fontId="5" fillId="48" borderId="10" xfId="0" applyFont="1" applyFill="1" applyBorder="1" applyAlignment="1" applyProtection="1">
      <alignment horizontal="left" vertical="center" wrapText="1"/>
      <protection locked="0"/>
    </xf>
    <xf numFmtId="0" fontId="68" fillId="24" borderId="10" xfId="0" applyNumberFormat="1" applyFont="1" applyFill="1" applyBorder="1" applyAlignment="1" applyProtection="1">
      <alignment horizontal="left" vertical="center" wrapText="1"/>
      <protection hidden="1"/>
    </xf>
    <xf numFmtId="0" fontId="29" fillId="0" borderId="10" xfId="0" applyFont="1" applyBorder="1" applyAlignment="1">
      <alignment horizontal="center" vertical="center"/>
    </xf>
    <xf numFmtId="2" fontId="5" fillId="47" borderId="17" xfId="878" applyNumberFormat="1" applyFont="1" applyFill="1" applyBorder="1" applyAlignment="1" applyProtection="1">
      <alignment horizontal="right" vertical="center" wrapText="1"/>
    </xf>
    <xf numFmtId="2" fontId="5" fillId="47" borderId="18" xfId="878" applyNumberFormat="1" applyFont="1" applyFill="1" applyBorder="1" applyAlignment="1" applyProtection="1">
      <alignment horizontal="right" vertical="center" wrapText="1"/>
    </xf>
    <xf numFmtId="2" fontId="5" fillId="47" borderId="22" xfId="878" applyNumberFormat="1" applyFont="1" applyFill="1" applyBorder="1" applyAlignment="1" applyProtection="1">
      <alignment horizontal="right" vertical="center" wrapText="1"/>
    </xf>
    <xf numFmtId="49" fontId="5" fillId="47" borderId="14" xfId="878" applyNumberFormat="1" applyFont="1" applyFill="1" applyBorder="1" applyAlignment="1" applyProtection="1">
      <alignment horizontal="left" vertical="center" wrapText="1"/>
    </xf>
    <xf numFmtId="49" fontId="5" fillId="47" borderId="19" xfId="878" applyNumberFormat="1" applyFont="1" applyFill="1" applyBorder="1" applyAlignment="1" applyProtection="1">
      <alignment horizontal="left" vertical="center" wrapText="1"/>
    </xf>
    <xf numFmtId="49" fontId="5" fillId="47" borderId="11" xfId="878" applyNumberFormat="1" applyFont="1" applyFill="1" applyBorder="1" applyAlignment="1" applyProtection="1">
      <alignment horizontal="left" vertical="center" wrapText="1"/>
    </xf>
    <xf numFmtId="49" fontId="5" fillId="47" borderId="14" xfId="878" applyNumberFormat="1" applyFont="1" applyFill="1" applyBorder="1" applyAlignment="1" applyProtection="1">
      <alignment horizontal="left" vertical="top" wrapText="1"/>
    </xf>
    <xf numFmtId="49" fontId="5" fillId="47" borderId="19" xfId="878" applyNumberFormat="1" applyFont="1" applyFill="1" applyBorder="1" applyAlignment="1" applyProtection="1">
      <alignment horizontal="left" vertical="top" wrapText="1"/>
    </xf>
    <xf numFmtId="0" fontId="7" fillId="0" borderId="10" xfId="878" applyFont="1" applyFill="1" applyBorder="1" applyAlignment="1">
      <alignment horizontal="left" vertical="center" wrapText="1"/>
    </xf>
    <xf numFmtId="0" fontId="0" fillId="0" borderId="10" xfId="0" applyBorder="1"/>
    <xf numFmtId="0" fontId="3" fillId="0" borderId="20" xfId="878" applyFont="1" applyBorder="1" applyAlignment="1">
      <alignment horizontal="left" vertical="center" wrapText="1"/>
    </xf>
    <xf numFmtId="0" fontId="3" fillId="0" borderId="15" xfId="878" applyFont="1" applyBorder="1" applyAlignment="1">
      <alignment horizontal="left" vertical="center" wrapText="1"/>
    </xf>
    <xf numFmtId="0" fontId="7" fillId="0" borderId="17" xfId="878" applyFont="1" applyBorder="1" applyAlignment="1">
      <alignment horizontal="center" vertical="center" wrapText="1"/>
    </xf>
    <xf numFmtId="0" fontId="32" fillId="0" borderId="22" xfId="0" applyFont="1" applyBorder="1" applyAlignment="1">
      <alignment horizontal="center" vertical="center" wrapText="1"/>
    </xf>
    <xf numFmtId="0" fontId="3" fillId="0" borderId="19" xfId="878" applyFont="1" applyBorder="1" applyAlignment="1">
      <alignment horizontal="left" vertical="center" wrapText="1"/>
    </xf>
    <xf numFmtId="0" fontId="7" fillId="0" borderId="10" xfId="878" applyFont="1" applyFill="1" applyBorder="1" applyAlignment="1">
      <alignment horizontal="left" vertical="center"/>
    </xf>
    <xf numFmtId="1" fontId="5" fillId="47" borderId="17" xfId="878" applyNumberFormat="1" applyFont="1" applyFill="1" applyBorder="1" applyAlignment="1" applyProtection="1">
      <alignment horizontal="right" vertical="center" wrapText="1"/>
    </xf>
    <xf numFmtId="1" fontId="5" fillId="47" borderId="18" xfId="878" applyNumberFormat="1" applyFont="1" applyFill="1" applyBorder="1" applyAlignment="1" applyProtection="1">
      <alignment horizontal="right" vertical="center" wrapText="1"/>
    </xf>
    <xf numFmtId="1" fontId="5" fillId="47" borderId="22" xfId="878" applyNumberFormat="1" applyFont="1" applyFill="1" applyBorder="1" applyAlignment="1" applyProtection="1">
      <alignment horizontal="right" vertical="center" wrapText="1"/>
    </xf>
    <xf numFmtId="49" fontId="57" fillId="25" borderId="10" xfId="878" applyNumberFormat="1" applyFont="1" applyFill="1" applyBorder="1" applyAlignment="1" applyProtection="1">
      <alignment horizontal="left" vertical="center" wrapText="1"/>
      <protection locked="0"/>
    </xf>
    <xf numFmtId="1" fontId="5" fillId="47" borderId="14" xfId="878" applyNumberFormat="1" applyFont="1" applyFill="1" applyBorder="1" applyAlignment="1" applyProtection="1">
      <alignment horizontal="right" vertical="center" wrapText="1"/>
    </xf>
    <xf numFmtId="1" fontId="5" fillId="47" borderId="11" xfId="878" applyNumberFormat="1" applyFont="1" applyFill="1" applyBorder="1" applyAlignment="1" applyProtection="1">
      <alignment horizontal="right" vertical="center" wrapText="1"/>
    </xf>
    <xf numFmtId="0" fontId="3" fillId="0" borderId="19" xfId="878" applyFont="1" applyBorder="1" applyAlignment="1">
      <alignment horizontal="left" vertical="top" wrapText="1"/>
    </xf>
    <xf numFmtId="0" fontId="3" fillId="0" borderId="14" xfId="878" applyFont="1" applyBorder="1" applyAlignment="1">
      <alignment horizontal="left" vertical="center" wrapText="1"/>
    </xf>
    <xf numFmtId="0" fontId="3" fillId="0" borderId="11" xfId="878" applyFont="1" applyBorder="1" applyAlignment="1">
      <alignment horizontal="left" vertical="center" wrapText="1"/>
    </xf>
    <xf numFmtId="0" fontId="3" fillId="0" borderId="14" xfId="878" applyFont="1" applyBorder="1" applyAlignment="1">
      <alignment horizontal="center" vertical="center" wrapText="1"/>
    </xf>
    <xf numFmtId="0" fontId="3" fillId="0" borderId="19" xfId="878" applyFont="1" applyBorder="1" applyAlignment="1">
      <alignment horizontal="center" vertical="center" wrapText="1"/>
    </xf>
    <xf numFmtId="0" fontId="3" fillId="0" borderId="11" xfId="878" applyFont="1" applyBorder="1" applyAlignment="1">
      <alignment horizontal="center" vertical="center" wrapText="1"/>
    </xf>
    <xf numFmtId="2" fontId="5" fillId="47" borderId="14" xfId="878" applyNumberFormat="1" applyFont="1" applyFill="1" applyBorder="1" applyAlignment="1" applyProtection="1">
      <alignment horizontal="right" vertical="center" wrapText="1"/>
    </xf>
    <xf numFmtId="2" fontId="5" fillId="47" borderId="11" xfId="878" applyNumberFormat="1" applyFont="1" applyFill="1" applyBorder="1" applyAlignment="1" applyProtection="1">
      <alignment horizontal="right" vertical="center" wrapText="1"/>
    </xf>
    <xf numFmtId="1" fontId="5" fillId="47" borderId="19" xfId="878" applyNumberFormat="1" applyFont="1" applyFill="1" applyBorder="1" applyAlignment="1" applyProtection="1">
      <alignment horizontal="right" vertical="center" wrapText="1"/>
    </xf>
    <xf numFmtId="49" fontId="5" fillId="47" borderId="14" xfId="895" applyNumberFormat="1" applyFont="1" applyFill="1" applyBorder="1" applyAlignment="1" applyProtection="1">
      <alignment horizontal="left" vertical="center" wrapText="1"/>
    </xf>
    <xf numFmtId="49" fontId="5" fillId="47" borderId="19" xfId="895" applyNumberFormat="1" applyFont="1" applyFill="1" applyBorder="1" applyAlignment="1" applyProtection="1">
      <alignment horizontal="left" vertical="center" wrapText="1"/>
    </xf>
    <xf numFmtId="49" fontId="5" fillId="47" borderId="11" xfId="895" applyNumberFormat="1" applyFont="1" applyFill="1" applyBorder="1" applyAlignment="1" applyProtection="1">
      <alignment horizontal="left" vertical="center" wrapText="1"/>
    </xf>
    <xf numFmtId="0" fontId="7" fillId="0" borderId="14" xfId="878" applyFont="1" applyBorder="1" applyAlignment="1">
      <alignment horizontal="center" vertical="center" wrapText="1"/>
    </xf>
    <xf numFmtId="0" fontId="32" fillId="0" borderId="11" xfId="0" applyFont="1" applyBorder="1" applyAlignment="1">
      <alignment horizontal="center" vertical="center" wrapText="1"/>
    </xf>
    <xf numFmtId="0" fontId="3" fillId="0" borderId="21" xfId="878" applyFont="1" applyBorder="1" applyAlignment="1">
      <alignment horizontal="left" vertical="center" wrapText="1"/>
    </xf>
    <xf numFmtId="0" fontId="3" fillId="0" borderId="0" xfId="878" applyFont="1" applyBorder="1" applyAlignment="1">
      <alignment horizontal="left" vertical="center" wrapText="1"/>
    </xf>
    <xf numFmtId="0" fontId="3" fillId="0" borderId="17" xfId="878" applyFont="1" applyBorder="1" applyAlignment="1">
      <alignment horizontal="left" vertical="center" wrapText="1"/>
    </xf>
    <xf numFmtId="0" fontId="3" fillId="0" borderId="18" xfId="878" applyFont="1" applyBorder="1" applyAlignment="1">
      <alignment horizontal="left" vertical="center" wrapText="1"/>
    </xf>
    <xf numFmtId="49" fontId="57" fillId="47" borderId="16" xfId="878" applyNumberFormat="1" applyFont="1" applyFill="1" applyBorder="1" applyAlignment="1" applyProtection="1">
      <alignment horizontal="left" vertical="center" wrapText="1"/>
    </xf>
    <xf numFmtId="0" fontId="0" fillId="47" borderId="16" xfId="0" applyFill="1" applyBorder="1" applyProtection="1"/>
    <xf numFmtId="0" fontId="7" fillId="0" borderId="16" xfId="878" applyFont="1" applyFill="1" applyBorder="1" applyAlignment="1">
      <alignment horizontal="left" vertical="center" wrapText="1"/>
    </xf>
    <xf numFmtId="0" fontId="0" fillId="0" borderId="16" xfId="0" applyBorder="1"/>
    <xf numFmtId="0" fontId="5" fillId="25" borderId="14" xfId="878" applyFont="1" applyFill="1" applyBorder="1" applyAlignment="1" applyProtection="1">
      <alignment horizontal="left" vertical="center" wrapText="1"/>
      <protection locked="0"/>
    </xf>
    <xf numFmtId="0" fontId="5" fillId="25" borderId="19" xfId="878" applyFont="1" applyFill="1" applyBorder="1" applyAlignment="1" applyProtection="1">
      <alignment horizontal="left" vertical="center" wrapText="1"/>
      <protection locked="0"/>
    </xf>
    <xf numFmtId="0" fontId="5" fillId="25" borderId="11" xfId="878" applyFont="1" applyFill="1" applyBorder="1" applyAlignment="1" applyProtection="1">
      <alignment horizontal="left" vertical="center" wrapText="1"/>
      <protection locked="0"/>
    </xf>
    <xf numFmtId="0" fontId="3" fillId="0" borderId="17" xfId="878" applyFont="1" applyBorder="1" applyAlignment="1">
      <alignment horizontal="left" vertical="center" textRotation="90" wrapText="1"/>
    </xf>
    <xf numFmtId="0" fontId="0" fillId="0" borderId="22" xfId="0" applyBorder="1"/>
    <xf numFmtId="0" fontId="3" fillId="0" borderId="21" xfId="878" applyFont="1" applyBorder="1" applyAlignment="1">
      <alignment horizontal="left" vertical="center" textRotation="90" wrapText="1"/>
    </xf>
    <xf numFmtId="0" fontId="0" fillId="0" borderId="23" xfId="0" applyBorder="1"/>
    <xf numFmtId="0" fontId="0" fillId="0" borderId="20" xfId="0" applyBorder="1"/>
    <xf numFmtId="0" fontId="0" fillId="0" borderId="24" xfId="0" applyBorder="1"/>
    <xf numFmtId="0" fontId="0" fillId="25" borderId="10" xfId="0" applyFill="1" applyBorder="1" applyProtection="1">
      <protection locked="0"/>
    </xf>
    <xf numFmtId="49" fontId="57" fillId="48" borderId="10" xfId="878" applyNumberFormat="1" applyFont="1" applyFill="1" applyBorder="1" applyAlignment="1" applyProtection="1">
      <alignment horizontal="left" vertical="center" wrapText="1"/>
      <protection locked="0"/>
    </xf>
    <xf numFmtId="0" fontId="0" fillId="48" borderId="10" xfId="0" applyFill="1" applyBorder="1" applyProtection="1">
      <protection locked="0"/>
    </xf>
    <xf numFmtId="49" fontId="57" fillId="47" borderId="10" xfId="878" applyNumberFormat="1" applyFont="1" applyFill="1" applyBorder="1" applyAlignment="1" applyProtection="1">
      <alignment horizontal="left" vertical="center" wrapText="1"/>
    </xf>
    <xf numFmtId="0" fontId="0" fillId="47" borderId="10" xfId="0" applyFill="1" applyBorder="1" applyProtection="1"/>
    <xf numFmtId="0" fontId="3" fillId="0" borderId="14" xfId="895" applyFont="1" applyFill="1" applyBorder="1" applyAlignment="1" applyProtection="1">
      <alignment horizontal="left" vertical="center" wrapText="1"/>
    </xf>
    <xf numFmtId="0" fontId="3" fillId="0" borderId="19" xfId="895" applyFont="1" applyFill="1" applyBorder="1" applyAlignment="1" applyProtection="1">
      <alignment horizontal="left" vertical="center" wrapText="1"/>
    </xf>
    <xf numFmtId="0" fontId="3" fillId="0" borderId="11" xfId="895" applyFont="1" applyFill="1" applyBorder="1" applyAlignment="1" applyProtection="1">
      <alignment horizontal="left" vertical="center" wrapText="1"/>
    </xf>
    <xf numFmtId="2" fontId="5" fillId="47" borderId="19" xfId="878" applyNumberFormat="1" applyFont="1" applyFill="1" applyBorder="1" applyAlignment="1" applyProtection="1">
      <alignment horizontal="right" vertical="center" wrapText="1"/>
    </xf>
    <xf numFmtId="0" fontId="29" fillId="0" borderId="14" xfId="878" applyFont="1" applyFill="1" applyBorder="1" applyAlignment="1">
      <alignment horizontal="left" vertical="center"/>
    </xf>
    <xf numFmtId="0" fontId="29" fillId="0" borderId="19" xfId="878" applyFont="1" applyFill="1" applyBorder="1" applyAlignment="1">
      <alignment horizontal="left" vertical="center"/>
    </xf>
    <xf numFmtId="0" fontId="29" fillId="0" borderId="11" xfId="878" applyFont="1" applyFill="1" applyBorder="1" applyAlignment="1">
      <alignment horizontal="left" vertical="center"/>
    </xf>
    <xf numFmtId="0" fontId="5" fillId="47" borderId="14" xfId="878" applyFont="1" applyFill="1" applyBorder="1" applyAlignment="1" applyProtection="1">
      <alignment horizontal="left" vertical="center" wrapText="1"/>
    </xf>
    <xf numFmtId="0" fontId="5" fillId="47" borderId="19" xfId="878" applyFont="1" applyFill="1" applyBorder="1" applyAlignment="1" applyProtection="1">
      <alignment horizontal="left" vertical="center" wrapText="1"/>
    </xf>
    <xf numFmtId="0" fontId="0" fillId="47" borderId="0" xfId="0" applyFill="1" applyProtection="1"/>
    <xf numFmtId="0" fontId="3" fillId="0" borderId="10" xfId="878" applyFont="1" applyBorder="1" applyAlignment="1">
      <alignment horizontal="center" vertical="top" wrapText="1"/>
    </xf>
    <xf numFmtId="0" fontId="7" fillId="0" borderId="16" xfId="878" applyFont="1" applyBorder="1" applyAlignment="1">
      <alignment horizontal="left" vertical="center"/>
    </xf>
    <xf numFmtId="0" fontId="7" fillId="0" borderId="10" xfId="878" applyFont="1" applyBorder="1" applyAlignment="1">
      <alignment horizontal="left" vertical="center"/>
    </xf>
    <xf numFmtId="0" fontId="7" fillId="0" borderId="14" xfId="878" applyFont="1" applyBorder="1" applyAlignment="1">
      <alignment horizontal="left" vertical="center"/>
    </xf>
    <xf numFmtId="0" fontId="5" fillId="47" borderId="14" xfId="878" applyFont="1" applyFill="1" applyBorder="1" applyAlignment="1" applyProtection="1">
      <alignment vertical="top" wrapText="1"/>
    </xf>
    <xf numFmtId="0" fontId="5" fillId="47" borderId="19" xfId="878" applyFont="1" applyFill="1" applyBorder="1" applyAlignment="1" applyProtection="1">
      <alignment vertical="top" wrapText="1"/>
    </xf>
    <xf numFmtId="0" fontId="5" fillId="47" borderId="11" xfId="878" applyFont="1" applyFill="1" applyBorder="1" applyAlignment="1" applyProtection="1">
      <alignment vertical="top" wrapText="1"/>
    </xf>
    <xf numFmtId="0" fontId="5" fillId="47" borderId="14" xfId="878" applyFont="1" applyFill="1" applyBorder="1" applyAlignment="1" applyProtection="1">
      <alignment horizontal="left" vertical="top" wrapText="1"/>
    </xf>
    <xf numFmtId="0" fontId="5" fillId="47" borderId="19" xfId="878" applyFont="1" applyFill="1" applyBorder="1" applyAlignment="1" applyProtection="1">
      <alignment horizontal="left" vertical="top" wrapText="1"/>
    </xf>
    <xf numFmtId="49" fontId="5" fillId="47" borderId="11" xfId="878" applyNumberFormat="1" applyFont="1" applyFill="1" applyBorder="1" applyAlignment="1" applyProtection="1">
      <alignment horizontal="left" vertical="top" wrapText="1"/>
    </xf>
    <xf numFmtId="0" fontId="58" fillId="24" borderId="17" xfId="0" applyFont="1" applyFill="1" applyBorder="1" applyAlignment="1">
      <alignment horizontal="center" vertical="center"/>
    </xf>
    <xf numFmtId="0" fontId="58" fillId="24" borderId="18" xfId="0" applyFont="1" applyFill="1" applyBorder="1" applyAlignment="1">
      <alignment horizontal="center" vertical="center"/>
    </xf>
    <xf numFmtId="0" fontId="58" fillId="24" borderId="20" xfId="0" applyFont="1" applyFill="1" applyBorder="1" applyAlignment="1">
      <alignment horizontal="center" vertical="center"/>
    </xf>
    <xf numFmtId="0" fontId="58" fillId="24" borderId="15" xfId="0" applyFont="1" applyFill="1" applyBorder="1" applyAlignment="1">
      <alignment horizontal="center" vertical="center"/>
    </xf>
    <xf numFmtId="49" fontId="5" fillId="25" borderId="14" xfId="895" applyNumberFormat="1" applyFont="1" applyFill="1" applyBorder="1" applyAlignment="1" applyProtection="1">
      <alignment horizontal="left" vertical="center" wrapText="1"/>
      <protection locked="0"/>
    </xf>
    <xf numFmtId="49" fontId="5" fillId="25" borderId="19" xfId="895" applyNumberFormat="1" applyFont="1" applyFill="1" applyBorder="1" applyAlignment="1" applyProtection="1">
      <alignment horizontal="left" vertical="center" wrapText="1"/>
      <protection locked="0"/>
    </xf>
    <xf numFmtId="49" fontId="5" fillId="25" borderId="11" xfId="895" applyNumberFormat="1" applyFont="1" applyFill="1" applyBorder="1" applyAlignment="1" applyProtection="1">
      <alignment horizontal="left" vertical="center" wrapText="1"/>
      <protection locked="0"/>
    </xf>
    <xf numFmtId="49" fontId="5" fillId="25" borderId="19" xfId="895" applyNumberFormat="1" applyFont="1" applyFill="1" applyBorder="1" applyAlignment="1" applyProtection="1">
      <alignment horizontal="left" vertical="center" wrapText="1"/>
    </xf>
    <xf numFmtId="49" fontId="5" fillId="25" borderId="11" xfId="895" applyNumberFormat="1" applyFont="1" applyFill="1" applyBorder="1" applyAlignment="1" applyProtection="1">
      <alignment horizontal="left" vertical="center" wrapText="1"/>
    </xf>
    <xf numFmtId="0" fontId="3" fillId="0" borderId="10" xfId="878" applyFont="1" applyBorder="1" applyAlignment="1">
      <alignment horizontal="center" vertical="center" wrapText="1"/>
    </xf>
    <xf numFmtId="0" fontId="3" fillId="0" borderId="16" xfId="878" applyFont="1" applyBorder="1" applyAlignment="1">
      <alignment horizontal="center" vertical="center" wrapText="1"/>
    </xf>
    <xf numFmtId="0" fontId="3" fillId="0" borderId="13" xfId="878" applyFont="1" applyBorder="1" applyAlignment="1">
      <alignment horizontal="center" vertical="center" wrapText="1"/>
    </xf>
    <xf numFmtId="0" fontId="29" fillId="0" borderId="14" xfId="878" applyFont="1" applyBorder="1" applyAlignment="1">
      <alignment horizontal="left" vertical="center"/>
    </xf>
    <xf numFmtId="0" fontId="67" fillId="0" borderId="19" xfId="878" applyFont="1" applyBorder="1" applyAlignment="1">
      <alignment horizontal="left" vertical="center"/>
    </xf>
    <xf numFmtId="0" fontId="67" fillId="0" borderId="11" xfId="878" applyFont="1" applyBorder="1" applyAlignment="1">
      <alignment horizontal="left" vertical="center"/>
    </xf>
    <xf numFmtId="0" fontId="7" fillId="0" borderId="14" xfId="878" applyFont="1" applyBorder="1" applyAlignment="1">
      <alignment horizontal="left" vertical="center" wrapText="1"/>
    </xf>
    <xf numFmtId="0" fontId="7" fillId="0" borderId="19" xfId="878" applyFont="1" applyBorder="1" applyAlignment="1">
      <alignment horizontal="left" vertical="center" wrapText="1"/>
    </xf>
    <xf numFmtId="0" fontId="7" fillId="0" borderId="11" xfId="878" applyFont="1" applyBorder="1" applyAlignment="1">
      <alignment horizontal="left" vertical="center" wrapText="1"/>
    </xf>
    <xf numFmtId="0" fontId="5" fillId="47" borderId="10" xfId="878" applyFont="1" applyFill="1" applyBorder="1" applyAlignment="1" applyProtection="1">
      <alignment horizontal="left" vertical="center" wrapText="1"/>
    </xf>
    <xf numFmtId="0" fontId="5" fillId="26" borderId="10" xfId="878" applyFont="1" applyFill="1" applyBorder="1" applyAlignment="1" applyProtection="1">
      <alignment horizontal="left" vertical="center" wrapText="1"/>
    </xf>
    <xf numFmtId="0" fontId="7" fillId="0" borderId="10" xfId="878" applyFont="1" applyBorder="1" applyAlignment="1">
      <alignment horizontal="center" vertical="top" wrapText="1"/>
    </xf>
    <xf numFmtId="49" fontId="5" fillId="48" borderId="14" xfId="878" applyNumberFormat="1" applyFont="1" applyFill="1" applyBorder="1" applyAlignment="1" applyProtection="1">
      <alignment horizontal="left" vertical="center" wrapText="1"/>
      <protection locked="0"/>
    </xf>
    <xf numFmtId="49" fontId="5" fillId="48" borderId="19" xfId="878" applyNumberFormat="1" applyFont="1" applyFill="1" applyBorder="1" applyAlignment="1" applyProtection="1">
      <alignment horizontal="left" vertical="center" wrapText="1"/>
      <protection locked="0"/>
    </xf>
    <xf numFmtId="49" fontId="5" fillId="48" borderId="11" xfId="878" applyNumberFormat="1" applyFont="1" applyFill="1" applyBorder="1" applyAlignment="1" applyProtection="1">
      <alignment horizontal="left" vertical="center" wrapText="1"/>
      <protection locked="0"/>
    </xf>
    <xf numFmtId="0" fontId="3" fillId="24" borderId="14" xfId="878" applyFont="1" applyFill="1" applyBorder="1" applyAlignment="1">
      <alignment horizontal="left" vertical="center" wrapText="1"/>
    </xf>
    <xf numFmtId="0" fontId="3" fillId="24" borderId="19" xfId="878" applyFont="1" applyFill="1" applyBorder="1" applyAlignment="1">
      <alignment horizontal="left" vertical="center"/>
    </xf>
    <xf numFmtId="49" fontId="5" fillId="48" borderId="17" xfId="878" applyNumberFormat="1" applyFont="1" applyFill="1" applyBorder="1" applyAlignment="1" applyProtection="1">
      <alignment horizontal="left" vertical="center" wrapText="1"/>
      <protection locked="0"/>
    </xf>
    <xf numFmtId="49" fontId="5" fillId="48" borderId="18" xfId="878" applyNumberFormat="1" applyFont="1" applyFill="1" applyBorder="1" applyAlignment="1" applyProtection="1">
      <alignment horizontal="left" vertical="center" wrapText="1"/>
      <protection locked="0"/>
    </xf>
    <xf numFmtId="0" fontId="3" fillId="0" borderId="14" xfId="878" applyFont="1" applyBorder="1" applyAlignment="1">
      <alignment horizontal="center" vertical="top" wrapText="1"/>
    </xf>
    <xf numFmtId="0" fontId="3" fillId="0" borderId="19" xfId="878" applyFont="1" applyBorder="1" applyAlignment="1">
      <alignment horizontal="center" vertical="top" wrapText="1"/>
    </xf>
    <xf numFmtId="0" fontId="3" fillId="0" borderId="11" xfId="878" applyFont="1" applyBorder="1" applyAlignment="1">
      <alignment horizontal="center" vertical="top" wrapText="1"/>
    </xf>
    <xf numFmtId="0" fontId="7" fillId="0" borderId="17" xfId="878" applyFont="1" applyBorder="1" applyAlignment="1">
      <alignment horizontal="left" vertical="center"/>
    </xf>
    <xf numFmtId="0" fontId="5" fillId="25" borderId="17" xfId="878" applyFont="1" applyFill="1" applyBorder="1" applyAlignment="1" applyProtection="1">
      <alignment horizontal="left" vertical="center" wrapText="1"/>
      <protection locked="0"/>
    </xf>
    <xf numFmtId="0" fontId="5" fillId="25" borderId="18" xfId="878" applyFont="1" applyFill="1" applyBorder="1" applyAlignment="1" applyProtection="1">
      <alignment horizontal="left" vertical="center" wrapText="1"/>
      <protection locked="0"/>
    </xf>
    <xf numFmtId="0" fontId="5" fillId="25" borderId="22" xfId="878" applyFont="1" applyFill="1" applyBorder="1" applyAlignment="1" applyProtection="1">
      <alignment horizontal="left" vertical="center" wrapText="1"/>
      <protection locked="0"/>
    </xf>
    <xf numFmtId="0" fontId="5" fillId="47" borderId="11" xfId="878" applyFont="1" applyFill="1" applyBorder="1" applyAlignment="1" applyProtection="1">
      <alignment horizontal="left" vertical="center" wrapText="1"/>
    </xf>
    <xf numFmtId="0" fontId="29" fillId="0" borderId="10" xfId="878" applyFont="1" applyBorder="1" applyAlignment="1">
      <alignment horizontal="left" vertical="top" wrapText="1"/>
    </xf>
    <xf numFmtId="0" fontId="29" fillId="0" borderId="14" xfId="878" applyFont="1" applyBorder="1" applyAlignment="1">
      <alignment horizontal="left" vertical="center" wrapText="1"/>
    </xf>
    <xf numFmtId="0" fontId="29" fillId="0" borderId="19" xfId="878" applyFont="1" applyBorder="1" applyAlignment="1">
      <alignment horizontal="left" vertical="center" wrapText="1"/>
    </xf>
    <xf numFmtId="168" fontId="5" fillId="47" borderId="14" xfId="878" applyNumberFormat="1" applyFont="1" applyFill="1" applyBorder="1" applyAlignment="1" applyProtection="1">
      <alignment horizontal="left" vertical="center" wrapText="1"/>
    </xf>
    <xf numFmtId="168" fontId="5" fillId="47" borderId="19" xfId="878" applyNumberFormat="1" applyFont="1" applyFill="1" applyBorder="1" applyAlignment="1" applyProtection="1">
      <alignment horizontal="left" vertical="center" wrapText="1"/>
    </xf>
    <xf numFmtId="168" fontId="5" fillId="47" borderId="11" xfId="878" applyNumberFormat="1" applyFont="1" applyFill="1" applyBorder="1" applyAlignment="1" applyProtection="1">
      <alignment horizontal="left" vertical="center" wrapText="1"/>
    </xf>
    <xf numFmtId="0" fontId="7" fillId="0" borderId="14" xfId="878" applyFont="1" applyBorder="1" applyAlignment="1">
      <alignment horizontal="center" vertical="top" wrapText="1"/>
    </xf>
    <xf numFmtId="0" fontId="32" fillId="0" borderId="11" xfId="0" applyFont="1" applyBorder="1" applyAlignment="1">
      <alignment horizontal="center" vertical="top" wrapText="1"/>
    </xf>
    <xf numFmtId="0" fontId="3" fillId="0" borderId="14" xfId="878" applyFont="1" applyBorder="1" applyAlignment="1">
      <alignment horizontal="left" vertical="top" wrapText="1"/>
    </xf>
    <xf numFmtId="0" fontId="7" fillId="0" borderId="10" xfId="878" applyFont="1" applyBorder="1" applyAlignment="1">
      <alignment horizontal="left" vertical="center" wrapText="1"/>
    </xf>
    <xf numFmtId="49" fontId="5" fillId="25" borderId="19" xfId="878" applyNumberFormat="1" applyFont="1" applyFill="1" applyBorder="1" applyAlignment="1" applyProtection="1">
      <alignment horizontal="left" vertical="top" wrapText="1"/>
      <protection locked="0"/>
    </xf>
    <xf numFmtId="0" fontId="29" fillId="0" borderId="14" xfId="878" applyFont="1" applyBorder="1" applyAlignment="1">
      <alignment horizontal="left" vertical="top" wrapText="1"/>
    </xf>
    <xf numFmtId="0" fontId="29" fillId="0" borderId="19" xfId="878" applyFont="1" applyBorder="1" applyAlignment="1">
      <alignment horizontal="left" vertical="top" wrapText="1"/>
    </xf>
    <xf numFmtId="0" fontId="29" fillId="0" borderId="17" xfId="878" applyFont="1" applyBorder="1" applyAlignment="1">
      <alignment horizontal="left" vertical="top" wrapText="1"/>
    </xf>
    <xf numFmtId="0" fontId="29" fillId="0" borderId="18" xfId="878" applyFont="1" applyBorder="1" applyAlignment="1">
      <alignment horizontal="left" vertical="top" wrapText="1"/>
    </xf>
    <xf numFmtId="0" fontId="29" fillId="0" borderId="22" xfId="878" applyFont="1" applyBorder="1" applyAlignment="1">
      <alignment horizontal="left" vertical="top" wrapText="1"/>
    </xf>
    <xf numFmtId="0" fontId="101" fillId="0" borderId="14" xfId="878" applyFont="1" applyBorder="1" applyAlignment="1">
      <alignment horizontal="left" vertical="top" wrapText="1"/>
    </xf>
    <xf numFmtId="0" fontId="101" fillId="0" borderId="19" xfId="878" applyFont="1" applyBorder="1" applyAlignment="1">
      <alignment horizontal="left" vertical="top" wrapText="1"/>
    </xf>
    <xf numFmtId="0" fontId="29" fillId="0" borderId="11" xfId="878" applyFont="1" applyBorder="1" applyAlignment="1">
      <alignment horizontal="left" vertical="top" wrapText="1"/>
    </xf>
    <xf numFmtId="1" fontId="5" fillId="26" borderId="14" xfId="878" applyNumberFormat="1" applyFont="1" applyFill="1" applyBorder="1" applyAlignment="1" applyProtection="1">
      <alignment horizontal="left" vertical="center" wrapText="1"/>
    </xf>
    <xf numFmtId="1" fontId="5" fillId="52" borderId="19" xfId="878" applyNumberFormat="1" applyFont="1" applyFill="1" applyBorder="1" applyAlignment="1" applyProtection="1">
      <alignment horizontal="left" vertical="center" wrapText="1"/>
    </xf>
    <xf numFmtId="1" fontId="5" fillId="52" borderId="11" xfId="878" applyNumberFormat="1" applyFont="1" applyFill="1" applyBorder="1" applyAlignment="1" applyProtection="1">
      <alignment horizontal="left" vertical="center" wrapText="1"/>
    </xf>
    <xf numFmtId="0" fontId="101" fillId="0" borderId="11" xfId="878" applyFont="1" applyBorder="1" applyAlignment="1">
      <alignment horizontal="left" vertical="top" wrapText="1"/>
    </xf>
    <xf numFmtId="0" fontId="5" fillId="47" borderId="14" xfId="878" applyFont="1" applyFill="1" applyBorder="1" applyAlignment="1" applyProtection="1">
      <alignment horizontal="center" vertical="center" wrapText="1"/>
    </xf>
    <xf numFmtId="0" fontId="5" fillId="47" borderId="19" xfId="878" applyFont="1" applyFill="1" applyBorder="1" applyAlignment="1" applyProtection="1">
      <alignment horizontal="center" vertical="center" wrapText="1"/>
    </xf>
    <xf numFmtId="0" fontId="5" fillId="47" borderId="11" xfId="878" applyFont="1" applyFill="1" applyBorder="1" applyAlignment="1" applyProtection="1">
      <alignment horizontal="center" vertical="center" wrapText="1"/>
    </xf>
    <xf numFmtId="0" fontId="7" fillId="0" borderId="11" xfId="878" applyFont="1" applyBorder="1" applyAlignment="1">
      <alignment horizontal="center" vertical="top" wrapText="1"/>
    </xf>
    <xf numFmtId="0" fontId="5" fillId="25" borderId="20" xfId="878" applyFont="1" applyFill="1" applyBorder="1" applyAlignment="1" applyProtection="1">
      <alignment horizontal="left" vertical="top" wrapText="1"/>
      <protection locked="0"/>
    </xf>
    <xf numFmtId="0" fontId="5" fillId="25" borderId="15" xfId="878" applyFont="1" applyFill="1" applyBorder="1" applyAlignment="1" applyProtection="1">
      <alignment horizontal="left" vertical="top" wrapText="1"/>
      <protection locked="0"/>
    </xf>
    <xf numFmtId="0" fontId="5" fillId="25" borderId="24" xfId="878" applyFont="1" applyFill="1" applyBorder="1" applyAlignment="1" applyProtection="1">
      <alignment horizontal="left" vertical="top" wrapText="1"/>
      <protection locked="0"/>
    </xf>
    <xf numFmtId="0" fontId="7" fillId="0" borderId="16" xfId="878" applyFont="1" applyBorder="1" applyAlignment="1">
      <alignment horizontal="left" vertical="center" wrapText="1"/>
    </xf>
    <xf numFmtId="0" fontId="7" fillId="0" borderId="13" xfId="878" applyFont="1" applyBorder="1" applyAlignment="1">
      <alignment horizontal="left" vertical="center" wrapText="1"/>
    </xf>
    <xf numFmtId="0" fontId="7" fillId="0" borderId="20" xfId="878" applyFont="1" applyBorder="1" applyAlignment="1">
      <alignment horizontal="left" vertical="center" wrapText="1"/>
    </xf>
    <xf numFmtId="49" fontId="5" fillId="25" borderId="17" xfId="878" applyNumberFormat="1" applyFont="1" applyFill="1" applyBorder="1" applyAlignment="1" applyProtection="1">
      <alignment horizontal="left" vertical="center" wrapText="1"/>
      <protection locked="0"/>
    </xf>
    <xf numFmtId="49" fontId="5" fillId="25" borderId="18" xfId="878" applyNumberFormat="1" applyFont="1" applyFill="1" applyBorder="1" applyAlignment="1" applyProtection="1">
      <alignment horizontal="left" vertical="center" wrapText="1"/>
      <protection locked="0"/>
    </xf>
    <xf numFmtId="49" fontId="5" fillId="25" borderId="22" xfId="878" applyNumberFormat="1" applyFont="1" applyFill="1" applyBorder="1" applyAlignment="1" applyProtection="1">
      <alignment horizontal="left" vertical="center" wrapText="1"/>
      <protection locked="0"/>
    </xf>
    <xf numFmtId="0" fontId="3" fillId="0" borderId="14" xfId="878" applyFont="1" applyFill="1" applyBorder="1" applyAlignment="1">
      <alignment horizontal="left" vertical="center" wrapText="1"/>
    </xf>
    <xf numFmtId="0" fontId="3" fillId="0" borderId="19" xfId="878" applyFont="1" applyFill="1" applyBorder="1" applyAlignment="1">
      <alignment horizontal="left" vertical="center" wrapText="1"/>
    </xf>
    <xf numFmtId="0" fontId="3" fillId="0" borderId="11" xfId="878" applyFont="1" applyFill="1" applyBorder="1" applyAlignment="1">
      <alignment horizontal="left" vertical="center" wrapText="1"/>
    </xf>
    <xf numFmtId="0" fontId="32" fillId="25" borderId="17" xfId="803" applyFont="1" applyFill="1" applyBorder="1" applyAlignment="1" applyProtection="1">
      <alignment horizontal="left" vertical="center" wrapText="1"/>
      <protection locked="0"/>
    </xf>
    <xf numFmtId="0" fontId="32" fillId="25" borderId="18" xfId="803" applyFont="1" applyFill="1" applyBorder="1" applyAlignment="1" applyProtection="1">
      <alignment horizontal="left" vertical="center" wrapText="1"/>
      <protection locked="0"/>
    </xf>
    <xf numFmtId="49" fontId="5" fillId="25" borderId="14" xfId="878" applyNumberFormat="1" applyFont="1" applyFill="1" applyBorder="1" applyAlignment="1" applyProtection="1">
      <alignment horizontal="left" vertical="center" wrapText="1"/>
      <protection locked="0"/>
    </xf>
    <xf numFmtId="49" fontId="5" fillId="25" borderId="19" xfId="878" applyNumberFormat="1" applyFont="1" applyFill="1" applyBorder="1" applyAlignment="1" applyProtection="1">
      <alignment horizontal="left" vertical="center" wrapText="1"/>
      <protection locked="0"/>
    </xf>
    <xf numFmtId="49" fontId="5" fillId="25" borderId="15" xfId="878" applyNumberFormat="1" applyFont="1" applyFill="1" applyBorder="1" applyAlignment="1" applyProtection="1">
      <alignment horizontal="left" vertical="center" wrapText="1"/>
      <protection locked="0"/>
    </xf>
    <xf numFmtId="49" fontId="5" fillId="25" borderId="24" xfId="878" applyNumberFormat="1" applyFont="1" applyFill="1" applyBorder="1" applyAlignment="1" applyProtection="1">
      <alignment horizontal="left" vertical="center" wrapText="1"/>
      <protection locked="0"/>
    </xf>
    <xf numFmtId="49" fontId="5" fillId="25" borderId="11" xfId="878" applyNumberFormat="1" applyFont="1" applyFill="1" applyBorder="1" applyAlignment="1" applyProtection="1">
      <alignment horizontal="left" vertical="center" wrapText="1"/>
      <protection locked="0"/>
    </xf>
    <xf numFmtId="0" fontId="3" fillId="0" borderId="14" xfId="878" applyFont="1" applyFill="1" applyBorder="1" applyAlignment="1">
      <alignment horizontal="left" vertical="center"/>
    </xf>
    <xf numFmtId="0" fontId="3" fillId="0" borderId="19" xfId="878" applyFont="1" applyFill="1" applyBorder="1" applyAlignment="1">
      <alignment horizontal="left" vertical="center"/>
    </xf>
    <xf numFmtId="0" fontId="3" fillId="0" borderId="11" xfId="878" applyFont="1" applyFill="1" applyBorder="1" applyAlignment="1">
      <alignment horizontal="left" vertical="center"/>
    </xf>
    <xf numFmtId="0" fontId="3" fillId="0" borderId="21" xfId="878" applyFont="1" applyFill="1" applyBorder="1" applyAlignment="1">
      <alignment horizontal="left" vertical="center" wrapText="1"/>
    </xf>
    <xf numFmtId="0" fontId="3" fillId="0" borderId="0" xfId="878" applyFont="1" applyFill="1" applyBorder="1" applyAlignment="1">
      <alignment horizontal="left" vertical="center" wrapText="1"/>
    </xf>
    <xf numFmtId="0" fontId="3" fillId="0" borderId="20" xfId="878" applyFont="1" applyFill="1" applyBorder="1" applyAlignment="1">
      <alignment horizontal="left" vertical="center" wrapText="1"/>
    </xf>
    <xf numFmtId="0" fontId="3" fillId="0" borderId="15" xfId="878" applyFont="1" applyFill="1" applyBorder="1" applyAlignment="1">
      <alignment horizontal="left" vertical="center" wrapText="1"/>
    </xf>
    <xf numFmtId="49" fontId="5" fillId="47" borderId="13" xfId="878" applyNumberFormat="1" applyFont="1" applyFill="1" applyBorder="1" applyAlignment="1" applyProtection="1">
      <alignment horizontal="left" vertical="center" wrapText="1"/>
    </xf>
    <xf numFmtId="49" fontId="5" fillId="47" borderId="20" xfId="878" applyNumberFormat="1" applyFont="1" applyFill="1" applyBorder="1" applyAlignment="1" applyProtection="1">
      <alignment horizontal="left" vertical="center" wrapText="1"/>
    </xf>
    <xf numFmtId="49" fontId="5" fillId="47" borderId="10" xfId="878" applyNumberFormat="1" applyFont="1" applyFill="1" applyBorder="1" applyAlignment="1" applyProtection="1">
      <alignment horizontal="left" vertical="center" wrapText="1"/>
    </xf>
    <xf numFmtId="1" fontId="5" fillId="47" borderId="13" xfId="878" applyNumberFormat="1" applyFont="1" applyFill="1" applyBorder="1" applyAlignment="1" applyProtection="1">
      <alignment horizontal="left" vertical="center" wrapText="1"/>
    </xf>
    <xf numFmtId="1" fontId="5" fillId="47" borderId="10" xfId="878" applyNumberFormat="1" applyFont="1" applyFill="1" applyBorder="1" applyAlignment="1" applyProtection="1">
      <alignment horizontal="left" vertical="center" wrapText="1"/>
    </xf>
    <xf numFmtId="0" fontId="29" fillId="0" borderId="10" xfId="878" applyFont="1" applyBorder="1" applyAlignment="1">
      <alignment horizontal="left" vertical="center" wrapText="1"/>
    </xf>
    <xf numFmtId="0" fontId="29" fillId="0" borderId="11" xfId="878" applyFont="1" applyBorder="1" applyAlignment="1">
      <alignment horizontal="left" vertical="center" wrapText="1"/>
    </xf>
    <xf numFmtId="0" fontId="29" fillId="0" borderId="10" xfId="878" applyFont="1" applyBorder="1" applyAlignment="1">
      <alignment horizontal="center" vertical="center" wrapText="1"/>
    </xf>
    <xf numFmtId="49" fontId="66" fillId="0" borderId="19" xfId="878" applyNumberFormat="1" applyFont="1" applyFill="1" applyBorder="1" applyAlignment="1" applyProtection="1">
      <alignment horizontal="left" vertical="top" wrapText="1"/>
    </xf>
    <xf numFmtId="49" fontId="66" fillId="0" borderId="11" xfId="878" applyNumberFormat="1" applyFont="1" applyFill="1" applyBorder="1" applyAlignment="1" applyProtection="1">
      <alignment horizontal="left" vertical="top" wrapText="1"/>
    </xf>
    <xf numFmtId="0" fontId="29" fillId="0" borderId="14" xfId="878" applyFont="1" applyBorder="1" applyAlignment="1">
      <alignment horizontal="center" vertical="center" wrapText="1"/>
    </xf>
    <xf numFmtId="0" fontId="29" fillId="0" borderId="19" xfId="878" applyFont="1" applyBorder="1" applyAlignment="1">
      <alignment horizontal="center" vertical="center" wrapText="1"/>
    </xf>
    <xf numFmtId="0" fontId="29" fillId="0" borderId="11" xfId="878" applyFont="1" applyBorder="1" applyAlignment="1">
      <alignment horizontal="center" vertical="center" wrapText="1"/>
    </xf>
    <xf numFmtId="0" fontId="7" fillId="0" borderId="17" xfId="878" applyFont="1" applyBorder="1" applyAlignment="1">
      <alignment horizontal="left" vertical="center" wrapText="1"/>
    </xf>
    <xf numFmtId="0" fontId="7" fillId="0" borderId="18" xfId="878" applyFont="1" applyBorder="1" applyAlignment="1">
      <alignment horizontal="left" vertical="center" wrapText="1"/>
    </xf>
    <xf numFmtId="0" fontId="7" fillId="0" borderId="22" xfId="878" applyFont="1" applyBorder="1" applyAlignment="1">
      <alignment horizontal="left" vertical="center" wrapText="1"/>
    </xf>
    <xf numFmtId="0" fontId="3" fillId="0" borderId="17" xfId="878" applyFont="1" applyBorder="1" applyAlignment="1">
      <alignment horizontal="center" vertical="center" textRotation="90" wrapText="1"/>
    </xf>
    <xf numFmtId="0" fontId="3" fillId="0" borderId="22" xfId="878" applyFont="1" applyBorder="1" applyAlignment="1">
      <alignment horizontal="center" vertical="center" textRotation="90" wrapText="1"/>
    </xf>
    <xf numFmtId="0" fontId="3" fillId="0" borderId="21" xfId="878" applyFont="1" applyBorder="1" applyAlignment="1">
      <alignment horizontal="center" vertical="center" textRotation="90" wrapText="1"/>
    </xf>
    <xf numFmtId="0" fontId="3" fillId="0" borderId="23" xfId="878" applyFont="1" applyBorder="1" applyAlignment="1">
      <alignment horizontal="center" vertical="center" textRotation="90" wrapText="1"/>
    </xf>
    <xf numFmtId="0" fontId="3" fillId="0" borderId="0" xfId="878" applyFont="1" applyBorder="1" applyAlignment="1">
      <alignment horizontal="center" vertical="center" textRotation="90" wrapText="1"/>
    </xf>
    <xf numFmtId="0" fontId="3" fillId="0" borderId="20" xfId="878" applyFont="1" applyBorder="1" applyAlignment="1">
      <alignment horizontal="center" vertical="center" textRotation="90" wrapText="1"/>
    </xf>
    <xf numFmtId="0" fontId="3" fillId="0" borderId="24" xfId="878" applyFont="1" applyBorder="1" applyAlignment="1">
      <alignment horizontal="center" vertical="center" textRotation="90" wrapText="1"/>
    </xf>
    <xf numFmtId="0" fontId="3" fillId="0" borderId="22" xfId="878" applyFont="1" applyBorder="1" applyAlignment="1">
      <alignment horizontal="left" vertical="center" wrapText="1"/>
    </xf>
    <xf numFmtId="0" fontId="5" fillId="25" borderId="21" xfId="878" applyFont="1" applyFill="1" applyBorder="1" applyAlignment="1" applyProtection="1">
      <alignment horizontal="left" vertical="center" wrapText="1"/>
      <protection locked="0"/>
    </xf>
    <xf numFmtId="0" fontId="5" fillId="25" borderId="0" xfId="878" applyFont="1" applyFill="1" applyBorder="1" applyAlignment="1" applyProtection="1">
      <alignment horizontal="left" vertical="center" wrapText="1"/>
      <protection locked="0"/>
    </xf>
    <xf numFmtId="49" fontId="5" fillId="25" borderId="14" xfId="803" applyNumberFormat="1" applyFont="1" applyFill="1" applyBorder="1" applyAlignment="1" applyProtection="1">
      <alignment horizontal="left" vertical="center" wrapText="1"/>
      <protection locked="0"/>
    </xf>
    <xf numFmtId="49" fontId="5" fillId="0" borderId="19" xfId="878" applyNumberFormat="1" applyFont="1" applyFill="1" applyBorder="1" applyAlignment="1" applyProtection="1">
      <alignment horizontal="left" vertical="center" wrapText="1"/>
      <protection locked="0"/>
    </xf>
    <xf numFmtId="49" fontId="5" fillId="0" borderId="11" xfId="878" applyNumberFormat="1" applyFont="1" applyFill="1" applyBorder="1" applyAlignment="1" applyProtection="1">
      <alignment horizontal="left" vertical="center" wrapText="1"/>
      <protection locked="0"/>
    </xf>
    <xf numFmtId="1" fontId="5" fillId="47" borderId="14" xfId="878" applyNumberFormat="1" applyFont="1" applyFill="1" applyBorder="1" applyAlignment="1" applyProtection="1">
      <alignment horizontal="left" vertical="center" wrapText="1"/>
    </xf>
    <xf numFmtId="1" fontId="5" fillId="47" borderId="19" xfId="878" applyNumberFormat="1" applyFont="1" applyFill="1" applyBorder="1" applyAlignment="1" applyProtection="1">
      <alignment horizontal="left" vertical="center" wrapText="1"/>
    </xf>
    <xf numFmtId="0" fontId="5" fillId="48" borderId="14" xfId="878" applyFont="1" applyFill="1" applyBorder="1" applyAlignment="1" applyProtection="1">
      <alignment horizontal="center" vertical="center" wrapText="1"/>
      <protection locked="0"/>
    </xf>
    <xf numFmtId="0" fontId="5" fillId="48" borderId="19" xfId="878" applyFont="1" applyFill="1" applyBorder="1" applyAlignment="1" applyProtection="1">
      <alignment horizontal="center" vertical="center" wrapText="1"/>
      <protection locked="0"/>
    </xf>
    <xf numFmtId="0" fontId="5" fillId="48" borderId="11" xfId="878" applyFont="1" applyFill="1" applyBorder="1" applyAlignment="1" applyProtection="1">
      <alignment horizontal="center" vertical="center" wrapText="1"/>
      <protection locked="0"/>
    </xf>
    <xf numFmtId="49" fontId="3" fillId="0" borderId="14" xfId="878" applyNumberFormat="1" applyFont="1" applyFill="1" applyBorder="1" applyAlignment="1" applyProtection="1">
      <alignment horizontal="right" vertical="center"/>
    </xf>
    <xf numFmtId="49" fontId="3" fillId="0" borderId="19" xfId="878" applyNumberFormat="1" applyFont="1" applyFill="1" applyBorder="1" applyAlignment="1" applyProtection="1">
      <alignment horizontal="right" vertical="center"/>
    </xf>
    <xf numFmtId="49" fontId="3" fillId="0" borderId="11" xfId="878" applyNumberFormat="1" applyFont="1" applyFill="1" applyBorder="1" applyAlignment="1" applyProtection="1">
      <alignment horizontal="right" vertical="center"/>
    </xf>
    <xf numFmtId="49" fontId="5" fillId="25" borderId="14" xfId="699" applyNumberFormat="1" applyFont="1" applyFill="1" applyBorder="1" applyAlignment="1" applyProtection="1">
      <alignment horizontal="left" vertical="center" wrapText="1"/>
      <protection locked="0"/>
    </xf>
    <xf numFmtId="49" fontId="5" fillId="25" borderId="19" xfId="699" applyNumberFormat="1" applyFont="1" applyFill="1" applyBorder="1" applyAlignment="1" applyProtection="1">
      <alignment horizontal="left" vertical="center" wrapText="1"/>
      <protection locked="0"/>
    </xf>
    <xf numFmtId="49" fontId="5" fillId="25" borderId="11" xfId="699" applyNumberFormat="1" applyFont="1" applyFill="1" applyBorder="1" applyAlignment="1" applyProtection="1">
      <alignment horizontal="left" vertical="center" wrapText="1"/>
      <protection locked="0"/>
    </xf>
    <xf numFmtId="0" fontId="7" fillId="24" borderId="17" xfId="878" applyFont="1" applyFill="1" applyBorder="1" applyAlignment="1">
      <alignment horizontal="left" vertical="top" wrapText="1"/>
    </xf>
    <xf numFmtId="0" fontId="7" fillId="24" borderId="18" xfId="878" applyFont="1" applyFill="1" applyBorder="1" applyAlignment="1">
      <alignment horizontal="left" vertical="top" wrapText="1"/>
    </xf>
    <xf numFmtId="0" fontId="7" fillId="0" borderId="14" xfId="878" applyFont="1" applyFill="1" applyBorder="1" applyAlignment="1">
      <alignment horizontal="left" vertical="center" wrapText="1"/>
    </xf>
    <xf numFmtId="0" fontId="7" fillId="0" borderId="19" xfId="878" applyFont="1" applyFill="1" applyBorder="1" applyAlignment="1">
      <alignment horizontal="left" vertical="center" wrapText="1"/>
    </xf>
    <xf numFmtId="0" fontId="3" fillId="0" borderId="17" xfId="878" applyFont="1" applyBorder="1" applyAlignment="1">
      <alignment horizontal="center" vertical="center" wrapText="1"/>
    </xf>
    <xf numFmtId="0" fontId="3" fillId="0" borderId="18" xfId="878" applyFont="1" applyBorder="1" applyAlignment="1">
      <alignment horizontal="center" vertical="center" wrapText="1"/>
    </xf>
    <xf numFmtId="0" fontId="3" fillId="0" borderId="21" xfId="878" applyFont="1" applyBorder="1" applyAlignment="1">
      <alignment horizontal="center" vertical="center" wrapText="1"/>
    </xf>
    <xf numFmtId="0" fontId="3" fillId="0" borderId="0" xfId="878" applyFont="1" applyBorder="1" applyAlignment="1">
      <alignment horizontal="center" vertical="center" wrapText="1"/>
    </xf>
    <xf numFmtId="0" fontId="3" fillId="0" borderId="20" xfId="878" applyFont="1" applyBorder="1" applyAlignment="1">
      <alignment horizontal="center" vertical="center" wrapText="1"/>
    </xf>
    <xf numFmtId="0" fontId="3" fillId="0" borderId="15" xfId="878" applyFont="1" applyBorder="1" applyAlignment="1">
      <alignment horizontal="center" vertical="center" wrapText="1"/>
    </xf>
    <xf numFmtId="0" fontId="7" fillId="0" borderId="21" xfId="878" applyFont="1" applyBorder="1" applyAlignment="1">
      <alignment horizontal="left" vertical="center" wrapText="1"/>
    </xf>
    <xf numFmtId="0" fontId="7" fillId="0" borderId="0" xfId="878" applyFont="1" applyBorder="1" applyAlignment="1">
      <alignment horizontal="left" vertical="center" wrapText="1"/>
    </xf>
    <xf numFmtId="0" fontId="3" fillId="24" borderId="10" xfId="878" applyFont="1" applyFill="1" applyBorder="1" applyAlignment="1">
      <alignment horizontal="center" vertical="top" wrapText="1"/>
    </xf>
    <xf numFmtId="0" fontId="32" fillId="24" borderId="10" xfId="0" applyFont="1" applyFill="1" applyBorder="1" applyAlignment="1">
      <alignment horizontal="center" vertical="top" wrapText="1"/>
    </xf>
    <xf numFmtId="0" fontId="29" fillId="24" borderId="21"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20"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21" xfId="0" applyFont="1" applyFill="1" applyBorder="1" applyAlignment="1">
      <alignment horizontal="center" vertical="top" wrapText="1"/>
    </xf>
    <xf numFmtId="0" fontId="29" fillId="24" borderId="0" xfId="0" applyFont="1" applyFill="1" applyBorder="1" applyAlignment="1">
      <alignment horizontal="center" vertical="top" wrapText="1"/>
    </xf>
    <xf numFmtId="0" fontId="29" fillId="24" borderId="23" xfId="0" applyFont="1" applyFill="1" applyBorder="1" applyAlignment="1">
      <alignment horizontal="center" vertical="top" wrapText="1"/>
    </xf>
    <xf numFmtId="0" fontId="29" fillId="24" borderId="20" xfId="0" applyFont="1" applyFill="1" applyBorder="1" applyAlignment="1">
      <alignment horizontal="center" vertical="top" wrapText="1"/>
    </xf>
    <xf numFmtId="0" fontId="29" fillId="24" borderId="15" xfId="0" applyFont="1" applyFill="1" applyBorder="1" applyAlignment="1">
      <alignment horizontal="center" vertical="top" wrapText="1"/>
    </xf>
    <xf numFmtId="0" fontId="29" fillId="24" borderId="24" xfId="0" applyFont="1" applyFill="1" applyBorder="1" applyAlignment="1">
      <alignment horizontal="center" vertical="top" wrapText="1"/>
    </xf>
    <xf numFmtId="1" fontId="5" fillId="48" borderId="14" xfId="878" applyNumberFormat="1" applyFont="1" applyFill="1" applyBorder="1" applyAlignment="1" applyProtection="1">
      <alignment horizontal="left" vertical="center" wrapText="1"/>
      <protection locked="0"/>
    </xf>
    <xf numFmtId="1" fontId="5" fillId="48" borderId="19" xfId="878" applyNumberFormat="1" applyFont="1" applyFill="1" applyBorder="1" applyAlignment="1" applyProtection="1">
      <alignment horizontal="left" vertical="center" wrapText="1"/>
      <protection locked="0"/>
    </xf>
    <xf numFmtId="0" fontId="7" fillId="0" borderId="23" xfId="878" applyFont="1" applyBorder="1" applyAlignment="1">
      <alignment horizontal="left" vertical="center" wrapText="1"/>
    </xf>
    <xf numFmtId="0" fontId="5" fillId="0" borderId="19" xfId="878" applyFont="1" applyFill="1" applyBorder="1" applyAlignment="1" applyProtection="1">
      <alignment horizontal="center" vertical="top" wrapText="1"/>
    </xf>
    <xf numFmtId="49" fontId="5" fillId="25" borderId="19" xfId="803" applyNumberFormat="1" applyFont="1" applyFill="1" applyBorder="1" applyAlignment="1" applyProtection="1">
      <alignment horizontal="left" vertical="center" wrapText="1"/>
      <protection locked="0"/>
    </xf>
    <xf numFmtId="49" fontId="5" fillId="25" borderId="11" xfId="803" applyNumberFormat="1" applyFont="1" applyFill="1" applyBorder="1" applyAlignment="1" applyProtection="1">
      <alignment horizontal="left" vertical="center" wrapText="1"/>
      <protection locked="0"/>
    </xf>
    <xf numFmtId="0" fontId="5" fillId="0" borderId="19" xfId="878" applyFont="1" applyFill="1" applyBorder="1" applyAlignment="1" applyProtection="1">
      <alignment horizontal="left" vertical="top" wrapText="1"/>
    </xf>
    <xf numFmtId="49" fontId="3" fillId="0" borderId="14" xfId="878" applyNumberFormat="1" applyFont="1" applyFill="1" applyBorder="1" applyAlignment="1" applyProtection="1">
      <alignment horizontal="right" vertical="center" wrapText="1"/>
    </xf>
    <xf numFmtId="49" fontId="3" fillId="0" borderId="19" xfId="878" applyNumberFormat="1" applyFont="1" applyFill="1" applyBorder="1" applyAlignment="1" applyProtection="1">
      <alignment horizontal="right" vertical="center" wrapText="1"/>
    </xf>
    <xf numFmtId="49" fontId="3" fillId="0" borderId="11" xfId="878" applyNumberFormat="1" applyFont="1" applyFill="1" applyBorder="1" applyAlignment="1" applyProtection="1">
      <alignment horizontal="right" vertical="center" wrapText="1"/>
    </xf>
    <xf numFmtId="49" fontId="5" fillId="4" borderId="14" xfId="699" applyNumberFormat="1" applyFont="1" applyBorder="1" applyAlignment="1" applyProtection="1">
      <alignment horizontal="left" vertical="center" wrapText="1"/>
      <protection locked="0"/>
    </xf>
    <xf numFmtId="49" fontId="5" fillId="4" borderId="19" xfId="699" applyNumberFormat="1" applyFont="1" applyBorder="1" applyAlignment="1" applyProtection="1">
      <alignment horizontal="left" vertical="center" wrapText="1"/>
      <protection locked="0"/>
    </xf>
    <xf numFmtId="49" fontId="5" fillId="4" borderId="11" xfId="699" applyNumberFormat="1" applyFont="1" applyBorder="1" applyAlignment="1" applyProtection="1">
      <alignment horizontal="left" vertical="center" wrapText="1"/>
      <protection locked="0"/>
    </xf>
    <xf numFmtId="0" fontId="3" fillId="0" borderId="17" xfId="878" applyFont="1" applyBorder="1" applyAlignment="1">
      <alignment horizontal="left" vertical="top" wrapText="1"/>
    </xf>
    <xf numFmtId="0" fontId="3" fillId="0" borderId="18" xfId="878" applyFont="1" applyBorder="1" applyAlignment="1">
      <alignment horizontal="left" vertical="top" wrapText="1"/>
    </xf>
    <xf numFmtId="49" fontId="5" fillId="25" borderId="14" xfId="878" applyNumberFormat="1" applyFont="1" applyFill="1" applyBorder="1" applyAlignment="1" applyProtection="1">
      <alignment horizontal="center" vertical="center" wrapText="1"/>
      <protection locked="0"/>
    </xf>
    <xf numFmtId="49" fontId="5" fillId="25" borderId="19" xfId="878" applyNumberFormat="1" applyFont="1" applyFill="1" applyBorder="1" applyAlignment="1" applyProtection="1">
      <alignment horizontal="center" vertical="center" wrapText="1"/>
      <protection locked="0"/>
    </xf>
    <xf numFmtId="0" fontId="29" fillId="24" borderId="17" xfId="0" applyFont="1" applyFill="1" applyBorder="1" applyAlignment="1">
      <alignment horizontal="center" vertical="top" wrapText="1"/>
    </xf>
    <xf numFmtId="0" fontId="29" fillId="24" borderId="18" xfId="0" applyFont="1" applyFill="1" applyBorder="1" applyAlignment="1">
      <alignment horizontal="center" vertical="top" wrapText="1"/>
    </xf>
    <xf numFmtId="0" fontId="29" fillId="24" borderId="22" xfId="0" applyFont="1" applyFill="1" applyBorder="1" applyAlignment="1">
      <alignment horizontal="center" vertical="top" wrapText="1"/>
    </xf>
    <xf numFmtId="0" fontId="3" fillId="24" borderId="21" xfId="878" applyFont="1" applyFill="1" applyBorder="1" applyAlignment="1">
      <alignment horizontal="center" vertical="center" wrapText="1"/>
    </xf>
    <xf numFmtId="0" fontId="3" fillId="24" borderId="0" xfId="878" applyFont="1" applyFill="1" applyBorder="1" applyAlignment="1">
      <alignment horizontal="center" vertical="center" wrapText="1"/>
    </xf>
    <xf numFmtId="0" fontId="3" fillId="24" borderId="23" xfId="878" applyFont="1" applyFill="1" applyBorder="1" applyAlignment="1">
      <alignment horizontal="center" vertical="center" wrapText="1"/>
    </xf>
    <xf numFmtId="49" fontId="5" fillId="4" borderId="14" xfId="698" applyNumberFormat="1" applyFont="1" applyBorder="1" applyAlignment="1" applyProtection="1">
      <alignment horizontal="left" vertical="center" wrapText="1"/>
      <protection locked="0"/>
    </xf>
    <xf numFmtId="49" fontId="5" fillId="4" borderId="19" xfId="698" applyNumberFormat="1" applyFont="1" applyBorder="1" applyAlignment="1" applyProtection="1">
      <alignment horizontal="left" vertical="center" wrapText="1"/>
      <protection locked="0"/>
    </xf>
    <xf numFmtId="49" fontId="5" fillId="4" borderId="11" xfId="698" applyNumberFormat="1" applyFont="1" applyBorder="1" applyAlignment="1" applyProtection="1">
      <alignment horizontal="left" vertical="center" wrapText="1"/>
      <protection locked="0"/>
    </xf>
    <xf numFmtId="0" fontId="3" fillId="0" borderId="13" xfId="878" applyFont="1" applyFill="1" applyBorder="1" applyAlignment="1">
      <alignment horizontal="left" vertical="center" wrapText="1"/>
    </xf>
    <xf numFmtId="0" fontId="3" fillId="0" borderId="10" xfId="878" applyFont="1" applyFill="1" applyBorder="1" applyAlignment="1">
      <alignment horizontal="left" vertical="center" wrapText="1"/>
    </xf>
    <xf numFmtId="0" fontId="29" fillId="24" borderId="14"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11" xfId="0" applyFont="1" applyFill="1" applyBorder="1" applyAlignment="1">
      <alignment horizontal="center" vertical="center"/>
    </xf>
    <xf numFmtId="0" fontId="58" fillId="24" borderId="14" xfId="0" applyFont="1" applyFill="1" applyBorder="1" applyAlignment="1">
      <alignment horizontal="left" vertical="center"/>
    </xf>
    <xf numFmtId="0" fontId="58" fillId="24" borderId="19" xfId="0" applyFont="1" applyFill="1" applyBorder="1" applyAlignment="1">
      <alignment horizontal="left" vertical="center"/>
    </xf>
    <xf numFmtId="0" fontId="58" fillId="24" borderId="11" xfId="0" applyFont="1" applyFill="1" applyBorder="1" applyAlignment="1">
      <alignment horizontal="left" vertical="center"/>
    </xf>
    <xf numFmtId="0" fontId="3" fillId="0" borderId="14" xfId="895" applyFont="1" applyFill="1" applyBorder="1" applyAlignment="1" applyProtection="1">
      <alignment horizontal="center" vertical="center" wrapText="1"/>
    </xf>
    <xf numFmtId="0" fontId="3" fillId="0" borderId="11" xfId="895" applyFont="1" applyFill="1" applyBorder="1" applyAlignment="1" applyProtection="1">
      <alignment horizontal="center" vertical="center" wrapText="1"/>
    </xf>
    <xf numFmtId="0" fontId="29" fillId="0" borderId="20" xfId="878" applyFont="1" applyBorder="1" applyAlignment="1">
      <alignment horizontal="left" vertical="center" wrapText="1"/>
    </xf>
    <xf numFmtId="0" fontId="29" fillId="0" borderId="15" xfId="878" applyFont="1" applyBorder="1" applyAlignment="1">
      <alignment horizontal="left" vertical="center" wrapText="1"/>
    </xf>
    <xf numFmtId="0" fontId="29" fillId="0" borderId="24" xfId="878" applyFont="1" applyBorder="1" applyAlignment="1">
      <alignment horizontal="left" vertical="center" wrapText="1"/>
    </xf>
    <xf numFmtId="0" fontId="5" fillId="48" borderId="14" xfId="878" applyFont="1" applyFill="1" applyBorder="1" applyAlignment="1" applyProtection="1">
      <alignment horizontal="left" vertical="center" wrapText="1"/>
      <protection locked="0"/>
    </xf>
    <xf numFmtId="0" fontId="5" fillId="48" borderId="19" xfId="878" applyFont="1" applyFill="1" applyBorder="1" applyAlignment="1" applyProtection="1">
      <alignment horizontal="left" vertical="center" wrapText="1"/>
      <protection locked="0"/>
    </xf>
    <xf numFmtId="0" fontId="5" fillId="48" borderId="11" xfId="878" applyFont="1" applyFill="1" applyBorder="1" applyAlignment="1" applyProtection="1">
      <alignment horizontal="left" vertical="center" wrapText="1"/>
      <protection locked="0"/>
    </xf>
    <xf numFmtId="0" fontId="5" fillId="25" borderId="14" xfId="895" applyFont="1" applyFill="1" applyBorder="1" applyAlignment="1" applyProtection="1">
      <alignment horizontal="left" vertical="center"/>
      <protection locked="0"/>
    </xf>
    <xf numFmtId="0" fontId="5" fillId="25" borderId="11" xfId="895" applyFont="1" applyFill="1" applyBorder="1" applyAlignment="1" applyProtection="1">
      <alignment horizontal="left" vertical="center"/>
      <protection locked="0"/>
    </xf>
    <xf numFmtId="0" fontId="7" fillId="0" borderId="20" xfId="878" applyFont="1" applyFill="1" applyBorder="1" applyAlignment="1">
      <alignment horizontal="left" vertical="center"/>
    </xf>
    <xf numFmtId="0" fontId="7" fillId="0" borderId="19" xfId="878" applyFont="1" applyFill="1" applyBorder="1" applyAlignment="1">
      <alignment horizontal="left" vertical="center"/>
    </xf>
    <xf numFmtId="0" fontId="7" fillId="0" borderId="11" xfId="878" applyFont="1" applyFill="1" applyBorder="1" applyAlignment="1">
      <alignment horizontal="left" vertical="center"/>
    </xf>
    <xf numFmtId="0" fontId="7" fillId="0" borderId="14" xfId="878" applyFont="1" applyFill="1" applyBorder="1" applyAlignment="1">
      <alignment horizontal="left" vertical="center"/>
    </xf>
    <xf numFmtId="0" fontId="58"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58" fillId="24" borderId="14" xfId="0" applyFont="1" applyFill="1" applyBorder="1" applyAlignment="1">
      <alignment horizontal="center" vertical="center"/>
    </xf>
    <xf numFmtId="49" fontId="5" fillId="26" borderId="14" xfId="895" applyNumberFormat="1" applyFont="1" applyFill="1" applyBorder="1" applyAlignment="1" applyProtection="1">
      <alignment horizontal="left" vertical="center" wrapText="1"/>
    </xf>
    <xf numFmtId="49" fontId="32" fillId="25" borderId="14" xfId="0" applyNumberFormat="1" applyFont="1" applyFill="1" applyBorder="1" applyAlignment="1" applyProtection="1">
      <alignment horizontal="left" vertical="center" wrapText="1"/>
      <protection locked="0"/>
    </xf>
    <xf numFmtId="49" fontId="32" fillId="25" borderId="19" xfId="0" applyNumberFormat="1" applyFont="1" applyFill="1" applyBorder="1" applyAlignment="1" applyProtection="1">
      <alignment horizontal="left" vertical="center" wrapText="1"/>
      <protection locked="0"/>
    </xf>
    <xf numFmtId="0" fontId="7" fillId="0" borderId="14" xfId="878" applyFont="1" applyBorder="1" applyAlignment="1">
      <alignment horizontal="left" vertical="top" wrapText="1"/>
    </xf>
    <xf numFmtId="0" fontId="7" fillId="0" borderId="19" xfId="878" applyFont="1" applyBorder="1" applyAlignment="1">
      <alignment horizontal="left" vertical="top" wrapText="1"/>
    </xf>
    <xf numFmtId="0" fontId="7" fillId="0" borderId="11" xfId="878" applyFont="1" applyBorder="1" applyAlignment="1">
      <alignment horizontal="left" vertical="top" wrapText="1"/>
    </xf>
    <xf numFmtId="0" fontId="5" fillId="25" borderId="14" xfId="878" applyFont="1" applyFill="1" applyBorder="1" applyAlignment="1" applyProtection="1">
      <alignment vertical="center" wrapText="1"/>
      <protection locked="0"/>
    </xf>
    <xf numFmtId="0" fontId="5" fillId="25" borderId="19" xfId="878" applyFont="1" applyFill="1" applyBorder="1" applyAlignment="1" applyProtection="1">
      <alignment vertical="center" wrapText="1"/>
      <protection locked="0"/>
    </xf>
    <xf numFmtId="0" fontId="5" fillId="25" borderId="11" xfId="878" applyFont="1" applyFill="1" applyBorder="1" applyAlignment="1" applyProtection="1">
      <alignment vertical="center" wrapText="1"/>
      <protection locked="0"/>
    </xf>
    <xf numFmtId="0" fontId="5" fillId="48" borderId="10" xfId="878" applyFont="1" applyFill="1" applyBorder="1" applyAlignment="1" applyProtection="1">
      <alignment horizontal="left" vertical="center" wrapText="1"/>
      <protection locked="0"/>
    </xf>
    <xf numFmtId="168" fontId="5" fillId="48" borderId="10" xfId="878" applyNumberFormat="1" applyFont="1" applyFill="1" applyBorder="1" applyAlignment="1" applyProtection="1">
      <alignment horizontal="left" vertical="center" wrapText="1"/>
      <protection locked="0"/>
    </xf>
    <xf numFmtId="49" fontId="5" fillId="48" borderId="10" xfId="878" applyNumberFormat="1" applyFont="1" applyFill="1" applyBorder="1" applyAlignment="1" applyProtection="1">
      <alignment horizontal="left" vertical="center" wrapText="1"/>
      <protection locked="0"/>
    </xf>
    <xf numFmtId="0" fontId="5" fillId="25" borderId="14" xfId="878" applyFont="1" applyFill="1" applyBorder="1" applyAlignment="1" applyProtection="1">
      <alignment horizontal="center" vertical="center" wrapText="1"/>
      <protection locked="0"/>
    </xf>
    <xf numFmtId="0" fontId="5" fillId="25" borderId="19" xfId="878" applyFont="1" applyFill="1" applyBorder="1" applyAlignment="1" applyProtection="1">
      <alignment horizontal="center" vertical="center" wrapText="1"/>
      <protection locked="0"/>
    </xf>
    <xf numFmtId="0" fontId="5" fillId="25" borderId="11" xfId="878" applyFont="1" applyFill="1" applyBorder="1" applyAlignment="1" applyProtection="1">
      <alignment horizontal="center" vertical="center" wrapText="1"/>
      <protection locked="0"/>
    </xf>
    <xf numFmtId="0" fontId="29" fillId="28" borderId="17" xfId="878" applyFont="1" applyFill="1" applyBorder="1" applyAlignment="1">
      <alignment horizontal="left" vertical="top" wrapText="1"/>
    </xf>
    <xf numFmtId="0" fontId="29" fillId="28" borderId="18" xfId="878" applyFont="1" applyFill="1" applyBorder="1" applyAlignment="1">
      <alignment horizontal="left" vertical="top" wrapText="1"/>
    </xf>
    <xf numFmtId="1" fontId="5" fillId="25" borderId="14" xfId="878" applyNumberFormat="1" applyFont="1" applyFill="1" applyBorder="1" applyAlignment="1" applyProtection="1">
      <alignment horizontal="left" vertical="center" wrapText="1"/>
      <protection locked="0"/>
    </xf>
    <xf numFmtId="1" fontId="5" fillId="25" borderId="19" xfId="878" applyNumberFormat="1" applyFont="1" applyFill="1" applyBorder="1" applyAlignment="1" applyProtection="1">
      <alignment horizontal="left" vertical="center" wrapText="1"/>
      <protection locked="0"/>
    </xf>
    <xf numFmtId="49" fontId="5" fillId="26" borderId="14" xfId="878" applyNumberFormat="1" applyFont="1" applyFill="1" applyBorder="1" applyAlignment="1" applyProtection="1">
      <alignment horizontal="left" vertical="center" wrapText="1"/>
    </xf>
    <xf numFmtId="49" fontId="5" fillId="52" borderId="19" xfId="878" applyNumberFormat="1" applyFont="1" applyFill="1" applyBorder="1" applyAlignment="1" applyProtection="1">
      <alignment horizontal="left" vertical="center" wrapText="1"/>
    </xf>
    <xf numFmtId="49" fontId="5" fillId="52" borderId="11" xfId="878" applyNumberFormat="1" applyFont="1" applyFill="1" applyBorder="1" applyAlignment="1" applyProtection="1">
      <alignment horizontal="left" vertical="center" wrapText="1"/>
    </xf>
    <xf numFmtId="0" fontId="3" fillId="24" borderId="14" xfId="0" applyFont="1" applyFill="1" applyBorder="1" applyAlignment="1">
      <alignment horizontal="left" vertical="center" wrapText="1"/>
    </xf>
    <xf numFmtId="0" fontId="3" fillId="24" borderId="19" xfId="0" applyFont="1" applyFill="1" applyBorder="1" applyAlignment="1">
      <alignment horizontal="left" vertical="center" wrapText="1"/>
    </xf>
    <xf numFmtId="0" fontId="3" fillId="0" borderId="10" xfId="0" applyFont="1" applyBorder="1" applyAlignment="1">
      <alignment horizontal="center" vertical="top"/>
    </xf>
    <xf numFmtId="0" fontId="3" fillId="24" borderId="10" xfId="0" applyFont="1" applyFill="1" applyBorder="1" applyAlignment="1">
      <alignment horizontal="center" vertical="center" textRotation="90" wrapText="1"/>
    </xf>
    <xf numFmtId="0" fontId="3" fillId="0" borderId="14" xfId="0" applyFont="1" applyBorder="1" applyAlignment="1">
      <alignment horizontal="center" vertical="top"/>
    </xf>
    <xf numFmtId="0" fontId="3" fillId="0" borderId="19" xfId="0" applyFont="1" applyBorder="1" applyAlignment="1">
      <alignment horizontal="center" vertical="top"/>
    </xf>
    <xf numFmtId="0" fontId="3" fillId="0" borderId="11" xfId="0" applyFont="1" applyBorder="1" applyAlignment="1">
      <alignment horizontal="center" vertical="top"/>
    </xf>
    <xf numFmtId="0" fontId="3" fillId="24" borderId="16" xfId="0" applyFont="1" applyFill="1" applyBorder="1" applyAlignment="1">
      <alignment horizontal="center" vertical="center" wrapText="1"/>
    </xf>
    <xf numFmtId="0" fontId="3" fillId="24" borderId="12" xfId="0" applyFont="1" applyFill="1" applyBorder="1" applyAlignment="1">
      <alignment horizontal="center" vertical="center" wrapText="1"/>
    </xf>
    <xf numFmtId="0" fontId="3" fillId="24" borderId="13"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center" vertical="top" wrapText="1"/>
    </xf>
    <xf numFmtId="0" fontId="27" fillId="0" borderId="10" xfId="0" applyFont="1" applyBorder="1" applyAlignment="1">
      <alignment horizontal="left" vertical="center" wrapText="1"/>
    </xf>
    <xf numFmtId="0" fontId="3" fillId="0" borderId="11" xfId="0" applyFont="1" applyBorder="1" applyAlignment="1">
      <alignment horizontal="center" vertical="top" wrapText="1"/>
    </xf>
    <xf numFmtId="0" fontId="3" fillId="0" borderId="16" xfId="0" applyFont="1" applyBorder="1" applyAlignment="1">
      <alignment horizontal="left" vertical="center" wrapText="1"/>
    </xf>
    <xf numFmtId="0" fontId="27" fillId="0" borderId="14" xfId="0" applyFont="1" applyBorder="1" applyAlignment="1">
      <alignment horizontal="left" vertical="center" wrapText="1"/>
    </xf>
    <xf numFmtId="0" fontId="27"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top" wrapText="1"/>
    </xf>
    <xf numFmtId="0" fontId="27" fillId="0" borderId="11" xfId="0" applyFont="1" applyBorder="1" applyAlignment="1">
      <alignment horizontal="left" vertical="center" wrapText="1"/>
    </xf>
    <xf numFmtId="0" fontId="27" fillId="0" borderId="14" xfId="0" applyFont="1" applyBorder="1" applyAlignment="1">
      <alignment horizontal="left" vertical="top" wrapText="1"/>
    </xf>
    <xf numFmtId="0" fontId="27" fillId="0" borderId="19" xfId="0" applyFont="1" applyBorder="1" applyAlignment="1">
      <alignment horizontal="left" vertical="top" wrapText="1"/>
    </xf>
    <xf numFmtId="0" fontId="27" fillId="0" borderId="11" xfId="0" applyFont="1" applyBorder="1" applyAlignment="1">
      <alignment horizontal="left" vertical="top" wrapText="1"/>
    </xf>
    <xf numFmtId="0" fontId="3" fillId="0" borderId="16" xfId="0" applyFont="1" applyBorder="1" applyAlignment="1">
      <alignment horizontal="center" vertical="center" textRotation="90" wrapText="1"/>
    </xf>
    <xf numFmtId="0" fontId="3" fillId="0" borderId="12" xfId="0" applyFont="1" applyBorder="1" applyAlignment="1">
      <alignment horizontal="center" vertical="center" textRotation="90"/>
    </xf>
    <xf numFmtId="0" fontId="3" fillId="0" borderId="13" xfId="0" applyFont="1" applyBorder="1" applyAlignment="1">
      <alignment horizontal="center" vertical="center" textRotation="90"/>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24" borderId="16"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27"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4" borderId="12" xfId="0" applyFont="1" applyFill="1" applyBorder="1" applyAlignment="1">
      <alignment horizontal="center" vertical="top" wrapText="1"/>
    </xf>
    <xf numFmtId="0" fontId="57" fillId="0" borderId="12" xfId="0" applyFont="1" applyBorder="1" applyAlignment="1"/>
    <xf numFmtId="0" fontId="57" fillId="0" borderId="13" xfId="0" applyFont="1" applyBorder="1" applyAlignment="1"/>
    <xf numFmtId="0" fontId="26" fillId="27" borderId="14" xfId="0" applyFont="1" applyFill="1" applyBorder="1" applyAlignment="1">
      <alignment horizontal="center" vertical="center"/>
    </xf>
    <xf numFmtId="0" fontId="26" fillId="27" borderId="19" xfId="0" applyFont="1" applyFill="1" applyBorder="1" applyAlignment="1">
      <alignment horizontal="center" vertical="center"/>
    </xf>
    <xf numFmtId="0" fontId="26" fillId="27" borderId="11" xfId="0" applyFont="1" applyFill="1" applyBorder="1" applyAlignment="1">
      <alignment horizontal="center" vertical="center"/>
    </xf>
    <xf numFmtId="0" fontId="3" fillId="26" borderId="17" xfId="0" applyFont="1" applyFill="1" applyBorder="1" applyAlignment="1">
      <alignment horizontal="center" vertical="top" wrapText="1"/>
    </xf>
    <xf numFmtId="0" fontId="3" fillId="26" borderId="22" xfId="0" applyFont="1" applyFill="1" applyBorder="1" applyAlignment="1">
      <alignment horizontal="center" vertical="top" wrapText="1"/>
    </xf>
    <xf numFmtId="0" fontId="3" fillId="26" borderId="21" xfId="0" applyFont="1" applyFill="1" applyBorder="1" applyAlignment="1">
      <alignment horizontal="center" vertical="top" wrapText="1"/>
    </xf>
    <xf numFmtId="0" fontId="3" fillId="26" borderId="23" xfId="0" applyFont="1" applyFill="1" applyBorder="1" applyAlignment="1">
      <alignment horizontal="center" vertical="top" wrapText="1"/>
    </xf>
    <xf numFmtId="0" fontId="3" fillId="26" borderId="20" xfId="0" applyFont="1" applyFill="1" applyBorder="1" applyAlignment="1">
      <alignment horizontal="center" vertical="top" wrapText="1"/>
    </xf>
    <xf numFmtId="0" fontId="3" fillId="26" borderId="24" xfId="0" applyFont="1" applyFill="1" applyBorder="1" applyAlignment="1">
      <alignment horizontal="center" vertical="top" wrapText="1"/>
    </xf>
    <xf numFmtId="0" fontId="3" fillId="0" borderId="16"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0" xfId="0" applyFont="1" applyBorder="1" applyAlignment="1">
      <alignment horizontal="left" vertical="top" wrapText="1"/>
    </xf>
    <xf numFmtId="0" fontId="3" fillId="0" borderId="16" xfId="0" applyFont="1" applyBorder="1" applyAlignment="1">
      <alignment horizontal="center" vertical="center" textRotation="90"/>
    </xf>
    <xf numFmtId="0" fontId="58" fillId="0" borderId="14" xfId="0" applyFont="1" applyBorder="1" applyAlignment="1">
      <alignment horizontal="left" vertical="center"/>
    </xf>
    <xf numFmtId="0" fontId="58" fillId="0" borderId="19" xfId="0" applyFont="1" applyBorder="1" applyAlignment="1">
      <alignment horizontal="left" vertical="center"/>
    </xf>
    <xf numFmtId="0" fontId="58" fillId="0" borderId="11" xfId="0" applyFont="1" applyBorder="1" applyAlignment="1">
      <alignment horizontal="left" vertical="center"/>
    </xf>
    <xf numFmtId="1" fontId="57" fillId="25" borderId="10" xfId="0" applyNumberFormat="1" applyFont="1" applyFill="1" applyBorder="1" applyAlignment="1" applyProtection="1">
      <alignment horizontal="right" vertical="center"/>
      <protection locked="0"/>
    </xf>
    <xf numFmtId="0" fontId="29" fillId="0" borderId="14" xfId="0" applyFont="1" applyBorder="1" applyAlignment="1">
      <alignment horizontal="left" vertical="center" wrapText="1"/>
    </xf>
    <xf numFmtId="0" fontId="58" fillId="0" borderId="19" xfId="0" applyFont="1" applyBorder="1" applyAlignment="1">
      <alignment horizontal="left" vertical="center" wrapText="1"/>
    </xf>
    <xf numFmtId="0" fontId="58" fillId="0" borderId="11" xfId="0" applyFont="1" applyBorder="1" applyAlignment="1">
      <alignment horizontal="left" vertical="center" wrapText="1"/>
    </xf>
    <xf numFmtId="0" fontId="26" fillId="27" borderId="14" xfId="0" applyFont="1" applyFill="1" applyBorder="1" applyAlignment="1" applyProtection="1">
      <alignment horizontal="center" vertical="center"/>
    </xf>
    <xf numFmtId="0" fontId="59" fillId="27" borderId="19" xfId="0" applyFont="1" applyFill="1" applyBorder="1" applyAlignment="1" applyProtection="1">
      <alignment horizontal="center" vertical="center"/>
    </xf>
    <xf numFmtId="0" fontId="59" fillId="27" borderId="11" xfId="0" applyFont="1" applyFill="1" applyBorder="1" applyAlignment="1" applyProtection="1">
      <alignment horizontal="center" vertical="center"/>
    </xf>
    <xf numFmtId="0" fontId="58" fillId="0" borderId="10" xfId="0" applyFont="1" applyBorder="1" applyAlignment="1">
      <alignment horizontal="left"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3" fillId="24" borderId="16" xfId="0" applyFont="1" applyFill="1" applyBorder="1" applyAlignment="1" applyProtection="1">
      <alignment horizontal="center" vertical="center"/>
    </xf>
    <xf numFmtId="0" fontId="3" fillId="24" borderId="12" xfId="0" applyFont="1" applyFill="1" applyBorder="1" applyAlignment="1" applyProtection="1">
      <alignment horizontal="center" vertical="center"/>
    </xf>
    <xf numFmtId="0" fontId="3" fillId="24" borderId="13" xfId="0" applyFont="1" applyFill="1" applyBorder="1" applyAlignment="1" applyProtection="1">
      <alignment horizontal="center" vertical="center"/>
    </xf>
    <xf numFmtId="1" fontId="28" fillId="24" borderId="14" xfId="0" applyNumberFormat="1" applyFont="1" applyFill="1" applyBorder="1" applyAlignment="1" applyProtection="1">
      <alignment horizontal="right" vertical="center"/>
      <protection hidden="1"/>
    </xf>
    <xf numFmtId="1" fontId="28" fillId="24" borderId="19" xfId="0" applyNumberFormat="1" applyFont="1" applyFill="1" applyBorder="1" applyAlignment="1" applyProtection="1">
      <alignment horizontal="right" vertical="center"/>
      <protection hidden="1"/>
    </xf>
    <xf numFmtId="1" fontId="28" fillId="24" borderId="11" xfId="0" applyNumberFormat="1" applyFont="1" applyFill="1" applyBorder="1" applyAlignment="1" applyProtection="1">
      <alignment horizontal="right" vertical="center"/>
      <protection hidden="1"/>
    </xf>
    <xf numFmtId="0" fontId="29" fillId="0" borderId="14" xfId="0" applyFont="1" applyBorder="1" applyAlignment="1">
      <alignment horizontal="left" vertical="center"/>
    </xf>
    <xf numFmtId="0" fontId="3" fillId="24" borderId="14" xfId="0" applyFont="1" applyFill="1" applyBorder="1" applyAlignment="1" applyProtection="1">
      <alignment horizontal="left" vertical="center"/>
    </xf>
    <xf numFmtId="0" fontId="3" fillId="24" borderId="19" xfId="0" applyFont="1" applyFill="1" applyBorder="1" applyAlignment="1" applyProtection="1">
      <alignment horizontal="left" vertical="center"/>
    </xf>
    <xf numFmtId="0" fontId="3" fillId="24" borderId="11" xfId="0" applyFont="1" applyFill="1" applyBorder="1" applyAlignment="1" applyProtection="1">
      <alignment horizontal="left" vertical="center"/>
    </xf>
    <xf numFmtId="0" fontId="58" fillId="0" borderId="10" xfId="0" applyFont="1" applyBorder="1" applyAlignment="1">
      <alignment horizontal="center" vertical="center"/>
    </xf>
    <xf numFmtId="0" fontId="29" fillId="0" borderId="10" xfId="0" applyFont="1" applyBorder="1" applyAlignment="1">
      <alignment horizontal="left" vertical="center"/>
    </xf>
    <xf numFmtId="0" fontId="58" fillId="0" borderId="17" xfId="0" applyFont="1" applyBorder="1" applyAlignment="1">
      <alignment horizontal="left" vertical="center"/>
    </xf>
    <xf numFmtId="0" fontId="58" fillId="0" borderId="18" xfId="0" applyFont="1" applyBorder="1" applyAlignment="1">
      <alignment horizontal="left" vertical="center"/>
    </xf>
    <xf numFmtId="0" fontId="58" fillId="0" borderId="22" xfId="0" applyFont="1" applyBorder="1" applyAlignment="1">
      <alignment horizontal="left" vertical="center"/>
    </xf>
    <xf numFmtId="1" fontId="57" fillId="25" borderId="14" xfId="0" applyNumberFormat="1" applyFont="1" applyFill="1" applyBorder="1" applyAlignment="1" applyProtection="1">
      <alignment horizontal="right" vertical="center"/>
      <protection locked="0"/>
    </xf>
    <xf numFmtId="1" fontId="57" fillId="25" borderId="19" xfId="0" applyNumberFormat="1" applyFont="1" applyFill="1" applyBorder="1" applyAlignment="1" applyProtection="1">
      <alignment horizontal="right" vertical="center"/>
      <protection locked="0"/>
    </xf>
    <xf numFmtId="0" fontId="57" fillId="0" borderId="10" xfId="0" applyFont="1" applyBorder="1"/>
    <xf numFmtId="0" fontId="57" fillId="0" borderId="16" xfId="0" applyFont="1" applyBorder="1"/>
    <xf numFmtId="1" fontId="57" fillId="25" borderId="11" xfId="0" applyNumberFormat="1" applyFont="1" applyFill="1" applyBorder="1" applyAlignment="1" applyProtection="1">
      <alignment horizontal="right" vertical="center"/>
      <protection locked="0"/>
    </xf>
    <xf numFmtId="1" fontId="57" fillId="25" borderId="14" xfId="0" applyNumberFormat="1" applyFont="1" applyFill="1" applyBorder="1" applyAlignment="1" applyProtection="1">
      <alignment horizontal="center" vertical="center"/>
      <protection locked="0"/>
    </xf>
    <xf numFmtId="1" fontId="57" fillId="25" borderId="19" xfId="0" applyNumberFormat="1" applyFont="1" applyFill="1" applyBorder="1" applyAlignment="1" applyProtection="1">
      <alignment horizontal="center" vertical="center"/>
      <protection locked="0"/>
    </xf>
    <xf numFmtId="1" fontId="57" fillId="25" borderId="11" xfId="0" applyNumberFormat="1" applyFont="1" applyFill="1" applyBorder="1" applyAlignment="1" applyProtection="1">
      <alignment horizontal="center" vertical="center"/>
      <protection locked="0"/>
    </xf>
    <xf numFmtId="0" fontId="3" fillId="26" borderId="17" xfId="0" applyFont="1" applyFill="1" applyBorder="1" applyAlignment="1">
      <alignment horizontal="center"/>
    </xf>
    <xf numFmtId="0" fontId="3" fillId="26" borderId="18" xfId="0" applyFont="1" applyFill="1" applyBorder="1" applyAlignment="1">
      <alignment horizontal="center"/>
    </xf>
    <xf numFmtId="0" fontId="58" fillId="0" borderId="16" xfId="0" applyFont="1" applyBorder="1" applyAlignment="1">
      <alignment horizontal="left" vertical="center"/>
    </xf>
    <xf numFmtId="0" fontId="58" fillId="0" borderId="10" xfId="0" applyFont="1" applyBorder="1" applyAlignment="1">
      <alignment horizontal="center" vertical="top"/>
    </xf>
    <xf numFmtId="0" fontId="59" fillId="27" borderId="14" xfId="0" applyFont="1" applyFill="1" applyBorder="1" applyAlignment="1">
      <alignment horizontal="center" vertical="center"/>
    </xf>
    <xf numFmtId="0" fontId="59" fillId="27" borderId="19" xfId="0" applyFont="1" applyFill="1" applyBorder="1" applyAlignment="1">
      <alignment horizontal="center" vertical="center"/>
    </xf>
    <xf numFmtId="0" fontId="59" fillId="27" borderId="11" xfId="0" applyFont="1" applyFill="1" applyBorder="1" applyAlignment="1">
      <alignment horizontal="center" vertical="center"/>
    </xf>
    <xf numFmtId="0" fontId="58" fillId="0" borderId="18" xfId="0" applyFont="1" applyBorder="1" applyAlignment="1">
      <alignment horizontal="left" vertical="center" wrapText="1"/>
    </xf>
    <xf numFmtId="0" fontId="58" fillId="0" borderId="22" xfId="0" applyFont="1" applyBorder="1" applyAlignment="1">
      <alignment horizontal="left" vertical="center" wrapText="1"/>
    </xf>
    <xf numFmtId="0" fontId="57" fillId="0" borderId="14" xfId="0" applyFont="1" applyBorder="1"/>
    <xf numFmtId="0" fontId="57" fillId="0" borderId="17" xfId="0" applyFont="1" applyBorder="1"/>
    <xf numFmtId="0" fontId="29" fillId="0" borderId="19" xfId="0" applyFont="1" applyBorder="1" applyAlignment="1">
      <alignment horizontal="left" vertical="center"/>
    </xf>
    <xf numFmtId="0" fontId="29" fillId="0" borderId="11" xfId="0" applyFont="1" applyBorder="1" applyAlignment="1">
      <alignment horizontal="left" vertical="center"/>
    </xf>
    <xf numFmtId="49" fontId="5" fillId="25" borderId="14" xfId="0" applyNumberFormat="1" applyFont="1" applyFill="1" applyBorder="1" applyAlignment="1" applyProtection="1">
      <alignment horizontal="left" vertical="center" wrapText="1"/>
      <protection locked="0"/>
    </xf>
    <xf numFmtId="49" fontId="5" fillId="25" borderId="11" xfId="0" applyNumberFormat="1" applyFont="1" applyFill="1" applyBorder="1" applyAlignment="1" applyProtection="1">
      <alignment horizontal="left" vertical="center" wrapText="1"/>
      <protection locked="0"/>
    </xf>
    <xf numFmtId="0" fontId="3" fillId="0" borderId="10" xfId="0" applyFont="1" applyBorder="1" applyAlignment="1">
      <alignment horizontal="left"/>
    </xf>
    <xf numFmtId="0" fontId="57" fillId="0" borderId="10" xfId="0" applyFont="1" applyBorder="1" applyAlignment="1">
      <alignment horizontal="left"/>
    </xf>
    <xf numFmtId="0" fontId="3" fillId="0" borderId="10" xfId="0" applyFont="1" applyBorder="1" applyAlignment="1">
      <alignment horizontal="left" vertical="center"/>
    </xf>
    <xf numFmtId="0" fontId="57" fillId="0" borderId="10" xfId="0" applyFont="1" applyBorder="1" applyAlignment="1">
      <alignment horizontal="left" vertical="center"/>
    </xf>
    <xf numFmtId="0" fontId="3" fillId="0" borderId="10" xfId="0" applyFont="1" applyBorder="1" applyAlignment="1">
      <alignment horizontal="center" vertical="center" wrapText="1"/>
    </xf>
    <xf numFmtId="49" fontId="5" fillId="25" borderId="14" xfId="0" quotePrefix="1" applyNumberFormat="1" applyFont="1" applyFill="1" applyBorder="1" applyAlignment="1" applyProtection="1">
      <alignment horizontal="left" vertical="center" wrapText="1"/>
      <protection locked="0"/>
    </xf>
    <xf numFmtId="49" fontId="5" fillId="25" borderId="19" xfId="0" quotePrefix="1" applyNumberFormat="1" applyFont="1" applyFill="1" applyBorder="1" applyAlignment="1" applyProtection="1">
      <alignment horizontal="left" vertical="center" wrapText="1"/>
      <protection locked="0"/>
    </xf>
    <xf numFmtId="49" fontId="5" fillId="25" borderId="11" xfId="0" quotePrefix="1" applyNumberFormat="1" applyFont="1" applyFill="1" applyBorder="1" applyAlignment="1" applyProtection="1">
      <alignment horizontal="left" vertical="center" wrapText="1"/>
      <protection locked="0"/>
    </xf>
    <xf numFmtId="1" fontId="5" fillId="25" borderId="10" xfId="0" applyNumberFormat="1" applyFont="1" applyFill="1" applyBorder="1" applyAlignment="1" applyProtection="1">
      <alignment horizontal="right" vertical="center" wrapText="1"/>
      <protection locked="0"/>
    </xf>
    <xf numFmtId="1" fontId="5" fillId="25" borderId="14" xfId="0" applyNumberFormat="1" applyFont="1" applyFill="1" applyBorder="1" applyAlignment="1" applyProtection="1">
      <alignment horizontal="right" vertical="center" wrapText="1"/>
      <protection locked="0"/>
    </xf>
    <xf numFmtId="0" fontId="3" fillId="26" borderId="22" xfId="0" applyFont="1" applyFill="1" applyBorder="1" applyAlignment="1">
      <alignment horizontal="center"/>
    </xf>
    <xf numFmtId="0" fontId="3" fillId="26" borderId="20" xfId="0" applyFont="1" applyFill="1" applyBorder="1" applyAlignment="1">
      <alignment horizontal="center"/>
    </xf>
    <xf numFmtId="0" fontId="3" fillId="26" borderId="24" xfId="0" applyFont="1" applyFill="1" applyBorder="1" applyAlignment="1">
      <alignment horizontal="center"/>
    </xf>
    <xf numFmtId="0" fontId="3" fillId="24" borderId="10" xfId="0" applyFont="1" applyFill="1" applyBorder="1" applyAlignment="1">
      <alignment horizontal="left" vertical="center"/>
    </xf>
    <xf numFmtId="0" fontId="3" fillId="24" borderId="14" xfId="0" applyFont="1" applyFill="1" applyBorder="1" applyAlignment="1">
      <alignment horizontal="left" vertical="center"/>
    </xf>
    <xf numFmtId="0" fontId="3" fillId="0" borderId="14" xfId="0" applyFont="1" applyBorder="1" applyAlignment="1">
      <alignment horizontal="left" vertical="top" wrapText="1"/>
    </xf>
    <xf numFmtId="0" fontId="3" fillId="0" borderId="19" xfId="0" applyFont="1" applyBorder="1" applyAlignment="1">
      <alignment horizontal="left" vertical="top" wrapText="1"/>
    </xf>
    <xf numFmtId="0" fontId="3" fillId="0" borderId="11" xfId="0" applyFont="1" applyBorder="1" applyAlignment="1">
      <alignment horizontal="left" vertical="top" wrapText="1"/>
    </xf>
    <xf numFmtId="0" fontId="29" fillId="0" borderId="19" xfId="0" applyFont="1" applyBorder="1" applyAlignment="1">
      <alignment horizontal="center" vertical="center"/>
    </xf>
    <xf numFmtId="0" fontId="29"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27" fillId="0" borderId="10" xfId="0" applyFont="1" applyBorder="1" applyAlignment="1">
      <alignment horizontal="left" vertical="top" wrapText="1"/>
    </xf>
    <xf numFmtId="0" fontId="28" fillId="0" borderId="10" xfId="0" applyFont="1" applyBorder="1"/>
    <xf numFmtId="0" fontId="3" fillId="24" borderId="19" xfId="0" applyFont="1" applyFill="1" applyBorder="1" applyAlignment="1">
      <alignment horizontal="left" vertical="center"/>
    </xf>
    <xf numFmtId="0" fontId="3" fillId="24" borderId="11" xfId="0" applyFont="1" applyFill="1" applyBorder="1" applyAlignment="1">
      <alignment horizontal="left" vertical="center"/>
    </xf>
    <xf numFmtId="0" fontId="3" fillId="24" borderId="14" xfId="0" applyFont="1" applyFill="1" applyBorder="1" applyAlignment="1">
      <alignment wrapText="1"/>
    </xf>
    <xf numFmtId="0" fontId="3" fillId="24" borderId="19" xfId="0" applyFont="1" applyFill="1" applyBorder="1" applyAlignment="1">
      <alignment wrapText="1"/>
    </xf>
    <xf numFmtId="0" fontId="3" fillId="24" borderId="11" xfId="0" applyFont="1" applyFill="1" applyBorder="1" applyAlignment="1">
      <alignment wrapText="1"/>
    </xf>
    <xf numFmtId="0" fontId="3" fillId="24" borderId="10" xfId="0" applyFont="1" applyFill="1" applyBorder="1" applyAlignment="1">
      <alignment horizontal="left" vertical="center" wrapText="1"/>
    </xf>
    <xf numFmtId="0" fontId="57" fillId="24" borderId="10" xfId="0" applyFont="1" applyFill="1" applyBorder="1" applyAlignment="1">
      <alignment vertical="center"/>
    </xf>
    <xf numFmtId="0" fontId="27" fillId="0" borderId="14" xfId="0" applyFont="1" applyBorder="1" applyAlignment="1">
      <alignment horizontal="left" vertical="center"/>
    </xf>
    <xf numFmtId="0" fontId="27" fillId="0" borderId="19" xfId="0" applyFont="1" applyBorder="1" applyAlignment="1">
      <alignment horizontal="left" vertical="center"/>
    </xf>
    <xf numFmtId="0" fontId="27" fillId="0" borderId="11" xfId="0" applyFont="1" applyBorder="1" applyAlignment="1">
      <alignment horizontal="left" vertical="center"/>
    </xf>
    <xf numFmtId="0" fontId="57" fillId="0" borderId="19" xfId="0" applyFont="1" applyBorder="1" applyAlignment="1">
      <alignment horizontal="left" vertical="center"/>
    </xf>
    <xf numFmtId="0" fontId="57" fillId="0" borderId="11" xfId="0" applyFont="1" applyBorder="1" applyAlignment="1">
      <alignment horizontal="left" vertical="center"/>
    </xf>
    <xf numFmtId="0" fontId="3" fillId="26" borderId="10" xfId="0" applyFont="1" applyFill="1" applyBorder="1" applyAlignment="1">
      <alignment horizontal="center"/>
    </xf>
    <xf numFmtId="0" fontId="57" fillId="0" borderId="10" xfId="0" applyFont="1" applyBorder="1" applyAlignment="1">
      <alignment vertical="center"/>
    </xf>
    <xf numFmtId="0" fontId="57" fillId="24" borderId="10" xfId="0" applyFont="1" applyFill="1" applyBorder="1" applyAlignment="1">
      <alignment horizontal="left" vertical="center"/>
    </xf>
    <xf numFmtId="0" fontId="57" fillId="24" borderId="14" xfId="0" applyFont="1" applyFill="1" applyBorder="1" applyAlignment="1">
      <alignment horizontal="left" vertical="center"/>
    </xf>
    <xf numFmtId="0" fontId="3" fillId="26" borderId="21" xfId="0" applyFont="1" applyFill="1" applyBorder="1" applyAlignment="1">
      <alignment horizontal="center"/>
    </xf>
    <xf numFmtId="0" fontId="3" fillId="26" borderId="23" xfId="0" applyFont="1" applyFill="1" applyBorder="1" applyAlignment="1">
      <alignment horizontal="center"/>
    </xf>
    <xf numFmtId="0" fontId="3" fillId="0" borderId="19" xfId="0" applyFont="1" applyBorder="1" applyAlignment="1">
      <alignment horizontal="center" vertical="center"/>
    </xf>
    <xf numFmtId="0" fontId="57" fillId="0" borderId="19" xfId="0" applyFont="1" applyBorder="1" applyAlignment="1">
      <alignment horizontal="left" vertical="center" wrapText="1"/>
    </xf>
    <xf numFmtId="0" fontId="57" fillId="0" borderId="11" xfId="0" applyFont="1" applyBorder="1" applyAlignment="1">
      <alignment horizontal="left" vertical="center" wrapText="1"/>
    </xf>
    <xf numFmtId="0" fontId="27" fillId="0" borderId="14" xfId="0" applyFont="1" applyBorder="1"/>
    <xf numFmtId="0" fontId="27" fillId="0" borderId="19" xfId="0" applyFont="1" applyBorder="1"/>
    <xf numFmtId="0" fontId="27" fillId="0" borderId="11" xfId="0" applyFont="1" applyBorder="1"/>
    <xf numFmtId="0" fontId="3" fillId="0" borderId="21" xfId="0" applyFont="1" applyBorder="1" applyAlignment="1">
      <alignment horizontal="left" vertical="center" wrapText="1"/>
    </xf>
    <xf numFmtId="0" fontId="57" fillId="0" borderId="15" xfId="0" applyFont="1" applyBorder="1" applyAlignment="1">
      <alignment horizontal="left" vertical="center"/>
    </xf>
    <xf numFmtId="0" fontId="57" fillId="0" borderId="0" xfId="0" applyFont="1" applyBorder="1" applyAlignment="1">
      <alignment horizontal="left" vertical="center"/>
    </xf>
    <xf numFmtId="0" fontId="27" fillId="0" borderId="19" xfId="0" applyFont="1" applyBorder="1" applyAlignment="1">
      <alignment horizontal="center" vertical="top"/>
    </xf>
    <xf numFmtId="0" fontId="27" fillId="0" borderId="11" xfId="0" applyFont="1" applyBorder="1" applyAlignment="1">
      <alignment horizontal="center" vertical="top"/>
    </xf>
    <xf numFmtId="0" fontId="3" fillId="0" borderId="17" xfId="0" applyFont="1" applyBorder="1" applyAlignment="1">
      <alignment horizontal="center"/>
    </xf>
    <xf numFmtId="0" fontId="3" fillId="0" borderId="18" xfId="0" applyFont="1" applyBorder="1" applyAlignment="1">
      <alignment horizontal="center"/>
    </xf>
    <xf numFmtId="0" fontId="3" fillId="0" borderId="22" xfId="0" applyFont="1" applyBorder="1" applyAlignment="1">
      <alignment horizontal="center"/>
    </xf>
    <xf numFmtId="0" fontId="57" fillId="0" borderId="14" xfId="0" applyFont="1" applyBorder="1" applyAlignment="1">
      <alignment horizontal="left"/>
    </xf>
    <xf numFmtId="0" fontId="28" fillId="0" borderId="19" xfId="0" applyFont="1" applyBorder="1" applyAlignment="1">
      <alignment vertical="top" wrapText="1"/>
    </xf>
    <xf numFmtId="0" fontId="28" fillId="0" borderId="11" xfId="0" applyFont="1" applyBorder="1" applyAlignment="1">
      <alignment vertical="top" wrapText="1"/>
    </xf>
    <xf numFmtId="0" fontId="59" fillId="27" borderId="16" xfId="0" applyFont="1" applyFill="1" applyBorder="1" applyAlignment="1" applyProtection="1">
      <alignment horizontal="center" vertical="center" wrapText="1"/>
    </xf>
    <xf numFmtId="0" fontId="59" fillId="27" borderId="10" xfId="0" applyFont="1" applyFill="1" applyBorder="1" applyAlignment="1" applyProtection="1">
      <alignment horizontal="center" vertical="center" wrapText="1"/>
    </xf>
    <xf numFmtId="0" fontId="3" fillId="0" borderId="12" xfId="0" applyFont="1" applyBorder="1" applyAlignment="1">
      <alignment horizontal="center" vertical="center" textRotation="90" wrapText="1"/>
    </xf>
    <xf numFmtId="0" fontId="3" fillId="24" borderId="14" xfId="0" applyFont="1" applyFill="1" applyBorder="1"/>
    <xf numFmtId="0" fontId="3" fillId="24" borderId="19" xfId="0" applyFont="1" applyFill="1" applyBorder="1"/>
    <xf numFmtId="0" fontId="27" fillId="0" borderId="14" xfId="0" applyFont="1" applyBorder="1" applyAlignment="1">
      <alignment horizontal="left" wrapText="1"/>
    </xf>
    <xf numFmtId="0" fontId="28" fillId="0" borderId="19" xfId="0" applyFont="1" applyBorder="1" applyAlignment="1">
      <alignment horizontal="left" wrapText="1"/>
    </xf>
    <xf numFmtId="0" fontId="28" fillId="0" borderId="11" xfId="0" applyFont="1" applyBorder="1" applyAlignment="1">
      <alignment horizontal="left" wrapText="1"/>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14" xfId="0" quotePrefix="1"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27" fillId="0" borderId="10" xfId="0" applyFont="1" applyBorder="1" applyAlignment="1">
      <alignment horizontal="left" vertical="center"/>
    </xf>
    <xf numFmtId="0" fontId="28" fillId="0" borderId="10" xfId="0" applyFont="1" applyBorder="1" applyAlignment="1">
      <alignment horizontal="left" vertical="center"/>
    </xf>
    <xf numFmtId="0" fontId="3" fillId="0" borderId="10" xfId="0" applyFont="1" applyBorder="1" applyAlignment="1" applyProtection="1">
      <alignment horizontal="center" vertical="center"/>
    </xf>
    <xf numFmtId="0" fontId="3" fillId="0" borderId="14" xfId="0" applyFont="1" applyBorder="1" applyAlignment="1" applyProtection="1">
      <alignment horizontal="center" vertical="center"/>
    </xf>
    <xf numFmtId="49" fontId="5" fillId="48" borderId="14" xfId="0" quotePrefix="1" applyNumberFormat="1" applyFont="1" applyFill="1" applyBorder="1" applyAlignment="1" applyProtection="1">
      <alignment horizontal="left" vertical="center" wrapText="1"/>
      <protection locked="0"/>
    </xf>
    <xf numFmtId="49" fontId="5" fillId="48" borderId="19" xfId="0" quotePrefix="1" applyNumberFormat="1" applyFont="1" applyFill="1" applyBorder="1" applyAlignment="1" applyProtection="1">
      <alignment horizontal="left" vertical="center" wrapText="1"/>
      <protection locked="0"/>
    </xf>
    <xf numFmtId="49" fontId="5" fillId="48" borderId="11" xfId="0" quotePrefix="1" applyNumberFormat="1" applyFont="1" applyFill="1" applyBorder="1" applyAlignment="1" applyProtection="1">
      <alignment horizontal="left" vertical="center" wrapText="1"/>
      <protection locked="0"/>
    </xf>
    <xf numFmtId="49" fontId="5" fillId="48" borderId="14" xfId="0" applyNumberFormat="1" applyFont="1" applyFill="1" applyBorder="1" applyAlignment="1" applyProtection="1">
      <alignment horizontal="left" vertical="center" wrapText="1"/>
      <protection locked="0"/>
    </xf>
    <xf numFmtId="49" fontId="5" fillId="48" borderId="19" xfId="0" applyNumberFormat="1" applyFont="1" applyFill="1" applyBorder="1" applyAlignment="1" applyProtection="1">
      <alignment horizontal="left" vertical="center" wrapText="1"/>
      <protection locked="0"/>
    </xf>
    <xf numFmtId="49" fontId="5" fillId="48" borderId="11" xfId="0" applyNumberFormat="1" applyFont="1" applyFill="1" applyBorder="1" applyAlignment="1" applyProtection="1">
      <alignment horizontal="left" vertical="center" wrapText="1"/>
      <protection locked="0"/>
    </xf>
    <xf numFmtId="1" fontId="28" fillId="24" borderId="14" xfId="0" applyNumberFormat="1" applyFont="1" applyFill="1" applyBorder="1" applyAlignment="1" applyProtection="1">
      <alignment horizontal="right"/>
      <protection hidden="1"/>
    </xf>
    <xf numFmtId="1" fontId="28" fillId="24" borderId="19" xfId="0" applyNumberFormat="1" applyFont="1" applyFill="1" applyBorder="1" applyAlignment="1" applyProtection="1">
      <alignment horizontal="right"/>
      <protection hidden="1"/>
    </xf>
    <xf numFmtId="49" fontId="5" fillId="48"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textRotation="90" wrapText="1"/>
    </xf>
    <xf numFmtId="0" fontId="58" fillId="0" borderId="16" xfId="0" applyFont="1" applyBorder="1" applyAlignment="1">
      <alignment horizontal="center" textRotation="90"/>
    </xf>
    <xf numFmtId="0" fontId="58" fillId="0" borderId="12" xfId="0" applyFont="1" applyBorder="1" applyAlignment="1">
      <alignment horizontal="center" textRotation="90"/>
    </xf>
    <xf numFmtId="0" fontId="3" fillId="24" borderId="16" xfId="0" applyFont="1" applyFill="1" applyBorder="1" applyAlignment="1" applyProtection="1">
      <alignment horizontal="center" vertical="top" wrapText="1"/>
    </xf>
    <xf numFmtId="0" fontId="3" fillId="24" borderId="12" xfId="0" applyFont="1" applyFill="1" applyBorder="1" applyAlignment="1" applyProtection="1">
      <alignment horizontal="center" vertical="top" wrapText="1"/>
    </xf>
    <xf numFmtId="0" fontId="3" fillId="24" borderId="13" xfId="0" applyFont="1" applyFill="1" applyBorder="1" applyAlignment="1" applyProtection="1">
      <alignment horizontal="center" vertical="top" wrapText="1"/>
    </xf>
    <xf numFmtId="0" fontId="3" fillId="0" borderId="14" xfId="0" applyFont="1" applyBorder="1" applyAlignment="1">
      <alignment horizontal="left"/>
    </xf>
    <xf numFmtId="0" fontId="3" fillId="0" borderId="19" xfId="0" applyFont="1" applyBorder="1" applyAlignment="1">
      <alignment horizontal="left"/>
    </xf>
    <xf numFmtId="0" fontId="3" fillId="26" borderId="15" xfId="0" applyFont="1" applyFill="1" applyBorder="1" applyAlignment="1">
      <alignment horizontal="center"/>
    </xf>
    <xf numFmtId="1" fontId="5" fillId="48" borderId="10" xfId="0" applyNumberFormat="1" applyFont="1" applyFill="1" applyBorder="1" applyAlignment="1" applyProtection="1">
      <alignment horizontal="right" vertical="center" wrapText="1"/>
      <protection locked="0"/>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0" xfId="0" quotePrefix="1" applyFont="1" applyBorder="1" applyAlignment="1" applyProtection="1">
      <alignment horizontal="left" vertical="center" wrapText="1"/>
    </xf>
    <xf numFmtId="49" fontId="5" fillId="25" borderId="10" xfId="0" applyNumberFormat="1" applyFont="1" applyFill="1" applyBorder="1" applyAlignment="1" applyProtection="1">
      <alignment horizontal="left" vertical="center" wrapText="1"/>
      <protection locked="0"/>
    </xf>
    <xf numFmtId="0" fontId="3" fillId="0" borderId="14"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57" fillId="0" borderId="12" xfId="0" applyFont="1" applyBorder="1"/>
    <xf numFmtId="0" fontId="57" fillId="0" borderId="13" xfId="0" applyFont="1" applyBorder="1"/>
    <xf numFmtId="0" fontId="3" fillId="0" borderId="16"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3" fillId="0" borderId="13" xfId="0" applyFont="1" applyBorder="1" applyAlignment="1" applyProtection="1">
      <alignment horizontal="center" vertical="top" wrapText="1"/>
    </xf>
    <xf numFmtId="49" fontId="5" fillId="25" borderId="19" xfId="0" applyNumberFormat="1" applyFont="1" applyFill="1" applyBorder="1" applyAlignment="1" applyProtection="1">
      <alignment horizontal="left" vertical="center" wrapText="1"/>
      <protection locked="0"/>
    </xf>
    <xf numFmtId="0" fontId="3" fillId="0" borderId="14" xfId="0" applyFont="1" applyBorder="1" applyAlignment="1" applyProtection="1">
      <alignment horizontal="center" vertical="top" wrapText="1"/>
    </xf>
    <xf numFmtId="0" fontId="3" fillId="0" borderId="19" xfId="0" applyFont="1" applyBorder="1" applyAlignment="1" applyProtection="1">
      <alignment horizontal="center" vertical="top" wrapText="1"/>
    </xf>
    <xf numFmtId="0" fontId="3" fillId="26" borderId="17" xfId="0" applyFont="1" applyFill="1" applyBorder="1" applyAlignment="1">
      <alignment horizontal="center" wrapText="1"/>
    </xf>
    <xf numFmtId="0" fontId="3" fillId="26" borderId="22" xfId="0" applyFont="1" applyFill="1" applyBorder="1" applyAlignment="1">
      <alignment horizontal="center" wrapText="1"/>
    </xf>
    <xf numFmtId="0" fontId="3" fillId="26" borderId="21" xfId="0" applyFont="1" applyFill="1" applyBorder="1" applyAlignment="1">
      <alignment horizontal="center" wrapText="1"/>
    </xf>
    <xf numFmtId="0" fontId="3" fillId="26" borderId="23" xfId="0" applyFont="1" applyFill="1" applyBorder="1" applyAlignment="1">
      <alignment horizontal="center" wrapText="1"/>
    </xf>
    <xf numFmtId="0" fontId="5" fillId="0" borderId="19" xfId="0" applyFont="1" applyBorder="1" applyAlignment="1">
      <alignment vertical="center" wrapText="1"/>
    </xf>
    <xf numFmtId="0" fontId="5" fillId="0" borderId="11" xfId="0" applyFont="1" applyBorder="1" applyAlignment="1">
      <alignment vertical="center" wrapText="1"/>
    </xf>
    <xf numFmtId="0" fontId="28" fillId="0" borderId="19" xfId="0" applyFont="1" applyBorder="1" applyAlignment="1">
      <alignment vertical="center" wrapText="1"/>
    </xf>
    <xf numFmtId="0" fontId="28" fillId="0" borderId="11" xfId="0" applyFont="1" applyBorder="1" applyAlignment="1">
      <alignment vertical="center" wrapText="1"/>
    </xf>
    <xf numFmtId="0" fontId="3" fillId="0" borderId="20" xfId="0" applyFont="1" applyBorder="1" applyAlignment="1">
      <alignment horizontal="left" vertical="center" wrapText="1"/>
    </xf>
    <xf numFmtId="0" fontId="5" fillId="0" borderId="15" xfId="0" applyFont="1" applyBorder="1" applyAlignment="1">
      <alignment vertical="center" wrapText="1"/>
    </xf>
    <xf numFmtId="0" fontId="5" fillId="0" borderId="24" xfId="0" applyFont="1" applyBorder="1" applyAlignment="1">
      <alignment vertical="center" wrapText="1"/>
    </xf>
    <xf numFmtId="0" fontId="57" fillId="0" borderId="19" xfId="0" applyFont="1" applyBorder="1" applyAlignment="1">
      <alignment vertical="center" wrapText="1"/>
    </xf>
    <xf numFmtId="0" fontId="57" fillId="0" borderId="11" xfId="0" applyFont="1" applyBorder="1" applyAlignment="1">
      <alignment vertical="center" wrapText="1"/>
    </xf>
    <xf numFmtId="0" fontId="3" fillId="26" borderId="20" xfId="0" applyFont="1" applyFill="1" applyBorder="1" applyAlignment="1">
      <alignment horizontal="center" wrapText="1"/>
    </xf>
    <xf numFmtId="0" fontId="3" fillId="26" borderId="24" xfId="0" applyFont="1" applyFill="1" applyBorder="1" applyAlignment="1">
      <alignment horizontal="center" wrapText="1"/>
    </xf>
    <xf numFmtId="0" fontId="3" fillId="24" borderId="22" xfId="0" applyFont="1" applyFill="1" applyBorder="1" applyAlignment="1">
      <alignment horizontal="center" vertical="top" wrapText="1"/>
    </xf>
    <xf numFmtId="0" fontId="3" fillId="24" borderId="23" xfId="0" applyFont="1" applyFill="1" applyBorder="1" applyAlignment="1">
      <alignment horizontal="center" vertical="top" wrapText="1"/>
    </xf>
    <xf numFmtId="0" fontId="3" fillId="24" borderId="24" xfId="0" applyFont="1" applyFill="1" applyBorder="1" applyAlignment="1">
      <alignment horizontal="center" vertical="top" wrapText="1"/>
    </xf>
    <xf numFmtId="0" fontId="3" fillId="0" borderId="17" xfId="0" applyFont="1" applyBorder="1" applyAlignment="1">
      <alignment horizontal="left" vertical="center" wrapText="1"/>
    </xf>
    <xf numFmtId="0" fontId="5" fillId="0" borderId="18" xfId="0" applyFont="1" applyBorder="1" applyAlignment="1">
      <alignment vertical="center" wrapText="1"/>
    </xf>
    <xf numFmtId="0" fontId="5" fillId="0" borderId="22" xfId="0" applyFont="1" applyBorder="1" applyAlignment="1">
      <alignment vertical="center" wrapText="1"/>
    </xf>
    <xf numFmtId="0" fontId="3" fillId="0" borderId="20" xfId="0" applyFont="1" applyBorder="1" applyAlignment="1">
      <alignment horizontal="left" wrapText="1"/>
    </xf>
    <xf numFmtId="0" fontId="5" fillId="0" borderId="15" xfId="0" applyFont="1" applyBorder="1" applyAlignment="1">
      <alignment horizontal="left" wrapText="1"/>
    </xf>
    <xf numFmtId="0" fontId="5" fillId="0" borderId="19" xfId="0" applyFont="1" applyBorder="1" applyAlignment="1">
      <alignment horizontal="left" wrapText="1"/>
    </xf>
    <xf numFmtId="0" fontId="5" fillId="0" borderId="11" xfId="0" applyFont="1" applyBorder="1" applyAlignment="1">
      <alignment horizontal="left" wrapText="1"/>
    </xf>
    <xf numFmtId="0" fontId="27" fillId="24" borderId="14" xfId="0" applyFont="1" applyFill="1" applyBorder="1" applyAlignment="1">
      <alignment horizontal="left" wrapText="1"/>
    </xf>
    <xf numFmtId="0" fontId="27" fillId="24" borderId="19" xfId="0" applyFont="1" applyFill="1" applyBorder="1" applyAlignment="1">
      <alignment horizontal="left" wrapText="1"/>
    </xf>
    <xf numFmtId="0" fontId="27" fillId="24" borderId="11" xfId="0" applyFont="1" applyFill="1" applyBorder="1" applyAlignment="1">
      <alignment horizontal="left" wrapText="1"/>
    </xf>
    <xf numFmtId="0" fontId="3" fillId="24" borderId="11"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11" xfId="0" applyFont="1" applyBorder="1" applyAlignment="1">
      <alignment horizontal="left" vertical="center" wrapText="1"/>
    </xf>
    <xf numFmtId="0" fontId="28" fillId="24" borderId="19" xfId="0" applyFont="1" applyFill="1" applyBorder="1" applyAlignment="1">
      <alignment horizontal="left" wrapText="1"/>
    </xf>
    <xf numFmtId="0" fontId="3" fillId="24" borderId="14" xfId="0" applyFont="1" applyFill="1" applyBorder="1" applyAlignment="1">
      <alignment horizontal="left" vertical="top" wrapText="1"/>
    </xf>
    <xf numFmtId="0" fontId="3" fillId="24" borderId="19" xfId="0" applyFont="1" applyFill="1" applyBorder="1" applyAlignment="1">
      <alignment horizontal="left" vertical="top" wrapText="1"/>
    </xf>
    <xf numFmtId="0" fontId="3" fillId="24" borderId="11" xfId="0" applyFont="1" applyFill="1" applyBorder="1" applyAlignment="1">
      <alignment horizontal="left" vertical="top" wrapText="1"/>
    </xf>
    <xf numFmtId="0" fontId="26" fillId="27" borderId="17" xfId="0" applyFont="1" applyFill="1" applyBorder="1" applyAlignment="1">
      <alignment horizontal="center" vertical="center" wrapText="1"/>
    </xf>
    <xf numFmtId="0" fontId="26" fillId="27" borderId="18" xfId="0" applyFont="1" applyFill="1" applyBorder="1" applyAlignment="1">
      <alignment horizontal="center" vertical="center" wrapText="1"/>
    </xf>
    <xf numFmtId="0" fontId="26" fillId="27" borderId="22" xfId="0" applyFont="1" applyFill="1" applyBorder="1" applyAlignment="1">
      <alignment horizontal="center" vertical="center" wrapText="1"/>
    </xf>
    <xf numFmtId="0" fontId="3" fillId="0" borderId="13" xfId="0" applyFont="1" applyBorder="1" applyAlignment="1">
      <alignment horizontal="center" vertical="center" textRotation="90" wrapText="1"/>
    </xf>
    <xf numFmtId="0" fontId="3" fillId="24" borderId="23" xfId="0" applyFont="1" applyFill="1" applyBorder="1" applyAlignment="1">
      <alignment horizontal="center" vertical="center" wrapText="1"/>
    </xf>
    <xf numFmtId="0" fontId="3" fillId="24" borderId="24" xfId="0" applyFont="1" applyFill="1" applyBorder="1" applyAlignment="1">
      <alignment horizontal="center" vertical="center" wrapText="1"/>
    </xf>
    <xf numFmtId="0" fontId="3" fillId="0" borderId="24" xfId="0" applyFont="1" applyBorder="1" applyAlignment="1">
      <alignment horizontal="left" vertical="center" wrapText="1"/>
    </xf>
    <xf numFmtId="0" fontId="5" fillId="0" borderId="19" xfId="0" applyFont="1" applyBorder="1" applyAlignment="1">
      <alignment wrapText="1"/>
    </xf>
    <xf numFmtId="0" fontId="5" fillId="0" borderId="11" xfId="0" applyFont="1" applyBorder="1" applyAlignment="1">
      <alignment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57" fillId="0" borderId="18" xfId="0" applyFont="1" applyBorder="1" applyAlignment="1">
      <alignment vertical="center" wrapText="1"/>
    </xf>
    <xf numFmtId="0" fontId="57" fillId="0" borderId="22" xfId="0" applyFont="1" applyBorder="1" applyAlignment="1">
      <alignment vertical="center" wrapText="1"/>
    </xf>
    <xf numFmtId="0" fontId="29" fillId="37" borderId="14" xfId="0" applyFont="1" applyFill="1" applyBorder="1" applyAlignment="1" applyProtection="1">
      <alignment horizontal="center"/>
    </xf>
    <xf numFmtId="0" fontId="29" fillId="37" borderId="19" xfId="0" applyFont="1" applyFill="1" applyBorder="1" applyAlignment="1" applyProtection="1">
      <alignment horizontal="center"/>
    </xf>
    <xf numFmtId="0" fontId="29" fillId="37" borderId="11" xfId="0" applyFont="1" applyFill="1" applyBorder="1" applyAlignment="1" applyProtection="1">
      <alignment horizontal="center"/>
    </xf>
    <xf numFmtId="0" fontId="3" fillId="0" borderId="17" xfId="0" applyFont="1" applyBorder="1" applyAlignment="1">
      <alignment horizontal="left"/>
    </xf>
    <xf numFmtId="0" fontId="3" fillId="0" borderId="18" xfId="0" applyFont="1" applyBorder="1" applyAlignment="1">
      <alignment horizontal="left"/>
    </xf>
    <xf numFmtId="0" fontId="3" fillId="0" borderId="22" xfId="0" applyFont="1" applyBorder="1" applyAlignment="1">
      <alignment horizontal="left"/>
    </xf>
    <xf numFmtId="0" fontId="3" fillId="0" borderId="14" xfId="0" applyFont="1" applyFill="1" applyBorder="1" applyAlignment="1">
      <alignment horizontal="left" wrapText="1"/>
    </xf>
    <xf numFmtId="0" fontId="3" fillId="0" borderId="19" xfId="0" applyFont="1" applyFill="1" applyBorder="1" applyAlignment="1">
      <alignment horizontal="left" wrapText="1"/>
    </xf>
    <xf numFmtId="0" fontId="3" fillId="0" borderId="11" xfId="0" applyFont="1" applyFill="1" applyBorder="1" applyAlignment="1">
      <alignment horizontal="left" wrapText="1"/>
    </xf>
    <xf numFmtId="0" fontId="57" fillId="24" borderId="18" xfId="0" applyFont="1" applyFill="1" applyBorder="1" applyAlignment="1">
      <alignment horizontal="center"/>
    </xf>
    <xf numFmtId="0" fontId="57" fillId="24" borderId="0" xfId="0" applyFont="1" applyFill="1" applyAlignment="1">
      <alignment horizontal="center"/>
    </xf>
    <xf numFmtId="0" fontId="7" fillId="0" borderId="14" xfId="0" applyFont="1" applyBorder="1" applyAlignment="1">
      <alignment horizontal="left" vertical="center"/>
    </xf>
    <xf numFmtId="0" fontId="7" fillId="0" borderId="19" xfId="0" applyFont="1" applyBorder="1" applyAlignment="1">
      <alignment horizontal="left" vertical="center"/>
    </xf>
    <xf numFmtId="0" fontId="102" fillId="0" borderId="14" xfId="0" applyFont="1" applyBorder="1" applyAlignment="1">
      <alignment horizontal="left" vertical="center" wrapText="1"/>
    </xf>
    <xf numFmtId="0" fontId="102" fillId="0" borderId="19" xfId="0" applyFont="1" applyBorder="1" applyAlignment="1">
      <alignment horizontal="left" vertical="center" wrapText="1"/>
    </xf>
    <xf numFmtId="0" fontId="102" fillId="0" borderId="11" xfId="0" applyFont="1" applyBorder="1" applyAlignment="1">
      <alignment horizontal="left" vertical="center" wrapText="1"/>
    </xf>
    <xf numFmtId="0" fontId="60" fillId="0" borderId="10" xfId="0" applyFont="1" applyBorder="1" applyAlignment="1">
      <alignment horizontal="left" vertical="center" wrapText="1"/>
    </xf>
    <xf numFmtId="0" fontId="60" fillId="0" borderId="11" xfId="0" applyFont="1" applyBorder="1" applyAlignment="1">
      <alignment horizontal="left" vertical="center" wrapText="1"/>
    </xf>
    <xf numFmtId="0" fontId="60" fillId="0" borderId="14" xfId="0" applyFont="1" applyBorder="1" applyAlignment="1">
      <alignment horizontal="left" vertical="center" wrapText="1"/>
    </xf>
    <xf numFmtId="0" fontId="7" fillId="0" borderId="19" xfId="0" applyFont="1" applyBorder="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26" fillId="27" borderId="0" xfId="0" applyFont="1" applyFill="1" applyBorder="1" applyAlignment="1">
      <alignment horizontal="left" vertical="center"/>
    </xf>
    <xf numFmtId="0" fontId="26" fillId="27" borderId="15" xfId="0" applyFont="1" applyFill="1" applyBorder="1" applyAlignment="1">
      <alignment horizontal="left" vertical="center"/>
    </xf>
    <xf numFmtId="1" fontId="7" fillId="0" borderId="19" xfId="0" applyNumberFormat="1" applyFont="1" applyBorder="1" applyAlignment="1">
      <alignment horizontal="left" vertical="top"/>
    </xf>
    <xf numFmtId="1" fontId="7" fillId="0" borderId="19" xfId="0" applyNumberFormat="1" applyFont="1" applyFill="1" applyBorder="1" applyAlignment="1">
      <alignment horizontal="left" vertical="center"/>
    </xf>
    <xf numFmtId="1" fontId="7" fillId="24" borderId="18" xfId="0" applyNumberFormat="1" applyFont="1" applyFill="1" applyBorder="1" applyAlignment="1">
      <alignment horizontal="left" vertical="center"/>
    </xf>
    <xf numFmtId="1" fontId="7" fillId="24" borderId="19" xfId="0" applyNumberFormat="1" applyFont="1" applyFill="1" applyBorder="1" applyAlignment="1">
      <alignment horizontal="left" vertical="center"/>
    </xf>
    <xf numFmtId="0" fontId="5" fillId="26" borderId="21" xfId="0" applyNumberFormat="1" applyFont="1" applyFill="1" applyBorder="1" applyAlignment="1" applyProtection="1">
      <alignment horizontal="right"/>
    </xf>
    <xf numFmtId="0" fontId="5" fillId="26" borderId="23" xfId="0" applyNumberFormat="1" applyFont="1" applyFill="1" applyBorder="1" applyAlignment="1" applyProtection="1">
      <alignment horizontal="right"/>
    </xf>
    <xf numFmtId="0" fontId="7" fillId="0" borderId="11" xfId="0" applyFont="1" applyBorder="1" applyAlignment="1">
      <alignment horizontal="left" vertical="center"/>
    </xf>
    <xf numFmtId="1" fontId="3" fillId="0" borderId="22" xfId="0" applyNumberFormat="1" applyFont="1" applyBorder="1" applyAlignment="1">
      <alignment horizontal="center" vertical="top"/>
    </xf>
    <xf numFmtId="1" fontId="3" fillId="0" borderId="23" xfId="0" applyNumberFormat="1" applyFont="1" applyBorder="1" applyAlignment="1">
      <alignment horizontal="center" vertical="top"/>
    </xf>
    <xf numFmtId="1" fontId="3" fillId="0" borderId="24" xfId="0" applyNumberFormat="1" applyFont="1" applyBorder="1" applyAlignment="1">
      <alignment horizontal="center" vertical="top"/>
    </xf>
    <xf numFmtId="0" fontId="0" fillId="54" borderId="17" xfId="0" applyFill="1" applyBorder="1" applyAlignment="1">
      <alignment horizontal="center"/>
    </xf>
    <xf numFmtId="0" fontId="0" fillId="54" borderId="18" xfId="0" applyFill="1" applyBorder="1" applyAlignment="1">
      <alignment horizontal="center"/>
    </xf>
    <xf numFmtId="0" fontId="0" fillId="54" borderId="22" xfId="0" applyFill="1" applyBorder="1" applyAlignment="1">
      <alignment horizontal="center"/>
    </xf>
    <xf numFmtId="0" fontId="0" fillId="0" borderId="19" xfId="0" applyBorder="1" applyAlignment="1">
      <alignment horizontal="center"/>
    </xf>
    <xf numFmtId="0" fontId="0" fillId="0" borderId="11" xfId="0" applyBorder="1" applyAlignment="1">
      <alignment horizontal="center"/>
    </xf>
    <xf numFmtId="0" fontId="0" fillId="54" borderId="14" xfId="0" applyFill="1" applyBorder="1" applyAlignment="1">
      <alignment horizontal="center"/>
    </xf>
    <xf numFmtId="0" fontId="0" fillId="54" borderId="19" xfId="0" applyFill="1" applyBorder="1" applyAlignment="1">
      <alignment horizontal="center"/>
    </xf>
    <xf numFmtId="0" fontId="0" fillId="54" borderId="11" xfId="0" applyFill="1" applyBorder="1" applyAlignment="1">
      <alignment horizontal="center"/>
    </xf>
    <xf numFmtId="0" fontId="32" fillId="24" borderId="0" xfId="0" applyFont="1" applyFill="1" applyBorder="1" applyAlignment="1">
      <alignment horizontal="center"/>
    </xf>
    <xf numFmtId="0" fontId="3" fillId="0" borderId="14" xfId="0" applyFont="1" applyBorder="1" applyAlignment="1">
      <alignment vertical="center" wrapText="1"/>
    </xf>
    <xf numFmtId="0" fontId="32" fillId="0" borderId="19" xfId="0" applyFont="1" applyBorder="1" applyAlignment="1">
      <alignment vertical="center" wrapText="1"/>
    </xf>
    <xf numFmtId="0" fontId="32" fillId="0" borderId="11" xfId="0" applyFont="1" applyBorder="1" applyAlignment="1">
      <alignment vertical="center" wrapText="1"/>
    </xf>
    <xf numFmtId="0" fontId="7" fillId="0" borderId="14" xfId="0" applyFont="1" applyBorder="1" applyAlignment="1">
      <alignment horizontal="left" vertical="center" wrapText="1"/>
    </xf>
    <xf numFmtId="9" fontId="27" fillId="0" borderId="14" xfId="0" applyNumberFormat="1" applyFont="1" applyBorder="1" applyAlignment="1">
      <alignment horizontal="left" vertical="center"/>
    </xf>
    <xf numFmtId="9" fontId="27" fillId="0" borderId="19" xfId="0" applyNumberFormat="1" applyFont="1" applyBorder="1" applyAlignment="1">
      <alignment horizontal="left" vertical="center"/>
    </xf>
    <xf numFmtId="9" fontId="27" fillId="0" borderId="11" xfId="0" applyNumberFormat="1" applyFont="1" applyBorder="1" applyAlignment="1">
      <alignment horizontal="left" vertical="center"/>
    </xf>
    <xf numFmtId="0" fontId="26" fillId="27" borderId="10" xfId="0" applyFont="1" applyFill="1" applyBorder="1" applyAlignment="1">
      <alignment horizontal="center"/>
    </xf>
    <xf numFmtId="0" fontId="26" fillId="27" borderId="16" xfId="0" applyFont="1" applyFill="1" applyBorder="1" applyAlignment="1">
      <alignment horizontal="center"/>
    </xf>
    <xf numFmtId="0" fontId="3" fillId="0" borderId="10" xfId="0" applyFont="1" applyBorder="1" applyAlignment="1"/>
    <xf numFmtId="0" fontId="3" fillId="0" borderId="16" xfId="0" applyFont="1" applyBorder="1" applyAlignment="1"/>
    <xf numFmtId="0" fontId="27" fillId="24" borderId="14" xfId="0" applyFont="1" applyFill="1" applyBorder="1" applyAlignment="1">
      <alignment horizontal="left" vertical="center"/>
    </xf>
    <xf numFmtId="0" fontId="27" fillId="24" borderId="19" xfId="0" applyFont="1" applyFill="1" applyBorder="1" applyAlignment="1">
      <alignment horizontal="left" vertical="center"/>
    </xf>
    <xf numFmtId="0" fontId="3" fillId="0" borderId="19" xfId="0" applyFont="1" applyBorder="1" applyAlignment="1">
      <alignment horizontal="center" vertical="center" wrapText="1"/>
    </xf>
    <xf numFmtId="0" fontId="27" fillId="0" borderId="21" xfId="0" applyFont="1" applyBorder="1" applyAlignment="1">
      <alignment horizontal="left" vertical="center" wrapText="1"/>
    </xf>
    <xf numFmtId="0" fontId="27" fillId="0" borderId="0" xfId="0" applyFont="1" applyBorder="1" applyAlignment="1">
      <alignment horizontal="left" vertical="center" wrapText="1"/>
    </xf>
    <xf numFmtId="0" fontId="27" fillId="0" borderId="23" xfId="0" applyFont="1" applyBorder="1" applyAlignment="1">
      <alignment horizontal="left" vertical="center" wrapText="1"/>
    </xf>
    <xf numFmtId="0" fontId="3" fillId="0" borderId="17" xfId="0" applyFont="1" applyBorder="1" applyAlignment="1"/>
    <xf numFmtId="0" fontId="3" fillId="0" borderId="18" xfId="0" applyFont="1" applyBorder="1" applyAlignment="1"/>
    <xf numFmtId="0" fontId="27" fillId="24" borderId="14" xfId="0" applyFont="1" applyFill="1" applyBorder="1" applyAlignment="1">
      <alignment horizontal="left" vertical="center" wrapText="1"/>
    </xf>
    <xf numFmtId="0" fontId="27" fillId="24" borderId="19" xfId="0" applyFont="1" applyFill="1" applyBorder="1" applyAlignment="1">
      <alignment horizontal="left" vertical="center" wrapText="1"/>
    </xf>
    <xf numFmtId="0" fontId="27" fillId="24" borderId="18" xfId="0" applyFont="1" applyFill="1" applyBorder="1" applyAlignment="1">
      <alignment horizontal="left" vertical="center" wrapText="1"/>
    </xf>
    <xf numFmtId="0" fontId="27" fillId="24" borderId="22" xfId="0" applyFont="1" applyFill="1" applyBorder="1" applyAlignment="1">
      <alignment horizontal="left" vertical="center" wrapText="1"/>
    </xf>
    <xf numFmtId="0" fontId="3" fillId="0" borderId="17" xfId="0" applyFont="1" applyBorder="1" applyAlignment="1">
      <alignment horizontal="center" vertical="top" wrapText="1"/>
    </xf>
    <xf numFmtId="0" fontId="3" fillId="0" borderId="22" xfId="0" applyFont="1" applyBorder="1" applyAlignment="1">
      <alignment horizontal="center" vertical="top" wrapText="1"/>
    </xf>
    <xf numFmtId="0" fontId="29" fillId="0" borderId="19" xfId="0" applyFont="1" applyBorder="1" applyAlignment="1">
      <alignment horizontal="left" vertical="center" wrapText="1"/>
    </xf>
    <xf numFmtId="0" fontId="29" fillId="0" borderId="11" xfId="0" applyFont="1" applyBorder="1" applyAlignment="1">
      <alignment horizontal="left" vertical="center" wrapText="1"/>
    </xf>
    <xf numFmtId="0" fontId="3" fillId="26" borderId="21" xfId="0" applyFont="1" applyFill="1" applyBorder="1" applyAlignment="1" applyProtection="1">
      <alignment horizontal="center" vertical="top" wrapText="1"/>
      <protection hidden="1"/>
    </xf>
    <xf numFmtId="0" fontId="3" fillId="26" borderId="23" xfId="0" applyFont="1" applyFill="1" applyBorder="1" applyAlignment="1" applyProtection="1">
      <alignment horizontal="center" vertical="top" wrapText="1"/>
      <protection hidden="1"/>
    </xf>
    <xf numFmtId="0" fontId="3" fillId="0" borderId="21" xfId="0" applyFont="1" applyBorder="1" applyAlignment="1">
      <alignment horizontal="center" vertical="top" wrapText="1"/>
    </xf>
    <xf numFmtId="0" fontId="3" fillId="0" borderId="20" xfId="0" applyFont="1" applyBorder="1" applyAlignment="1">
      <alignment horizontal="center"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10" xfId="0" applyFont="1" applyFill="1" applyBorder="1" applyAlignment="1">
      <alignment horizontal="left" vertical="center"/>
    </xf>
    <xf numFmtId="0" fontId="3" fillId="0" borderId="16" xfId="0" applyFont="1" applyFill="1" applyBorder="1" applyAlignment="1">
      <alignment horizontal="left" vertical="center"/>
    </xf>
    <xf numFmtId="0" fontId="26" fillId="27" borderId="15" xfId="0" applyFont="1" applyFill="1" applyBorder="1" applyAlignment="1">
      <alignment horizontal="left"/>
    </xf>
    <xf numFmtId="0" fontId="26" fillId="27" borderId="24" xfId="0" applyFont="1" applyFill="1" applyBorder="1" applyAlignment="1">
      <alignment horizontal="left"/>
    </xf>
    <xf numFmtId="0" fontId="3" fillId="24" borderId="16" xfId="0" applyFont="1" applyFill="1" applyBorder="1" applyAlignment="1">
      <alignment horizontal="center" vertical="center" textRotation="90"/>
    </xf>
    <xf numFmtId="0" fontId="3" fillId="24" borderId="12" xfId="0" applyFont="1" applyFill="1" applyBorder="1" applyAlignment="1">
      <alignment horizontal="center" vertical="center" textRotation="90"/>
    </xf>
    <xf numFmtId="0" fontId="3" fillId="0" borderId="22" xfId="0" applyFont="1" applyBorder="1" applyAlignment="1">
      <alignment horizontal="left" vertical="center" wrapText="1"/>
    </xf>
    <xf numFmtId="0" fontId="3" fillId="24" borderId="19" xfId="0" applyFont="1" applyFill="1" applyBorder="1" applyAlignment="1">
      <alignment horizontal="center" vertical="top" wrapText="1"/>
    </xf>
    <xf numFmtId="0" fontId="3" fillId="24" borderId="11" xfId="0" applyFont="1" applyFill="1" applyBorder="1" applyAlignment="1">
      <alignment horizontal="center" vertical="top" wrapText="1"/>
    </xf>
    <xf numFmtId="165" fontId="29" fillId="0" borderId="10" xfId="0" applyNumberFormat="1" applyFont="1" applyBorder="1" applyAlignment="1">
      <alignment horizontal="center" vertical="center"/>
    </xf>
    <xf numFmtId="0" fontId="26" fillId="27" borderId="14" xfId="0" applyFont="1" applyFill="1" applyBorder="1" applyAlignment="1">
      <alignment horizontal="center" vertical="center" wrapText="1"/>
    </xf>
    <xf numFmtId="0" fontId="26" fillId="27" borderId="11" xfId="0" applyFont="1" applyFill="1" applyBorder="1" applyAlignment="1">
      <alignment horizontal="center" vertical="center" wrapText="1"/>
    </xf>
    <xf numFmtId="0" fontId="3" fillId="0" borderId="10" xfId="0" applyFont="1" applyBorder="1" applyAlignment="1">
      <alignment horizontal="center" vertical="center" textRotation="90"/>
    </xf>
    <xf numFmtId="0" fontId="29" fillId="0" borderId="14" xfId="0" applyFont="1" applyBorder="1" applyAlignment="1">
      <alignment horizontal="center" vertical="center"/>
    </xf>
    <xf numFmtId="0" fontId="29" fillId="0" borderId="10" xfId="0" applyFont="1" applyBorder="1" applyAlignment="1">
      <alignment horizontal="center" vertical="center" wrapText="1"/>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24" xfId="0"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center" vertical="center"/>
    </xf>
    <xf numFmtId="0" fontId="26" fillId="27" borderId="14" xfId="0" applyFont="1" applyFill="1" applyBorder="1" applyAlignment="1">
      <alignment horizontal="left" wrapText="1"/>
    </xf>
    <xf numFmtId="0" fontId="26" fillId="27" borderId="11" xfId="0" applyFont="1" applyFill="1" applyBorder="1" applyAlignment="1">
      <alignment horizontal="left" wrapText="1"/>
    </xf>
    <xf numFmtId="0" fontId="3" fillId="24" borderId="14" xfId="0" applyFont="1" applyFill="1" applyBorder="1" applyAlignment="1">
      <alignment horizontal="center" vertical="center" textRotation="90"/>
    </xf>
    <xf numFmtId="0" fontId="3" fillId="24" borderId="10" xfId="0" applyFont="1" applyFill="1" applyBorder="1" applyAlignment="1">
      <alignment horizontal="center" vertical="center" textRotation="90"/>
    </xf>
    <xf numFmtId="0" fontId="3" fillId="0" borderId="16" xfId="0" applyFont="1" applyBorder="1" applyAlignment="1">
      <alignment horizontal="left" vertical="center"/>
    </xf>
    <xf numFmtId="0" fontId="26" fillId="27" borderId="14" xfId="0" applyFont="1" applyFill="1" applyBorder="1" applyAlignment="1">
      <alignment horizontal="left" vertical="center" wrapText="1"/>
    </xf>
    <xf numFmtId="0" fontId="26" fillId="27" borderId="11" xfId="0" applyFont="1" applyFill="1" applyBorder="1" applyAlignment="1">
      <alignment horizontal="left" vertical="center" wrapText="1"/>
    </xf>
    <xf numFmtId="0" fontId="29" fillId="24" borderId="19" xfId="0" applyFont="1" applyFill="1" applyBorder="1" applyAlignment="1">
      <alignment horizontal="left" vertical="top" wrapText="1"/>
    </xf>
    <xf numFmtId="0" fontId="29" fillId="24" borderId="11" xfId="0" applyFont="1" applyFill="1" applyBorder="1" applyAlignment="1">
      <alignment horizontal="left" vertical="top" wrapText="1"/>
    </xf>
    <xf numFmtId="0" fontId="29" fillId="24" borderId="14" xfId="0" applyFont="1" applyFill="1" applyBorder="1" applyAlignment="1" applyProtection="1">
      <alignment horizontal="left" vertical="center"/>
    </xf>
    <xf numFmtId="0" fontId="29" fillId="24" borderId="19" xfId="0" applyFont="1" applyFill="1" applyBorder="1" applyAlignment="1" applyProtection="1">
      <alignment horizontal="left" vertical="center"/>
    </xf>
    <xf numFmtId="0" fontId="29" fillId="24" borderId="11" xfId="0" applyFont="1" applyFill="1" applyBorder="1" applyAlignment="1" applyProtection="1">
      <alignment horizontal="left" vertical="center"/>
    </xf>
    <xf numFmtId="0" fontId="3" fillId="24" borderId="16" xfId="0" applyFont="1" applyFill="1" applyBorder="1" applyAlignment="1" applyProtection="1">
      <alignment horizontal="center" vertical="top"/>
    </xf>
    <xf numFmtId="0" fontId="3" fillId="24" borderId="12" xfId="0" applyFont="1" applyFill="1" applyBorder="1" applyAlignment="1" applyProtection="1">
      <alignment horizontal="center" vertical="top"/>
    </xf>
    <xf numFmtId="0" fontId="3" fillId="24" borderId="13" xfId="0" applyFont="1" applyFill="1" applyBorder="1" applyAlignment="1" applyProtection="1">
      <alignment horizontal="center" vertical="top"/>
    </xf>
    <xf numFmtId="0" fontId="3" fillId="24" borderId="14" xfId="0" applyFont="1" applyFill="1" applyBorder="1" applyAlignment="1" applyProtection="1">
      <alignment vertical="top"/>
    </xf>
    <xf numFmtId="0" fontId="3" fillId="24" borderId="19" xfId="0" applyFont="1" applyFill="1" applyBorder="1" applyAlignment="1" applyProtection="1">
      <alignment vertical="top"/>
    </xf>
    <xf numFmtId="0" fontId="3" fillId="24" borderId="11" xfId="0" applyFont="1" applyFill="1" applyBorder="1" applyAlignment="1" applyProtection="1">
      <alignment vertical="top"/>
    </xf>
    <xf numFmtId="0" fontId="0" fillId="0" borderId="0" xfId="0"/>
    <xf numFmtId="0" fontId="29" fillId="0" borderId="14"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3" fillId="0" borderId="14"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11" xfId="0" applyFont="1" applyBorder="1" applyAlignment="1" applyProtection="1">
      <alignment horizontal="left" vertical="center"/>
    </xf>
    <xf numFmtId="0" fontId="27" fillId="0" borderId="14"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11" xfId="0" applyFont="1" applyFill="1" applyBorder="1" applyAlignment="1" applyProtection="1">
      <alignment horizontal="left" vertical="center"/>
    </xf>
    <xf numFmtId="0" fontId="3" fillId="0" borderId="14" xfId="0" applyFont="1" applyFill="1" applyBorder="1" applyAlignment="1" applyProtection="1">
      <alignment horizontal="left"/>
      <protection hidden="1"/>
    </xf>
    <xf numFmtId="0" fontId="3" fillId="0" borderId="19" xfId="0" applyFont="1" applyFill="1" applyBorder="1" applyAlignment="1" applyProtection="1">
      <alignment horizontal="left"/>
      <protection hidden="1"/>
    </xf>
    <xf numFmtId="0" fontId="3" fillId="0" borderId="11" xfId="0" applyFont="1" applyFill="1" applyBorder="1" applyAlignment="1" applyProtection="1">
      <alignment horizontal="left"/>
      <protection hidden="1"/>
    </xf>
    <xf numFmtId="0" fontId="3" fillId="0" borderId="14"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3" fillId="0" borderId="2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24" xfId="0" applyFont="1" applyFill="1" applyBorder="1" applyAlignment="1" applyProtection="1">
      <alignment horizontal="center"/>
    </xf>
    <xf numFmtId="0" fontId="7" fillId="0" borderId="16"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29" fillId="24" borderId="14" xfId="0" applyFont="1" applyFill="1" applyBorder="1" applyAlignment="1" applyProtection="1"/>
    <xf numFmtId="0" fontId="29" fillId="24" borderId="19" xfId="0" applyFont="1" applyFill="1" applyBorder="1" applyAlignment="1" applyProtection="1"/>
    <xf numFmtId="0" fontId="29" fillId="24" borderId="11" xfId="0" applyFont="1" applyFill="1" applyBorder="1" applyAlignment="1" applyProtection="1"/>
    <xf numFmtId="0" fontId="3" fillId="24" borderId="14" xfId="0" applyFont="1" applyFill="1" applyBorder="1" applyAlignment="1" applyProtection="1">
      <alignment horizontal="left"/>
    </xf>
    <xf numFmtId="0" fontId="3" fillId="24" borderId="19" xfId="0" applyFont="1" applyFill="1" applyBorder="1" applyAlignment="1" applyProtection="1">
      <alignment horizontal="left"/>
    </xf>
    <xf numFmtId="0" fontId="3" fillId="24" borderId="11" xfId="0" applyFont="1" applyFill="1" applyBorder="1" applyAlignment="1" applyProtection="1">
      <alignment horizontal="left"/>
    </xf>
    <xf numFmtId="0" fontId="3" fillId="0" borderId="14" xfId="0" applyFont="1" applyBorder="1" applyAlignment="1" applyProtection="1">
      <alignment horizontal="left"/>
    </xf>
    <xf numFmtId="0" fontId="3" fillId="0" borderId="19" xfId="0" applyFont="1" applyBorder="1" applyAlignment="1" applyProtection="1">
      <alignment horizontal="left"/>
    </xf>
    <xf numFmtId="0" fontId="3" fillId="0" borderId="11" xfId="0" applyFont="1" applyBorder="1" applyAlignment="1" applyProtection="1">
      <alignment horizontal="left"/>
    </xf>
    <xf numFmtId="0" fontId="3" fillId="0" borderId="14" xfId="0" applyFont="1" applyBorder="1" applyAlignment="1" applyProtection="1">
      <alignment horizontal="left" vertical="top"/>
    </xf>
    <xf numFmtId="0" fontId="3" fillId="0" borderId="19" xfId="0" applyFont="1" applyBorder="1" applyAlignment="1" applyProtection="1">
      <alignment horizontal="left" vertical="top"/>
    </xf>
    <xf numFmtId="0" fontId="3" fillId="0" borderId="11" xfId="0" applyFont="1" applyBorder="1" applyAlignment="1" applyProtection="1">
      <alignment horizontal="left" vertical="top"/>
    </xf>
    <xf numFmtId="0" fontId="29" fillId="0" borderId="14" xfId="0" applyFont="1" applyBorder="1" applyAlignment="1" applyProtection="1">
      <alignment horizontal="left" vertical="center"/>
    </xf>
    <xf numFmtId="0" fontId="29" fillId="0" borderId="19" xfId="0" applyFont="1" applyBorder="1" applyAlignment="1" applyProtection="1">
      <alignment horizontal="left" vertical="center"/>
    </xf>
    <xf numFmtId="0" fontId="29" fillId="0" borderId="11" xfId="0" applyFont="1" applyBorder="1" applyAlignment="1" applyProtection="1">
      <alignment horizontal="left" vertical="center"/>
    </xf>
    <xf numFmtId="0" fontId="29" fillId="0" borderId="16" xfId="0" applyFont="1" applyBorder="1" applyAlignment="1" applyProtection="1">
      <alignment horizontal="center" vertical="top"/>
    </xf>
    <xf numFmtId="0" fontId="29" fillId="0" borderId="12" xfId="0" applyFont="1" applyBorder="1" applyAlignment="1" applyProtection="1">
      <alignment horizontal="center" vertical="top"/>
    </xf>
    <xf numFmtId="0" fontId="29" fillId="0" borderId="13" xfId="0" applyFont="1" applyBorder="1" applyAlignment="1" applyProtection="1">
      <alignment horizontal="center" vertical="top"/>
    </xf>
    <xf numFmtId="0" fontId="103" fillId="0" borderId="14" xfId="0" applyFont="1" applyBorder="1" applyAlignment="1" applyProtection="1">
      <alignment horizontal="left" vertical="top"/>
    </xf>
    <xf numFmtId="0" fontId="103" fillId="0" borderId="19" xfId="0" applyFont="1" applyBorder="1" applyAlignment="1" applyProtection="1">
      <alignment horizontal="left" vertical="top"/>
    </xf>
    <xf numFmtId="0" fontId="103" fillId="0" borderId="11" xfId="0" applyFont="1" applyBorder="1" applyAlignment="1" applyProtection="1">
      <alignment horizontal="left" vertical="top"/>
    </xf>
    <xf numFmtId="0" fontId="3" fillId="24" borderId="14" xfId="0" applyFont="1" applyFill="1" applyBorder="1" applyAlignment="1" applyProtection="1">
      <alignment vertical="top" wrapText="1"/>
    </xf>
    <xf numFmtId="0" fontId="3" fillId="24" borderId="19" xfId="0" applyFont="1" applyFill="1" applyBorder="1" applyAlignment="1" applyProtection="1">
      <alignment vertical="top" wrapText="1"/>
    </xf>
    <xf numFmtId="0" fontId="3" fillId="24" borderId="11" xfId="0" applyFont="1" applyFill="1" applyBorder="1" applyAlignment="1" applyProtection="1">
      <alignment vertical="top" wrapText="1"/>
    </xf>
    <xf numFmtId="0" fontId="3" fillId="0" borderId="16" xfId="0" applyFont="1" applyBorder="1" applyAlignment="1" applyProtection="1">
      <alignment horizontal="center" vertical="top"/>
    </xf>
    <xf numFmtId="0" fontId="3" fillId="0" borderId="12" xfId="0" applyFont="1" applyBorder="1" applyAlignment="1" applyProtection="1">
      <alignment horizontal="center" vertical="top"/>
    </xf>
    <xf numFmtId="0" fontId="3" fillId="0" borderId="13" xfId="0" applyFont="1" applyBorder="1" applyAlignment="1" applyProtection="1">
      <alignment horizontal="center" vertical="top"/>
    </xf>
    <xf numFmtId="165" fontId="29" fillId="0" borderId="16" xfId="0" applyNumberFormat="1" applyFont="1" applyBorder="1" applyAlignment="1" applyProtection="1">
      <alignment horizontal="center" vertical="top"/>
    </xf>
    <xf numFmtId="165" fontId="29" fillId="0" borderId="12" xfId="0" applyNumberFormat="1" applyFont="1" applyBorder="1" applyAlignment="1" applyProtection="1">
      <alignment horizontal="center" vertical="top"/>
    </xf>
    <xf numFmtId="165" fontId="29" fillId="0" borderId="13" xfId="0" applyNumberFormat="1" applyFont="1" applyBorder="1" applyAlignment="1" applyProtection="1">
      <alignment horizontal="center" vertical="top"/>
    </xf>
    <xf numFmtId="0" fontId="81" fillId="27" borderId="14" xfId="0" applyFont="1" applyFill="1" applyBorder="1" applyAlignment="1" applyProtection="1">
      <alignment horizontal="center" wrapText="1"/>
    </xf>
    <xf numFmtId="0" fontId="81" fillId="27" borderId="19" xfId="0" applyFont="1" applyFill="1" applyBorder="1" applyAlignment="1" applyProtection="1">
      <alignment horizontal="center" wrapText="1"/>
    </xf>
    <xf numFmtId="0" fontId="81" fillId="27" borderId="29" xfId="0" applyFont="1" applyFill="1" applyBorder="1" applyAlignment="1" applyProtection="1">
      <alignment horizontal="center" wrapText="1"/>
    </xf>
    <xf numFmtId="0" fontId="3" fillId="0" borderId="23" xfId="0" applyFont="1" applyBorder="1" applyAlignment="1" applyProtection="1">
      <alignment horizontal="center" vertical="top"/>
    </xf>
    <xf numFmtId="0" fontId="3" fillId="0" borderId="24" xfId="0" applyFont="1" applyBorder="1" applyAlignment="1" applyProtection="1">
      <alignment horizontal="center" vertical="top"/>
    </xf>
    <xf numFmtId="1" fontId="5" fillId="25" borderId="11" xfId="0" applyNumberFormat="1" applyFont="1" applyFill="1" applyBorder="1" applyAlignment="1" applyProtection="1">
      <alignment horizontal="right" vertical="center" wrapText="1"/>
      <protection locked="0"/>
    </xf>
    <xf numFmtId="0" fontId="3" fillId="24" borderId="14" xfId="0" applyFont="1" applyFill="1" applyBorder="1" applyAlignment="1" applyProtection="1">
      <alignment horizontal="center" vertical="center" wrapText="1"/>
    </xf>
    <xf numFmtId="0" fontId="3" fillId="24" borderId="11" xfId="0" applyFont="1" applyFill="1" applyBorder="1" applyAlignment="1" applyProtection="1">
      <alignment horizontal="center" vertical="center"/>
    </xf>
    <xf numFmtId="0" fontId="3" fillId="24" borderId="14" xfId="0" applyFont="1" applyFill="1" applyBorder="1" applyAlignment="1" applyProtection="1">
      <alignment horizontal="center" vertical="center"/>
    </xf>
    <xf numFmtId="0" fontId="3" fillId="24" borderId="19" xfId="0" applyFont="1" applyFill="1" applyBorder="1" applyAlignment="1" applyProtection="1">
      <alignment horizontal="center" vertical="center"/>
    </xf>
    <xf numFmtId="0" fontId="27" fillId="0" borderId="14" xfId="0" applyFont="1" applyFill="1" applyBorder="1" applyAlignment="1" applyProtection="1">
      <alignment horizontal="right" vertical="center"/>
    </xf>
    <xf numFmtId="0" fontId="27" fillId="0" borderId="19" xfId="0" applyFont="1" applyFill="1" applyBorder="1" applyAlignment="1" applyProtection="1">
      <alignment horizontal="right" vertical="center"/>
    </xf>
    <xf numFmtId="0" fontId="27" fillId="0" borderId="11" xfId="0" applyFont="1" applyFill="1" applyBorder="1" applyAlignment="1" applyProtection="1">
      <alignment horizontal="right" vertical="center"/>
    </xf>
    <xf numFmtId="0" fontId="3" fillId="0" borderId="23" xfId="0" applyFont="1" applyBorder="1" applyAlignment="1" applyProtection="1">
      <alignment horizontal="center" vertical="top"/>
      <protection hidden="1"/>
    </xf>
    <xf numFmtId="0" fontId="3" fillId="0" borderId="24" xfId="0" applyFont="1" applyBorder="1" applyAlignment="1" applyProtection="1">
      <alignment horizontal="center" vertical="top"/>
      <protection hidden="1"/>
    </xf>
    <xf numFmtId="0" fontId="3" fillId="24" borderId="14" xfId="0" applyFont="1" applyFill="1" applyBorder="1" applyAlignment="1" applyProtection="1">
      <alignment horizontal="left" vertical="center" wrapText="1"/>
      <protection hidden="1"/>
    </xf>
    <xf numFmtId="0" fontId="3" fillId="24" borderId="19" xfId="0" applyFont="1" applyFill="1" applyBorder="1" applyAlignment="1" applyProtection="1">
      <alignment horizontal="left" vertical="center" wrapText="1"/>
      <protection hidden="1"/>
    </xf>
    <xf numFmtId="0" fontId="3" fillId="24" borderId="22" xfId="0" applyFont="1" applyFill="1" applyBorder="1" applyAlignment="1" applyProtection="1">
      <alignment horizontal="left" vertical="center" wrapText="1"/>
      <protection hidden="1"/>
    </xf>
    <xf numFmtId="0" fontId="3" fillId="24" borderId="17" xfId="0" applyFont="1" applyFill="1" applyBorder="1" applyAlignment="1" applyProtection="1">
      <alignment horizontal="left" vertical="center" wrapText="1"/>
      <protection hidden="1"/>
    </xf>
    <xf numFmtId="0" fontId="3" fillId="24" borderId="21" xfId="0" applyFont="1" applyFill="1" applyBorder="1" applyAlignment="1" applyProtection="1">
      <alignment horizontal="left" vertical="center" wrapText="1"/>
      <protection hidden="1"/>
    </xf>
    <xf numFmtId="0" fontId="3" fillId="24" borderId="23" xfId="0" applyFont="1" applyFill="1" applyBorder="1" applyAlignment="1" applyProtection="1">
      <alignment horizontal="left" vertical="center" wrapText="1"/>
      <protection hidden="1"/>
    </xf>
    <xf numFmtId="0" fontId="3" fillId="24" borderId="20" xfId="0" applyFont="1" applyFill="1" applyBorder="1" applyAlignment="1" applyProtection="1">
      <alignment horizontal="left" vertical="center" wrapText="1"/>
      <protection hidden="1"/>
    </xf>
    <xf numFmtId="0" fontId="3" fillId="24" borderId="24" xfId="0" applyFont="1" applyFill="1" applyBorder="1" applyAlignment="1" applyProtection="1">
      <alignment horizontal="left" vertical="center" wrapText="1"/>
      <protection hidden="1"/>
    </xf>
    <xf numFmtId="0" fontId="3" fillId="24" borderId="11" xfId="0" applyFont="1" applyFill="1" applyBorder="1" applyAlignment="1" applyProtection="1">
      <alignment horizontal="left" vertical="center" wrapText="1"/>
      <protection hidden="1"/>
    </xf>
    <xf numFmtId="0" fontId="3" fillId="24" borderId="1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11" xfId="0" applyFont="1" applyFill="1" applyBorder="1" applyAlignment="1" applyProtection="1">
      <alignment horizontal="left" vertical="top" wrapText="1"/>
      <protection hidden="1"/>
    </xf>
    <xf numFmtId="0" fontId="3" fillId="24" borderId="18" xfId="0" applyFont="1" applyFill="1" applyBorder="1" applyAlignment="1" applyProtection="1">
      <alignment horizontal="left" vertical="center" wrapText="1"/>
      <protection hidden="1"/>
    </xf>
    <xf numFmtId="0" fontId="3" fillId="24" borderId="0" xfId="0" applyFont="1" applyFill="1" applyBorder="1" applyAlignment="1" applyProtection="1">
      <alignment horizontal="left" vertical="center" wrapText="1"/>
      <protection hidden="1"/>
    </xf>
    <xf numFmtId="0" fontId="3" fillId="24" borderId="15" xfId="0" applyFont="1" applyFill="1" applyBorder="1" applyAlignment="1" applyProtection="1">
      <alignment horizontal="left" vertical="center" wrapText="1"/>
      <protection hidden="1"/>
    </xf>
    <xf numFmtId="0" fontId="3" fillId="24" borderId="14" xfId="0" applyFont="1" applyFill="1" applyBorder="1" applyAlignment="1" applyProtection="1">
      <alignment horizontal="center" vertical="center"/>
      <protection hidden="1"/>
    </xf>
    <xf numFmtId="0" fontId="3" fillId="24" borderId="19" xfId="0" applyFont="1" applyFill="1" applyBorder="1" applyAlignment="1" applyProtection="1">
      <alignment horizontal="center" vertical="center"/>
      <protection hidden="1"/>
    </xf>
    <xf numFmtId="0" fontId="3" fillId="24" borderId="11" xfId="0" applyFont="1" applyFill="1" applyBorder="1" applyAlignment="1" applyProtection="1">
      <alignment horizontal="center" vertical="center"/>
      <protection hidden="1"/>
    </xf>
    <xf numFmtId="0" fontId="3" fillId="24" borderId="16" xfId="0" applyFont="1" applyFill="1" applyBorder="1" applyAlignment="1" applyProtection="1">
      <alignment horizontal="center" vertical="top" wrapText="1"/>
      <protection hidden="1"/>
    </xf>
    <xf numFmtId="0" fontId="3" fillId="24" borderId="12" xfId="0" applyFont="1" applyFill="1" applyBorder="1" applyAlignment="1" applyProtection="1">
      <alignment horizontal="center" vertical="top" wrapText="1"/>
      <protection hidden="1"/>
    </xf>
    <xf numFmtId="0" fontId="3" fillId="24" borderId="13" xfId="0" applyFont="1" applyFill="1" applyBorder="1" applyAlignment="1" applyProtection="1">
      <alignment horizontal="center" vertical="top" wrapText="1"/>
      <protection hidden="1"/>
    </xf>
    <xf numFmtId="0" fontId="3" fillId="0" borderId="14" xfId="0" applyFont="1" applyFill="1" applyBorder="1" applyAlignment="1" applyProtection="1">
      <alignment horizontal="left" vertical="top" wrapText="1"/>
      <protection hidden="1"/>
    </xf>
    <xf numFmtId="0" fontId="3" fillId="0" borderId="19" xfId="0" applyFont="1" applyFill="1" applyBorder="1" applyAlignment="1" applyProtection="1">
      <alignment horizontal="left" vertical="top" wrapText="1"/>
      <protection hidden="1"/>
    </xf>
    <xf numFmtId="0" fontId="3" fillId="0" borderId="11"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0" fontId="5" fillId="25" borderId="14" xfId="0" applyNumberFormat="1" applyFont="1" applyFill="1" applyBorder="1" applyAlignment="1" applyProtection="1">
      <alignment horizontal="left" vertical="center"/>
      <protection locked="0"/>
    </xf>
    <xf numFmtId="0" fontId="5" fillId="25" borderId="11" xfId="0" applyNumberFormat="1"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wrapText="1"/>
    </xf>
    <xf numFmtId="0" fontId="3" fillId="24" borderId="14" xfId="0" applyFont="1" applyFill="1" applyBorder="1" applyAlignment="1" applyProtection="1">
      <alignment horizontal="left" vertical="center"/>
      <protection hidden="1"/>
    </xf>
    <xf numFmtId="0" fontId="3" fillId="24" borderId="19" xfId="0" applyFont="1" applyFill="1" applyBorder="1" applyAlignment="1" applyProtection="1">
      <alignment horizontal="left" vertical="center"/>
      <protection hidden="1"/>
    </xf>
    <xf numFmtId="0" fontId="3" fillId="24" borderId="11" xfId="0" applyFont="1" applyFill="1" applyBorder="1" applyAlignment="1" applyProtection="1">
      <alignment horizontal="left" vertical="center"/>
      <protection hidden="1"/>
    </xf>
    <xf numFmtId="0" fontId="32" fillId="24" borderId="15" xfId="0" applyFont="1" applyFill="1" applyBorder="1" applyAlignment="1">
      <alignment horizontal="center"/>
    </xf>
    <xf numFmtId="0" fontId="3" fillId="24" borderId="17" xfId="0" applyFont="1" applyFill="1" applyBorder="1" applyAlignment="1" applyProtection="1">
      <alignment horizontal="center" vertical="center" wrapText="1"/>
      <protection hidden="1"/>
    </xf>
    <xf numFmtId="0" fontId="3" fillId="24" borderId="18" xfId="0" applyFont="1" applyFill="1" applyBorder="1" applyAlignment="1" applyProtection="1">
      <alignment horizontal="center" vertical="center" wrapText="1"/>
      <protection hidden="1"/>
    </xf>
    <xf numFmtId="0" fontId="3" fillId="24" borderId="22" xfId="0" applyFont="1" applyFill="1" applyBorder="1" applyAlignment="1" applyProtection="1">
      <alignment horizontal="center" vertical="center" wrapText="1"/>
      <protection hidden="1"/>
    </xf>
    <xf numFmtId="0" fontId="3" fillId="24" borderId="21" xfId="0" applyFont="1" applyFill="1" applyBorder="1" applyAlignment="1" applyProtection="1">
      <alignment horizontal="center" vertical="center" wrapText="1"/>
      <protection hidden="1"/>
    </xf>
    <xf numFmtId="0" fontId="3" fillId="24" borderId="0" xfId="0" applyFont="1" applyFill="1" applyBorder="1" applyAlignment="1" applyProtection="1">
      <alignment horizontal="center" vertical="center" wrapText="1"/>
      <protection hidden="1"/>
    </xf>
    <xf numFmtId="0" fontId="3" fillId="24" borderId="23" xfId="0" applyFont="1" applyFill="1" applyBorder="1" applyAlignment="1" applyProtection="1">
      <alignment horizontal="center" vertical="center" wrapText="1"/>
      <protection hidden="1"/>
    </xf>
    <xf numFmtId="0" fontId="3" fillId="24" borderId="20" xfId="0" applyFont="1" applyFill="1" applyBorder="1" applyAlignment="1" applyProtection="1">
      <alignment horizontal="center" vertical="center" wrapText="1"/>
      <protection hidden="1"/>
    </xf>
    <xf numFmtId="0" fontId="3" fillId="24" borderId="15" xfId="0" applyFont="1" applyFill="1" applyBorder="1" applyAlignment="1" applyProtection="1">
      <alignment horizontal="center" vertical="center" wrapText="1"/>
      <protection hidden="1"/>
    </xf>
    <xf numFmtId="0" fontId="3" fillId="24" borderId="24" xfId="0" applyFont="1" applyFill="1" applyBorder="1" applyAlignment="1" applyProtection="1">
      <alignment horizontal="center" vertical="center" wrapText="1"/>
      <protection hidden="1"/>
    </xf>
    <xf numFmtId="0" fontId="27" fillId="0" borderId="14" xfId="0" applyFont="1" applyFill="1" applyBorder="1" applyProtection="1"/>
    <xf numFmtId="0" fontId="27" fillId="0" borderId="19" xfId="0" applyFont="1" applyFill="1" applyBorder="1" applyProtection="1"/>
    <xf numFmtId="0" fontId="27" fillId="0" borderId="11" xfId="0" applyFont="1" applyFill="1" applyBorder="1" applyProtection="1"/>
    <xf numFmtId="0" fontId="3" fillId="24" borderId="16" xfId="0" applyFont="1" applyFill="1" applyBorder="1" applyAlignment="1" applyProtection="1">
      <alignment horizontal="left" vertical="top" wrapText="1"/>
      <protection hidden="1"/>
    </xf>
    <xf numFmtId="0" fontId="3" fillId="24" borderId="13" xfId="0" applyFont="1" applyFill="1" applyBorder="1" applyAlignment="1" applyProtection="1">
      <alignment horizontal="left" vertical="top" wrapText="1"/>
      <protection hidden="1"/>
    </xf>
    <xf numFmtId="0" fontId="29" fillId="0" borderId="14" xfId="0" applyFont="1" applyBorder="1" applyAlignment="1" applyProtection="1">
      <alignment horizontal="left" vertical="top" wrapText="1"/>
    </xf>
    <xf numFmtId="0" fontId="29" fillId="0" borderId="19" xfId="0" applyFont="1" applyBorder="1" applyAlignment="1" applyProtection="1">
      <alignment horizontal="left" vertical="top" wrapText="1"/>
    </xf>
    <xf numFmtId="0" fontId="29" fillId="0" borderId="11" xfId="0" applyFont="1" applyBorder="1" applyAlignment="1" applyProtection="1">
      <alignment horizontal="left" vertical="top" wrapText="1"/>
    </xf>
    <xf numFmtId="0" fontId="3" fillId="24" borderId="22" xfId="0" applyNumberFormat="1" applyFont="1" applyFill="1" applyBorder="1" applyAlignment="1" applyProtection="1">
      <alignment horizontal="center" vertical="center" wrapText="1"/>
      <protection hidden="1"/>
    </xf>
    <xf numFmtId="0" fontId="3" fillId="24" borderId="24" xfId="0" applyNumberFormat="1" applyFont="1" applyFill="1" applyBorder="1" applyAlignment="1" applyProtection="1">
      <alignment horizontal="center" vertical="center" wrapText="1"/>
      <protection hidden="1"/>
    </xf>
    <xf numFmtId="0" fontId="3" fillId="24" borderId="19"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3" fillId="24" borderId="10" xfId="0" applyFont="1" applyFill="1" applyBorder="1" applyAlignment="1" applyProtection="1">
      <alignment horizontal="center" vertical="center"/>
      <protection hidden="1"/>
    </xf>
    <xf numFmtId="0" fontId="3" fillId="24" borderId="11"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7"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11" xfId="0" applyFont="1" applyBorder="1" applyAlignment="1" applyProtection="1">
      <alignment horizontal="left" vertical="top" wrapText="1"/>
    </xf>
    <xf numFmtId="1" fontId="5" fillId="25" borderId="14" xfId="0" applyNumberFormat="1" applyFont="1" applyFill="1" applyBorder="1" applyAlignment="1" applyProtection="1">
      <alignment horizontal="left" vertical="center"/>
      <protection locked="0"/>
    </xf>
    <xf numFmtId="1" fontId="5" fillId="25" borderId="11" xfId="0" applyNumberFormat="1" applyFont="1" applyFill="1" applyBorder="1" applyAlignment="1" applyProtection="1">
      <alignment horizontal="left" vertical="center"/>
      <protection locked="0"/>
    </xf>
    <xf numFmtId="0" fontId="3" fillId="24" borderId="14" xfId="0" applyFont="1" applyFill="1" applyBorder="1" applyAlignment="1" applyProtection="1"/>
    <xf numFmtId="0" fontId="3" fillId="24" borderId="19" xfId="0" applyFont="1" applyFill="1" applyBorder="1" applyAlignment="1" applyProtection="1"/>
    <xf numFmtId="0" fontId="3" fillId="24" borderId="11" xfId="0" applyFont="1" applyFill="1" applyBorder="1" applyAlignment="1" applyProtection="1"/>
    <xf numFmtId="0" fontId="29" fillId="0" borderId="14"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xf>
    <xf numFmtId="0" fontId="29" fillId="0" borderId="11" xfId="0" applyFont="1" applyFill="1" applyBorder="1" applyAlignment="1" applyProtection="1">
      <alignment horizontal="left" vertical="center"/>
    </xf>
    <xf numFmtId="0" fontId="27" fillId="24" borderId="14" xfId="0" applyFont="1" applyFill="1" applyBorder="1" applyAlignment="1" applyProtection="1">
      <alignment horizontal="left" vertical="center"/>
    </xf>
    <xf numFmtId="0" fontId="27" fillId="24" borderId="19" xfId="0" applyFont="1" applyFill="1" applyBorder="1" applyAlignment="1" applyProtection="1">
      <alignment horizontal="left" vertical="center"/>
    </xf>
    <xf numFmtId="0" fontId="27" fillId="24" borderId="11" xfId="0" applyFont="1" applyFill="1" applyBorder="1" applyAlignment="1" applyProtection="1">
      <alignment horizontal="left" vertical="center"/>
    </xf>
    <xf numFmtId="1" fontId="5" fillId="25" borderId="14" xfId="0" applyNumberFormat="1" applyFont="1" applyFill="1" applyBorder="1" applyAlignment="1" applyProtection="1">
      <alignment horizontal="left" wrapText="1"/>
      <protection locked="0"/>
    </xf>
    <xf numFmtId="1" fontId="5" fillId="25" borderId="11" xfId="0" applyNumberFormat="1" applyFont="1" applyFill="1" applyBorder="1" applyAlignment="1" applyProtection="1">
      <alignment horizontal="left" wrapText="1"/>
      <protection locked="0"/>
    </xf>
    <xf numFmtId="0" fontId="29" fillId="0" borderId="14" xfId="0" applyFont="1" applyBorder="1" applyAlignment="1" applyProtection="1">
      <alignment horizontal="center" vertical="center"/>
    </xf>
    <xf numFmtId="0" fontId="29" fillId="0" borderId="11" xfId="0" applyFont="1" applyBorder="1" applyAlignment="1" applyProtection="1">
      <alignment horizontal="center" vertical="center"/>
    </xf>
    <xf numFmtId="0" fontId="27" fillId="0" borderId="14" xfId="0" applyFont="1" applyFill="1" applyBorder="1" applyAlignment="1" applyProtection="1"/>
    <xf numFmtId="0" fontId="27" fillId="0" borderId="19" xfId="0" applyFont="1" applyFill="1" applyBorder="1" applyAlignment="1" applyProtection="1"/>
    <xf numFmtId="0" fontId="27" fillId="0" borderId="11" xfId="0" applyFont="1" applyFill="1" applyBorder="1" applyAlignment="1" applyProtection="1"/>
    <xf numFmtId="0" fontId="29" fillId="0" borderId="18" xfId="0" applyFont="1" applyBorder="1" applyAlignment="1" applyProtection="1">
      <alignment horizontal="left" vertical="center" wrapText="1"/>
    </xf>
    <xf numFmtId="0" fontId="29" fillId="0" borderId="20" xfId="0" applyFont="1" applyBorder="1" applyAlignment="1" applyProtection="1">
      <alignment horizontal="left" vertical="center"/>
    </xf>
    <xf numFmtId="0" fontId="29" fillId="0" borderId="15" xfId="0" applyFont="1" applyBorder="1" applyAlignment="1" applyProtection="1">
      <alignment horizontal="left" vertical="center"/>
    </xf>
    <xf numFmtId="0" fontId="3" fillId="24" borderId="14" xfId="0" applyFont="1" applyFill="1" applyBorder="1" applyAlignment="1" applyProtection="1">
      <alignment horizontal="left" vertical="center" wrapText="1"/>
    </xf>
    <xf numFmtId="0" fontId="3" fillId="24" borderId="19" xfId="0" applyFont="1" applyFill="1" applyBorder="1" applyAlignment="1" applyProtection="1">
      <alignment horizontal="left" vertical="center" wrapText="1"/>
    </xf>
    <xf numFmtId="0" fontId="3" fillId="24" borderId="11" xfId="0" applyFont="1" applyFill="1" applyBorder="1" applyAlignment="1" applyProtection="1">
      <alignment horizontal="left" vertical="center" wrapText="1"/>
    </xf>
    <xf numFmtId="0" fontId="27" fillId="24" borderId="14" xfId="0" applyFont="1" applyFill="1" applyBorder="1" applyAlignment="1" applyProtection="1">
      <alignment horizontal="left"/>
    </xf>
    <xf numFmtId="0" fontId="27" fillId="24" borderId="19" xfId="0" applyFont="1" applyFill="1" applyBorder="1" applyAlignment="1" applyProtection="1">
      <alignment horizontal="left"/>
    </xf>
    <xf numFmtId="0" fontId="27" fillId="24" borderId="11" xfId="0" applyFont="1" applyFill="1" applyBorder="1" applyAlignment="1" applyProtection="1">
      <alignment horizontal="left"/>
    </xf>
    <xf numFmtId="0" fontId="3" fillId="0" borderId="16"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6"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27" fillId="0" borderId="14" xfId="0" applyFont="1" applyFill="1" applyBorder="1" applyAlignment="1" applyProtection="1">
      <alignment horizontal="left"/>
      <protection hidden="1"/>
    </xf>
    <xf numFmtId="0" fontId="27" fillId="0" borderId="19" xfId="0" applyFont="1" applyFill="1" applyBorder="1" applyAlignment="1" applyProtection="1">
      <alignment horizontal="left"/>
      <protection hidden="1"/>
    </xf>
    <xf numFmtId="0" fontId="27" fillId="0" borderId="11" xfId="0" applyFont="1" applyFill="1" applyBorder="1" applyAlignment="1" applyProtection="1">
      <alignment horizontal="left"/>
      <protection hidden="1"/>
    </xf>
    <xf numFmtId="0" fontId="3" fillId="0" borderId="11" xfId="0" applyFont="1" applyFill="1" applyBorder="1" applyAlignment="1" applyProtection="1">
      <alignment horizontal="left" vertical="top"/>
    </xf>
    <xf numFmtId="0" fontId="3" fillId="0" borderId="14" xfId="0" applyFont="1" applyBorder="1" applyAlignment="1" applyProtection="1">
      <alignment horizontal="left" vertical="top" wrapText="1"/>
      <protection hidden="1"/>
    </xf>
    <xf numFmtId="0" fontId="3" fillId="0" borderId="19"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27" fillId="0" borderId="16" xfId="0" applyFont="1" applyFill="1" applyBorder="1" applyAlignment="1" applyProtection="1">
      <alignment horizontal="left"/>
      <protection hidden="1"/>
    </xf>
    <xf numFmtId="0" fontId="27" fillId="0" borderId="12" xfId="0" applyFont="1" applyFill="1" applyBorder="1" applyAlignment="1" applyProtection="1">
      <alignment horizontal="left"/>
      <protection hidden="1"/>
    </xf>
    <xf numFmtId="0" fontId="27" fillId="0" borderId="13" xfId="0" applyFont="1" applyFill="1" applyBorder="1" applyAlignment="1" applyProtection="1">
      <alignment horizontal="left"/>
      <protection hidden="1"/>
    </xf>
    <xf numFmtId="0" fontId="3" fillId="0" borderId="14" xfId="0" applyFont="1" applyFill="1" applyBorder="1" applyAlignment="1" applyProtection="1">
      <alignment horizontal="left" wrapText="1"/>
      <protection hidden="1"/>
    </xf>
    <xf numFmtId="0" fontId="3" fillId="0" borderId="19" xfId="0" applyFont="1" applyFill="1" applyBorder="1" applyAlignment="1" applyProtection="1">
      <alignment horizontal="left" wrapText="1"/>
      <protection hidden="1"/>
    </xf>
    <xf numFmtId="0" fontId="3" fillId="0" borderId="15" xfId="0" applyFont="1" applyFill="1" applyBorder="1" applyAlignment="1" applyProtection="1">
      <alignment horizontal="left" wrapText="1"/>
      <protection hidden="1"/>
    </xf>
    <xf numFmtId="0" fontId="3" fillId="0" borderId="24" xfId="0" applyFont="1" applyFill="1" applyBorder="1" applyAlignment="1" applyProtection="1">
      <alignment horizontal="left" wrapText="1"/>
      <protection hidden="1"/>
    </xf>
    <xf numFmtId="0" fontId="3" fillId="0" borderId="14" xfId="0" applyFont="1" applyBorder="1" applyAlignment="1" applyProtection="1">
      <alignment horizontal="left"/>
      <protection hidden="1"/>
    </xf>
    <xf numFmtId="0" fontId="3" fillId="0" borderId="19" xfId="0" applyFont="1" applyBorder="1" applyAlignment="1" applyProtection="1">
      <alignment horizontal="left"/>
      <protection hidden="1"/>
    </xf>
    <xf numFmtId="0" fontId="3" fillId="0" borderId="11" xfId="0" applyFont="1" applyBorder="1" applyAlignment="1" applyProtection="1">
      <alignment horizontal="left"/>
      <protection hidden="1"/>
    </xf>
    <xf numFmtId="0" fontId="29" fillId="24" borderId="14" xfId="0" applyFont="1" applyFill="1" applyBorder="1" applyAlignment="1" applyProtection="1">
      <alignment vertical="center"/>
    </xf>
    <xf numFmtId="0" fontId="29" fillId="24" borderId="19" xfId="0" applyFont="1" applyFill="1" applyBorder="1" applyAlignment="1" applyProtection="1">
      <alignment vertical="center"/>
    </xf>
    <xf numFmtId="0" fontId="29" fillId="24" borderId="11" xfId="0" applyFont="1" applyFill="1" applyBorder="1" applyAlignment="1" applyProtection="1">
      <alignment vertical="center"/>
    </xf>
    <xf numFmtId="0" fontId="27" fillId="0" borderId="14" xfId="0" applyFont="1" applyBorder="1" applyAlignment="1" applyProtection="1">
      <alignment horizontal="left"/>
      <protection hidden="1"/>
    </xf>
    <xf numFmtId="0" fontId="27" fillId="0" borderId="19" xfId="0" applyFont="1" applyBorder="1" applyAlignment="1" applyProtection="1">
      <alignment horizontal="left"/>
      <protection hidden="1"/>
    </xf>
    <xf numFmtId="0" fontId="27" fillId="0" borderId="11" xfId="0" applyFont="1" applyBorder="1" applyAlignment="1" applyProtection="1">
      <alignment horizontal="left"/>
      <protection hidden="1"/>
    </xf>
    <xf numFmtId="0" fontId="29" fillId="24" borderId="14" xfId="0" applyFont="1" applyFill="1" applyBorder="1" applyAlignment="1" applyProtection="1">
      <alignment horizontal="left" vertical="center" wrapText="1"/>
    </xf>
    <xf numFmtId="0" fontId="29" fillId="24" borderId="19" xfId="0" applyFont="1" applyFill="1" applyBorder="1" applyAlignment="1" applyProtection="1">
      <alignment horizontal="left" vertical="center" wrapText="1"/>
    </xf>
    <xf numFmtId="0" fontId="29" fillId="24" borderId="11" xfId="0" applyFont="1" applyFill="1" applyBorder="1" applyAlignment="1" applyProtection="1">
      <alignment horizontal="left" vertical="center" wrapText="1"/>
    </xf>
    <xf numFmtId="0" fontId="29" fillId="0" borderId="10" xfId="0" applyFont="1" applyBorder="1" applyAlignment="1" applyProtection="1">
      <alignment horizontal="left" vertical="center"/>
    </xf>
    <xf numFmtId="0" fontId="27" fillId="0" borderId="14" xfId="0" applyFont="1" applyFill="1" applyBorder="1" applyAlignment="1" applyProtection="1">
      <alignment horizontal="left" vertical="top"/>
    </xf>
    <xf numFmtId="0" fontId="27" fillId="0" borderId="19" xfId="0" applyFont="1" applyFill="1" applyBorder="1" applyAlignment="1" applyProtection="1">
      <alignment horizontal="left" vertical="top"/>
    </xf>
    <xf numFmtId="0" fontId="27" fillId="0" borderId="11" xfId="0" applyFont="1" applyFill="1" applyBorder="1" applyAlignment="1" applyProtection="1">
      <alignment horizontal="left" vertical="top"/>
    </xf>
    <xf numFmtId="0" fontId="29" fillId="24" borderId="14" xfId="0" applyFont="1" applyFill="1" applyBorder="1" applyAlignment="1" applyProtection="1">
      <alignment horizontal="left"/>
    </xf>
    <xf numFmtId="0" fontId="29" fillId="24" borderId="19" xfId="0" applyFont="1" applyFill="1" applyBorder="1" applyAlignment="1" applyProtection="1">
      <alignment horizontal="left"/>
    </xf>
    <xf numFmtId="0" fontId="29" fillId="24" borderId="11" xfId="0" applyFont="1" applyFill="1" applyBorder="1" applyAlignment="1" applyProtection="1">
      <alignment horizontal="left"/>
    </xf>
    <xf numFmtId="1" fontId="5" fillId="25" borderId="14" xfId="0" applyNumberFormat="1" applyFont="1" applyFill="1" applyBorder="1" applyAlignment="1" applyProtection="1">
      <alignment horizontal="left" vertical="center" wrapText="1"/>
      <protection locked="0"/>
    </xf>
    <xf numFmtId="1" fontId="5" fillId="25" borderId="11" xfId="0" applyNumberFormat="1" applyFont="1" applyFill="1" applyBorder="1" applyAlignment="1" applyProtection="1">
      <alignment horizontal="left" vertical="center" wrapText="1"/>
      <protection locked="0"/>
    </xf>
    <xf numFmtId="0" fontId="29" fillId="0" borderId="22" xfId="0" applyFont="1" applyBorder="1" applyAlignment="1" applyProtection="1">
      <alignment horizontal="center" vertical="top"/>
    </xf>
    <xf numFmtId="0" fontId="29" fillId="0" borderId="23" xfId="0" applyFont="1" applyBorder="1" applyAlignment="1" applyProtection="1">
      <alignment horizontal="center" vertical="top"/>
    </xf>
    <xf numFmtId="0" fontId="3" fillId="0" borderId="12" xfId="0" applyFont="1" applyBorder="1" applyAlignment="1" applyProtection="1">
      <alignment horizontal="center" vertical="center" textRotation="90"/>
    </xf>
    <xf numFmtId="0" fontId="27" fillId="0" borderId="14"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11" xfId="0" applyFont="1" applyBorder="1" applyAlignment="1" applyProtection="1">
      <alignment horizontal="left" vertical="center"/>
    </xf>
    <xf numFmtId="0" fontId="27" fillId="0" borderId="14"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3" fillId="0" borderId="14" xfId="0" applyFont="1" applyFill="1" applyBorder="1" applyAlignment="1" applyProtection="1">
      <alignment horizontal="left"/>
    </xf>
    <xf numFmtId="0" fontId="3" fillId="0" borderId="19" xfId="0" applyFont="1" applyFill="1" applyBorder="1" applyAlignment="1" applyProtection="1">
      <alignment horizontal="left"/>
    </xf>
    <xf numFmtId="0" fontId="32" fillId="0" borderId="14" xfId="0" applyFont="1" applyBorder="1" applyAlignment="1">
      <alignment horizontal="center"/>
    </xf>
    <xf numFmtId="0" fontId="32" fillId="0" borderId="19" xfId="0" applyFont="1" applyBorder="1" applyAlignment="1">
      <alignment horizontal="center"/>
    </xf>
    <xf numFmtId="0" fontId="32" fillId="0" borderId="11" xfId="0" applyFont="1" applyBorder="1" applyAlignment="1">
      <alignment horizontal="center"/>
    </xf>
    <xf numFmtId="0" fontId="3" fillId="0" borderId="20" xfId="0" applyFont="1" applyBorder="1" applyAlignment="1" applyProtection="1">
      <alignment horizontal="left" vertical="center"/>
    </xf>
    <xf numFmtId="0" fontId="7" fillId="0" borderId="19"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32" fillId="0" borderId="18" xfId="0" applyFont="1" applyBorder="1" applyAlignment="1">
      <alignment horizontal="center"/>
    </xf>
    <xf numFmtId="0" fontId="32" fillId="0" borderId="22" xfId="0" applyFont="1" applyBorder="1" applyAlignment="1">
      <alignment horizontal="center"/>
    </xf>
    <xf numFmtId="0" fontId="3" fillId="0" borderId="22" xfId="0" applyFont="1" applyFill="1" applyBorder="1" applyAlignment="1" applyProtection="1">
      <alignment horizontal="center" vertical="top"/>
    </xf>
    <xf numFmtId="0" fontId="3" fillId="0" borderId="23" xfId="0" applyFont="1" applyFill="1" applyBorder="1" applyAlignment="1" applyProtection="1">
      <alignment horizontal="center" vertical="top"/>
    </xf>
    <xf numFmtId="0" fontId="3" fillId="0" borderId="16" xfId="0" applyFont="1" applyFill="1" applyBorder="1" applyAlignment="1" applyProtection="1">
      <alignment horizontal="center" vertical="top"/>
    </xf>
    <xf numFmtId="0" fontId="3" fillId="0" borderId="12" xfId="0" applyFont="1" applyFill="1" applyBorder="1" applyAlignment="1" applyProtection="1">
      <alignment horizontal="center" vertical="top"/>
    </xf>
    <xf numFmtId="0" fontId="3" fillId="0" borderId="13" xfId="0" applyFont="1" applyFill="1" applyBorder="1" applyAlignment="1" applyProtection="1">
      <alignment horizontal="center" vertical="top"/>
    </xf>
    <xf numFmtId="0" fontId="3" fillId="0" borderId="14" xfId="0" applyFont="1" applyFill="1" applyBorder="1" applyAlignment="1" applyProtection="1">
      <alignment horizontal="left" vertical="center"/>
      <protection hidden="1"/>
    </xf>
    <xf numFmtId="0" fontId="3" fillId="0" borderId="19" xfId="0" applyFont="1" applyFill="1" applyBorder="1" applyAlignment="1" applyProtection="1">
      <alignment horizontal="left" vertical="center"/>
      <protection hidden="1"/>
    </xf>
    <xf numFmtId="0" fontId="3" fillId="0" borderId="11" xfId="0" applyFont="1" applyFill="1" applyBorder="1" applyAlignment="1" applyProtection="1">
      <alignment horizontal="left" vertical="center"/>
      <protection hidden="1"/>
    </xf>
    <xf numFmtId="0" fontId="27" fillId="0" borderId="14" xfId="0" applyFont="1" applyFill="1" applyBorder="1" applyAlignment="1" applyProtection="1">
      <alignment horizontal="left" vertical="center" wrapText="1"/>
    </xf>
    <xf numFmtId="0" fontId="27" fillId="0" borderId="19"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hidden="1"/>
    </xf>
    <xf numFmtId="0" fontId="3" fillId="0" borderId="19" xfId="0" applyFont="1" applyFill="1" applyBorder="1" applyAlignment="1" applyProtection="1">
      <alignment horizontal="left" vertical="center" wrapText="1"/>
      <protection hidden="1"/>
    </xf>
    <xf numFmtId="0" fontId="3" fillId="0" borderId="15" xfId="0" applyFont="1" applyFill="1" applyBorder="1" applyAlignment="1" applyProtection="1">
      <alignment horizontal="left" vertical="center" wrapText="1"/>
      <protection hidden="1"/>
    </xf>
    <xf numFmtId="0" fontId="3" fillId="0" borderId="24" xfId="0" applyFont="1" applyFill="1" applyBorder="1" applyAlignment="1" applyProtection="1">
      <alignment horizontal="left" vertical="center" wrapText="1"/>
      <protection hidden="1"/>
    </xf>
    <xf numFmtId="0" fontId="3" fillId="0" borderId="22"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103" fillId="0" borderId="14" xfId="0" applyFont="1" applyFill="1" applyBorder="1" applyAlignment="1" applyProtection="1">
      <alignment horizontal="left" vertical="center"/>
    </xf>
    <xf numFmtId="0" fontId="103" fillId="0" borderId="19" xfId="0" applyFont="1" applyFill="1" applyBorder="1" applyAlignment="1" applyProtection="1">
      <alignment horizontal="left" vertical="center"/>
    </xf>
    <xf numFmtId="0" fontId="103" fillId="0" borderId="11" xfId="0" applyFont="1" applyFill="1" applyBorder="1" applyAlignment="1" applyProtection="1">
      <alignment horizontal="left" vertical="center"/>
    </xf>
    <xf numFmtId="0" fontId="27" fillId="0" borderId="18" xfId="0" applyFont="1" applyFill="1" applyBorder="1" applyAlignment="1" applyProtection="1">
      <alignment horizontal="left" vertical="center"/>
    </xf>
    <xf numFmtId="0" fontId="27" fillId="0" borderId="22" xfId="0" applyFont="1" applyFill="1" applyBorder="1" applyAlignment="1" applyProtection="1">
      <alignment horizontal="left" vertical="center"/>
    </xf>
    <xf numFmtId="0" fontId="29" fillId="24" borderId="14" xfId="0" applyFont="1" applyFill="1" applyBorder="1" applyAlignment="1" applyProtection="1">
      <alignment horizontal="left" vertical="top" wrapText="1"/>
    </xf>
    <xf numFmtId="0" fontId="29" fillId="24" borderId="19" xfId="0" applyFont="1" applyFill="1" applyBorder="1" applyAlignment="1" applyProtection="1">
      <alignment horizontal="left" vertical="top" wrapText="1"/>
    </xf>
    <xf numFmtId="0" fontId="29" fillId="24" borderId="11" xfId="0" applyFont="1" applyFill="1" applyBorder="1" applyAlignment="1" applyProtection="1">
      <alignment horizontal="left" vertical="top" wrapText="1"/>
    </xf>
    <xf numFmtId="0" fontId="29" fillId="0" borderId="17" xfId="0" applyFont="1" applyBorder="1" applyAlignment="1" applyProtection="1">
      <alignment vertical="center"/>
    </xf>
    <xf numFmtId="0" fontId="29" fillId="0" borderId="19" xfId="0" applyFont="1" applyBorder="1" applyAlignment="1" applyProtection="1">
      <alignment vertical="center"/>
    </xf>
    <xf numFmtId="0" fontId="29" fillId="0" borderId="11" xfId="0" applyFont="1" applyBorder="1" applyAlignment="1" applyProtection="1">
      <alignment vertical="center"/>
    </xf>
    <xf numFmtId="0" fontId="27" fillId="24" borderId="14" xfId="0" applyFont="1" applyFill="1" applyBorder="1" applyAlignment="1" applyProtection="1">
      <alignment vertical="center"/>
    </xf>
    <xf numFmtId="0" fontId="27" fillId="24" borderId="19" xfId="0" applyFont="1" applyFill="1" applyBorder="1" applyAlignment="1" applyProtection="1">
      <alignment vertical="center"/>
    </xf>
    <xf numFmtId="0" fontId="27" fillId="24" borderId="11" xfId="0" applyFont="1" applyFill="1" applyBorder="1" applyAlignment="1" applyProtection="1">
      <alignment vertical="center"/>
    </xf>
    <xf numFmtId="0" fontId="27" fillId="0" borderId="14" xfId="0" applyFont="1" applyBorder="1" applyAlignment="1" applyProtection="1">
      <alignment vertical="center"/>
    </xf>
    <xf numFmtId="0" fontId="27" fillId="0" borderId="19" xfId="0" applyFont="1" applyBorder="1" applyAlignment="1" applyProtection="1">
      <alignment vertical="center"/>
    </xf>
    <xf numFmtId="0" fontId="27" fillId="0" borderId="11" xfId="0" applyFont="1" applyBorder="1" applyAlignment="1" applyProtection="1">
      <alignment vertical="center"/>
    </xf>
    <xf numFmtId="0" fontId="27" fillId="24" borderId="18" xfId="0" applyFont="1" applyFill="1" applyBorder="1" applyAlignment="1" applyProtection="1">
      <alignment horizontal="left" vertical="center"/>
    </xf>
    <xf numFmtId="0" fontId="27" fillId="24" borderId="22" xfId="0" applyFont="1" applyFill="1" applyBorder="1" applyAlignment="1" applyProtection="1">
      <alignment horizontal="left" vertical="center"/>
    </xf>
    <xf numFmtId="0" fontId="3" fillId="0" borderId="16" xfId="0" applyFont="1" applyBorder="1" applyAlignment="1" applyProtection="1">
      <alignment horizontal="center" vertical="center" textRotation="90"/>
    </xf>
    <xf numFmtId="0" fontId="3" fillId="0" borderId="17" xfId="0" applyFont="1" applyFill="1" applyBorder="1" applyAlignment="1" applyProtection="1">
      <alignment horizontal="left" vertical="center" wrapText="1"/>
    </xf>
    <xf numFmtId="0" fontId="3" fillId="0" borderId="1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11" xfId="0" applyFont="1" applyFill="1" applyBorder="1" applyAlignment="1" applyProtection="1">
      <alignment horizontal="left" wrapText="1"/>
    </xf>
    <xf numFmtId="0" fontId="26" fillId="27" borderId="20" xfId="0" applyFont="1" applyFill="1" applyBorder="1" applyAlignment="1" applyProtection="1">
      <alignment horizontal="center"/>
    </xf>
    <xf numFmtId="0" fontId="26" fillId="27" borderId="15" xfId="0" applyFont="1" applyFill="1" applyBorder="1" applyAlignment="1" applyProtection="1">
      <alignment horizontal="center"/>
    </xf>
    <xf numFmtId="0" fontId="29" fillId="0" borderId="24" xfId="0" applyFont="1" applyBorder="1" applyAlignment="1" applyProtection="1">
      <alignment horizontal="center" vertical="top"/>
    </xf>
    <xf numFmtId="0" fontId="29" fillId="0" borderId="11" xfId="0" applyFont="1" applyBorder="1" applyAlignment="1" applyProtection="1">
      <alignment horizontal="center" vertical="top"/>
    </xf>
    <xf numFmtId="0" fontId="27" fillId="0" borderId="14"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6" fillId="27" borderId="17" xfId="0" applyFont="1" applyFill="1" applyBorder="1" applyAlignment="1">
      <alignment horizontal="center"/>
    </xf>
    <xf numFmtId="0" fontId="26" fillId="27" borderId="19" xfId="0" applyFont="1" applyFill="1" applyBorder="1" applyAlignment="1">
      <alignment horizontal="center"/>
    </xf>
    <xf numFmtId="0" fontId="29" fillId="0" borderId="14" xfId="0" applyFont="1" applyBorder="1" applyAlignment="1">
      <alignment vertical="center"/>
    </xf>
    <xf numFmtId="0" fontId="29" fillId="0" borderId="19" xfId="0" applyFont="1" applyBorder="1" applyAlignment="1">
      <alignment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11" xfId="0" applyFont="1" applyBorder="1" applyAlignment="1">
      <alignment horizontal="center" vertical="center"/>
    </xf>
    <xf numFmtId="0" fontId="3" fillId="0" borderId="11" xfId="0" applyFont="1" applyBorder="1" applyAlignment="1">
      <alignment horizontal="left"/>
    </xf>
    <xf numFmtId="0" fontId="0" fillId="0" borderId="10" xfId="0" applyBorder="1" applyAlignment="1">
      <alignment horizontal="left" vertical="center" wrapText="1"/>
    </xf>
    <xf numFmtId="0" fontId="0" fillId="0" borderId="25" xfId="0" applyBorder="1" applyAlignment="1">
      <alignment horizontal="left" vertical="center" wrapText="1"/>
    </xf>
    <xf numFmtId="0" fontId="97" fillId="0" borderId="10" xfId="0" applyFont="1" applyBorder="1" applyAlignment="1">
      <alignment horizontal="left" vertical="center"/>
    </xf>
    <xf numFmtId="0" fontId="97" fillId="0" borderId="25" xfId="0" applyFont="1" applyBorder="1" applyAlignment="1">
      <alignment horizontal="left" vertical="center"/>
    </xf>
    <xf numFmtId="0" fontId="97" fillId="0" borderId="16" xfId="0" applyFont="1" applyBorder="1" applyAlignment="1">
      <alignment horizontal="left" vertical="center"/>
    </xf>
    <xf numFmtId="0" fontId="97" fillId="0" borderId="27" xfId="0" applyFont="1" applyBorder="1" applyAlignment="1">
      <alignment horizontal="left" vertical="center"/>
    </xf>
    <xf numFmtId="0" fontId="23" fillId="53" borderId="50" xfId="0" applyFont="1" applyFill="1" applyBorder="1" applyAlignment="1">
      <alignment horizontal="left"/>
    </xf>
    <xf numFmtId="0" fontId="23" fillId="53" borderId="13" xfId="0" applyFont="1" applyFill="1" applyBorder="1" applyAlignment="1">
      <alignment horizontal="left"/>
    </xf>
    <xf numFmtId="0" fontId="23" fillId="53" borderId="51" xfId="0" applyFont="1" applyFill="1" applyBorder="1" applyAlignment="1">
      <alignment horizontal="left"/>
    </xf>
    <xf numFmtId="0" fontId="0" fillId="0" borderId="10" xfId="0" applyBorder="1" applyAlignment="1">
      <alignment horizontal="left" vertical="center"/>
    </xf>
    <xf numFmtId="0" fontId="0" fillId="0" borderId="25" xfId="0" applyBorder="1" applyAlignment="1">
      <alignment horizontal="left" vertical="center"/>
    </xf>
    <xf numFmtId="0" fontId="87" fillId="0" borderId="11" xfId="0" applyFont="1" applyBorder="1" applyAlignment="1">
      <alignment wrapText="1"/>
    </xf>
    <xf numFmtId="0" fontId="87" fillId="0" borderId="10" xfId="0" applyFont="1" applyBorder="1" applyAlignment="1">
      <alignment wrapText="1"/>
    </xf>
    <xf numFmtId="0" fontId="88" fillId="0" borderId="11" xfId="0" applyFont="1" applyBorder="1" applyAlignment="1">
      <alignment horizontal="left" vertical="top" wrapText="1"/>
    </xf>
    <xf numFmtId="0" fontId="88" fillId="0" borderId="10" xfId="0" applyFont="1" applyBorder="1" applyAlignment="1">
      <alignment horizontal="left" vertical="top"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96" fillId="0" borderId="35" xfId="0" applyFont="1" applyBorder="1" applyAlignment="1">
      <alignment horizontal="center"/>
    </xf>
    <xf numFmtId="0" fontId="96" fillId="0" borderId="36" xfId="0" applyFont="1" applyBorder="1" applyAlignment="1">
      <alignment horizontal="center"/>
    </xf>
    <xf numFmtId="0" fontId="96" fillId="0" borderId="37" xfId="0" applyFont="1" applyBorder="1" applyAlignment="1">
      <alignment horizontal="center"/>
    </xf>
    <xf numFmtId="0" fontId="23" fillId="53" borderId="45" xfId="0" applyFont="1" applyFill="1" applyBorder="1" applyAlignment="1">
      <alignment horizontal="left"/>
    </xf>
    <xf numFmtId="0" fontId="23" fillId="53" borderId="10" xfId="0" applyFont="1" applyFill="1" applyBorder="1" applyAlignment="1">
      <alignment horizontal="left"/>
    </xf>
    <xf numFmtId="0" fontId="23" fillId="53" borderId="25" xfId="0" applyFont="1" applyFill="1" applyBorder="1" applyAlignment="1">
      <alignment horizontal="left"/>
    </xf>
    <xf numFmtId="0" fontId="97" fillId="0" borderId="10" xfId="0" applyFont="1" applyBorder="1" applyAlignment="1">
      <alignment horizontal="left" vertical="center" wrapText="1"/>
    </xf>
    <xf numFmtId="0" fontId="97" fillId="0" borderId="25" xfId="0" applyFont="1" applyBorder="1" applyAlignment="1">
      <alignment horizontal="left" vertical="center" wrapText="1"/>
    </xf>
    <xf numFmtId="0" fontId="99" fillId="53" borderId="50" xfId="0" applyFont="1" applyFill="1" applyBorder="1" applyAlignment="1">
      <alignment horizontal="left"/>
    </xf>
    <xf numFmtId="0" fontId="99" fillId="53" borderId="13" xfId="0" applyFont="1" applyFill="1" applyBorder="1" applyAlignment="1">
      <alignment horizontal="left"/>
    </xf>
    <xf numFmtId="0" fontId="99" fillId="53" borderId="51" xfId="0" applyFont="1" applyFill="1" applyBorder="1" applyAlignment="1">
      <alignment horizontal="left"/>
    </xf>
    <xf numFmtId="0" fontId="3" fillId="0" borderId="10" xfId="0" applyFont="1" applyFill="1" applyBorder="1" applyAlignment="1" applyProtection="1">
      <alignment vertical="top" wrapText="1"/>
    </xf>
    <xf numFmtId="0" fontId="29" fillId="0" borderId="14" xfId="0" applyFont="1" applyBorder="1" applyAlignment="1">
      <alignment horizontal="center"/>
    </xf>
    <xf numFmtId="0" fontId="29" fillId="0" borderId="19" xfId="0" applyFont="1" applyBorder="1" applyAlignment="1">
      <alignment horizontal="center"/>
    </xf>
    <xf numFmtId="0" fontId="29" fillId="0" borderId="11" xfId="0" applyFont="1" applyBorder="1" applyAlignment="1">
      <alignment horizontal="center"/>
    </xf>
    <xf numFmtId="0" fontId="29" fillId="0" borderId="10" xfId="0" applyFont="1" applyBorder="1" applyAlignment="1">
      <alignment horizontal="center"/>
    </xf>
    <xf numFmtId="0" fontId="29" fillId="0" borderId="10" xfId="0" applyFont="1" applyBorder="1" applyAlignment="1">
      <alignment horizontal="left"/>
    </xf>
    <xf numFmtId="0" fontId="29" fillId="0" borderId="14" xfId="0" applyFont="1" applyBorder="1" applyAlignment="1">
      <alignment horizontal="left"/>
    </xf>
    <xf numFmtId="0" fontId="3" fillId="0" borderId="10" xfId="0" applyFont="1" applyBorder="1" applyAlignment="1">
      <alignment horizontal="center"/>
    </xf>
    <xf numFmtId="0" fontId="29" fillId="0" borderId="10" xfId="0" applyFont="1" applyBorder="1" applyAlignment="1">
      <alignment horizontal="left" vertical="center" wrapText="1"/>
    </xf>
    <xf numFmtId="1" fontId="28" fillId="24" borderId="14" xfId="0" applyNumberFormat="1" applyFont="1" applyFill="1" applyBorder="1" applyAlignment="1">
      <alignment horizontal="right" vertical="center"/>
    </xf>
    <xf numFmtId="1" fontId="28" fillId="24" borderId="11" xfId="0" applyNumberFormat="1" applyFont="1" applyFill="1" applyBorder="1" applyAlignment="1">
      <alignment horizontal="right" vertical="center"/>
    </xf>
    <xf numFmtId="0" fontId="27" fillId="0" borderId="14" xfId="0" applyFont="1" applyBorder="1" applyAlignment="1">
      <alignment horizontal="center"/>
    </xf>
    <xf numFmtId="0" fontId="27" fillId="0" borderId="19" xfId="0" applyFont="1" applyBorder="1" applyAlignment="1">
      <alignment horizontal="center"/>
    </xf>
    <xf numFmtId="0" fontId="27" fillId="0" borderId="11" xfId="0" applyFont="1" applyBorder="1" applyAlignment="1">
      <alignment horizontal="center"/>
    </xf>
    <xf numFmtId="0" fontId="3" fillId="0" borderId="14" xfId="0" applyFont="1" applyFill="1" applyBorder="1" applyAlignment="1">
      <alignment horizontal="left"/>
    </xf>
    <xf numFmtId="0" fontId="3" fillId="0" borderId="19" xfId="0" applyFont="1" applyFill="1" applyBorder="1" applyAlignment="1">
      <alignment horizontal="left"/>
    </xf>
    <xf numFmtId="0" fontId="3" fillId="0" borderId="11" xfId="0" applyFont="1" applyFill="1" applyBorder="1" applyAlignment="1">
      <alignment horizontal="left"/>
    </xf>
    <xf numFmtId="0" fontId="26" fillId="27" borderId="14" xfId="0" applyFont="1" applyFill="1" applyBorder="1"/>
    <xf numFmtId="0" fontId="26" fillId="27" borderId="19" xfId="0" applyFont="1" applyFill="1" applyBorder="1"/>
    <xf numFmtId="0" fontId="29" fillId="0" borderId="17" xfId="0" applyFont="1" applyBorder="1" applyAlignment="1">
      <alignment horizontal="center" vertical="top"/>
    </xf>
    <xf numFmtId="0" fontId="29" fillId="0" borderId="21" xfId="0" applyFont="1" applyBorder="1" applyAlignment="1">
      <alignment horizontal="center" vertical="top"/>
    </xf>
    <xf numFmtId="0" fontId="29" fillId="0" borderId="20" xfId="0" applyFont="1" applyBorder="1" applyAlignment="1">
      <alignment horizontal="center"/>
    </xf>
    <xf numFmtId="0" fontId="29" fillId="0" borderId="15" xfId="0" applyFont="1" applyBorder="1" applyAlignment="1">
      <alignment horizontal="center"/>
    </xf>
    <xf numFmtId="0" fontId="29" fillId="0" borderId="24" xfId="0" applyFont="1" applyBorder="1" applyAlignment="1">
      <alignment horizontal="center"/>
    </xf>
    <xf numFmtId="0" fontId="3" fillId="24" borderId="21" xfId="0" applyFont="1" applyFill="1" applyBorder="1" applyAlignment="1">
      <alignment vertical="center" textRotation="90"/>
    </xf>
    <xf numFmtId="0" fontId="3" fillId="24" borderId="20" xfId="0" applyFont="1" applyFill="1" applyBorder="1" applyAlignment="1">
      <alignment vertical="center" textRotation="90"/>
    </xf>
    <xf numFmtId="0" fontId="32" fillId="24" borderId="14" xfId="0" applyFont="1" applyFill="1" applyBorder="1" applyAlignment="1">
      <alignment horizontal="center"/>
    </xf>
    <xf numFmtId="0" fontId="32" fillId="24" borderId="19" xfId="0" applyFont="1" applyFill="1" applyBorder="1" applyAlignment="1">
      <alignment horizontal="center"/>
    </xf>
    <xf numFmtId="0" fontId="29" fillId="0" borderId="19" xfId="0" applyFont="1" applyBorder="1" applyAlignment="1">
      <alignment horizontal="left"/>
    </xf>
    <xf numFmtId="0" fontId="29" fillId="0" borderId="15" xfId="0" applyFont="1" applyBorder="1" applyAlignment="1">
      <alignment horizontal="left"/>
    </xf>
    <xf numFmtId="0" fontId="29" fillId="0" borderId="24" xfId="0" applyFont="1" applyBorder="1" applyAlignment="1">
      <alignment horizontal="left"/>
    </xf>
    <xf numFmtId="0" fontId="29" fillId="0" borderId="13" xfId="0" applyFont="1" applyBorder="1" applyAlignment="1">
      <alignment horizontal="left" vertical="center"/>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3" fillId="0" borderId="14" xfId="0" applyNumberFormat="1" applyFont="1" applyFill="1" applyBorder="1" applyAlignment="1" applyProtection="1">
      <alignment horizontal="left" vertical="center" wrapText="1"/>
    </xf>
    <xf numFmtId="0" fontId="3" fillId="0" borderId="1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27" fillId="0" borderId="14" xfId="0" applyFont="1" applyBorder="1" applyAlignment="1">
      <alignment horizontal="left"/>
    </xf>
    <xf numFmtId="0" fontId="27" fillId="0" borderId="19" xfId="0" applyFont="1" applyBorder="1" applyAlignment="1">
      <alignment horizontal="left"/>
    </xf>
    <xf numFmtId="0" fontId="27" fillId="0" borderId="11" xfId="0" applyFont="1" applyBorder="1" applyAlignment="1">
      <alignment horizontal="left"/>
    </xf>
    <xf numFmtId="0" fontId="5" fillId="25" borderId="14" xfId="0" applyFont="1" applyFill="1" applyBorder="1" applyAlignment="1" applyProtection="1">
      <alignment horizontal="left" vertical="center" wrapText="1"/>
      <protection locked="0"/>
    </xf>
    <xf numFmtId="0" fontId="5" fillId="25" borderId="11" xfId="0" applyFont="1" applyFill="1" applyBorder="1" applyAlignment="1" applyProtection="1">
      <alignment horizontal="left" vertical="center" wrapText="1"/>
      <protection locked="0"/>
    </xf>
    <xf numFmtId="0" fontId="26" fillId="27" borderId="0" xfId="0" applyFont="1" applyFill="1" applyBorder="1" applyAlignment="1">
      <alignment horizont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right"/>
    </xf>
    <xf numFmtId="0" fontId="3" fillId="0" borderId="11" xfId="0" applyFont="1" applyBorder="1" applyAlignment="1">
      <alignment horizontal="right"/>
    </xf>
    <xf numFmtId="0" fontId="26" fillId="27" borderId="14" xfId="0" applyFont="1" applyFill="1" applyBorder="1" applyAlignment="1">
      <alignment horizontal="center"/>
    </xf>
    <xf numFmtId="0" fontId="26" fillId="27" borderId="11" xfId="0" applyFont="1" applyFill="1" applyBorder="1" applyAlignment="1">
      <alignment horizontal="center"/>
    </xf>
    <xf numFmtId="0" fontId="3" fillId="0" borderId="14" xfId="0" applyFont="1" applyBorder="1" applyAlignment="1">
      <alignment wrapText="1"/>
    </xf>
    <xf numFmtId="0" fontId="3" fillId="0" borderId="19" xfId="0" applyFont="1" applyBorder="1" applyAlignment="1">
      <alignment wrapText="1"/>
    </xf>
    <xf numFmtId="0" fontId="3" fillId="0" borderId="11" xfId="0" applyFont="1" applyBorder="1" applyAlignment="1">
      <alignment wrapText="1"/>
    </xf>
    <xf numFmtId="0" fontId="3" fillId="0" borderId="10" xfId="0" applyFont="1" applyBorder="1" applyAlignment="1" applyProtection="1"/>
    <xf numFmtId="0" fontId="5" fillId="26" borderId="16" xfId="0" applyFont="1" applyFill="1" applyBorder="1" applyAlignment="1" applyProtection="1">
      <alignment horizontal="center" vertical="center" wrapText="1"/>
      <protection hidden="1"/>
    </xf>
    <xf numFmtId="0" fontId="5" fillId="26" borderId="12" xfId="0" applyFont="1" applyFill="1" applyBorder="1" applyAlignment="1" applyProtection="1">
      <alignment horizontal="center" vertical="center" wrapText="1"/>
      <protection hidden="1"/>
    </xf>
    <xf numFmtId="0" fontId="27" fillId="0" borderId="15" xfId="0" applyFont="1" applyBorder="1" applyAlignment="1">
      <alignment horizontal="left" vertical="top"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xf>
    <xf numFmtId="0" fontId="32" fillId="24" borderId="30" xfId="0" applyFont="1" applyFill="1" applyBorder="1" applyAlignment="1">
      <alignment horizontal="center"/>
    </xf>
    <xf numFmtId="0" fontId="26" fillId="27" borderId="35" xfId="0" applyFont="1" applyFill="1" applyBorder="1" applyAlignment="1">
      <alignment vertical="center" wrapText="1"/>
    </xf>
    <xf numFmtId="0" fontId="26" fillId="27" borderId="36" xfId="0" applyFont="1" applyFill="1" applyBorder="1" applyAlignment="1">
      <alignment vertical="center" wrapText="1"/>
    </xf>
    <xf numFmtId="0" fontId="3" fillId="0" borderId="15" xfId="0" applyFont="1" applyBorder="1" applyAlignment="1">
      <alignment horizontal="center"/>
    </xf>
    <xf numFmtId="0" fontId="3" fillId="0" borderId="24" xfId="0" applyFont="1" applyBorder="1" applyAlignment="1">
      <alignment horizontal="center"/>
    </xf>
    <xf numFmtId="0" fontId="32" fillId="24" borderId="11" xfId="0" applyFont="1" applyFill="1" applyBorder="1" applyAlignment="1">
      <alignment horizontal="center"/>
    </xf>
    <xf numFmtId="0" fontId="29" fillId="0" borderId="0" xfId="0" applyFont="1" applyBorder="1" applyAlignment="1">
      <alignment horizontal="left" vertical="center"/>
    </xf>
    <xf numFmtId="0" fontId="26" fillId="27" borderId="17" xfId="0" applyFont="1" applyFill="1" applyBorder="1" applyAlignment="1"/>
    <xf numFmtId="0" fontId="26" fillId="27" borderId="19" xfId="0" applyFont="1" applyFill="1" applyBorder="1" applyAlignment="1"/>
    <xf numFmtId="0" fontId="26" fillId="27" borderId="11" xfId="0" applyFont="1" applyFill="1" applyBorder="1" applyAlignment="1"/>
    <xf numFmtId="0" fontId="29" fillId="24" borderId="14" xfId="0" applyFont="1" applyFill="1" applyBorder="1" applyAlignment="1">
      <alignment horizontal="left" vertical="center" wrapText="1"/>
    </xf>
    <xf numFmtId="0" fontId="29" fillId="24" borderId="19" xfId="0" applyFont="1" applyFill="1" applyBorder="1" applyAlignment="1">
      <alignment horizontal="left" vertical="center" wrapText="1"/>
    </xf>
    <xf numFmtId="0" fontId="29" fillId="24" borderId="11" xfId="0" applyFont="1" applyFill="1" applyBorder="1" applyAlignment="1">
      <alignment horizontal="left" vertical="center" wrapText="1"/>
    </xf>
    <xf numFmtId="0" fontId="82" fillId="24" borderId="16" xfId="0" applyFont="1" applyFill="1" applyBorder="1" applyAlignment="1">
      <alignment horizontal="center" vertical="center" textRotation="90" wrapText="1"/>
    </xf>
    <xf numFmtId="0" fontId="82" fillId="24" borderId="12" xfId="0" applyFont="1" applyFill="1" applyBorder="1" applyAlignment="1">
      <alignment horizontal="center" vertical="center" textRotation="90" wrapText="1"/>
    </xf>
    <xf numFmtId="0" fontId="7" fillId="24" borderId="17" xfId="0" applyFont="1" applyFill="1" applyBorder="1" applyAlignment="1">
      <alignment horizontal="left" vertical="center"/>
    </xf>
    <xf numFmtId="0" fontId="7" fillId="24" borderId="18" xfId="0" applyFont="1" applyFill="1" applyBorder="1" applyAlignment="1">
      <alignment horizontal="left" vertical="center"/>
    </xf>
    <xf numFmtId="0" fontId="7" fillId="24" borderId="22" xfId="0" applyFont="1" applyFill="1" applyBorder="1" applyAlignment="1">
      <alignment horizontal="left" vertical="center"/>
    </xf>
    <xf numFmtId="0" fontId="7" fillId="24" borderId="21" xfId="0" applyFont="1" applyFill="1" applyBorder="1" applyAlignment="1">
      <alignment horizontal="left" vertical="center"/>
    </xf>
    <xf numFmtId="0" fontId="7" fillId="24" borderId="0" xfId="0" applyFont="1" applyFill="1" applyBorder="1" applyAlignment="1">
      <alignment horizontal="left" vertical="center"/>
    </xf>
    <xf numFmtId="0" fontId="7" fillId="24" borderId="23" xfId="0" applyFont="1" applyFill="1" applyBorder="1" applyAlignment="1">
      <alignment horizontal="left" vertical="center"/>
    </xf>
    <xf numFmtId="0" fontId="7" fillId="24" borderId="20" xfId="0" applyFont="1" applyFill="1" applyBorder="1" applyAlignment="1">
      <alignment horizontal="left" vertical="center"/>
    </xf>
    <xf numFmtId="0" fontId="7" fillId="24" borderId="15" xfId="0" applyFont="1" applyFill="1" applyBorder="1" applyAlignment="1">
      <alignment horizontal="left" vertical="center"/>
    </xf>
    <xf numFmtId="0" fontId="7" fillId="24" borderId="24" xfId="0" applyFont="1" applyFill="1" applyBorder="1" applyAlignment="1">
      <alignment horizontal="left" vertical="center"/>
    </xf>
    <xf numFmtId="0" fontId="29" fillId="0" borderId="10" xfId="0" applyFont="1" applyBorder="1" applyAlignment="1">
      <alignment vertical="center"/>
    </xf>
    <xf numFmtId="0" fontId="29" fillId="0" borderId="11" xfId="0" applyFont="1" applyBorder="1" applyAlignment="1">
      <alignment horizontal="left"/>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29" fillId="24" borderId="14" xfId="0" applyFont="1" applyFill="1" applyBorder="1" applyAlignment="1">
      <alignment horizontal="left"/>
    </xf>
    <xf numFmtId="0" fontId="29" fillId="24" borderId="19" xfId="0" applyFont="1" applyFill="1" applyBorder="1" applyAlignment="1">
      <alignment horizontal="left"/>
    </xf>
    <xf numFmtId="0" fontId="29" fillId="24" borderId="11" xfId="0" applyFont="1" applyFill="1" applyBorder="1" applyAlignment="1">
      <alignment horizontal="left"/>
    </xf>
    <xf numFmtId="0" fontId="29" fillId="0" borderId="10" xfId="0" applyFont="1" applyBorder="1"/>
    <xf numFmtId="0" fontId="29" fillId="0" borderId="20" xfId="0" applyFont="1" applyBorder="1"/>
    <xf numFmtId="0" fontId="29" fillId="0" borderId="15" xfId="0" applyFont="1" applyBorder="1"/>
    <xf numFmtId="0" fontId="29" fillId="0" borderId="24" xfId="0" applyFont="1" applyBorder="1"/>
    <xf numFmtId="0" fontId="29" fillId="0" borderId="14" xfId="0" applyFont="1" applyBorder="1"/>
    <xf numFmtId="0" fontId="29" fillId="0" borderId="19" xfId="0" applyFont="1" applyBorder="1"/>
    <xf numFmtId="0" fontId="29" fillId="0" borderId="11" xfId="0" applyFont="1" applyBorder="1"/>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29" fillId="0" borderId="14" xfId="0" applyFont="1" applyBorder="1" applyAlignment="1">
      <alignment horizontal="left" vertical="top" wrapText="1"/>
    </xf>
    <xf numFmtId="0" fontId="29" fillId="0" borderId="19" xfId="0" applyFont="1" applyBorder="1" applyAlignment="1">
      <alignment horizontal="left" vertical="top" wrapText="1"/>
    </xf>
    <xf numFmtId="0" fontId="29" fillId="0" borderId="11" xfId="0" applyFont="1" applyBorder="1" applyAlignment="1">
      <alignment horizontal="left" vertical="top" wrapText="1"/>
    </xf>
    <xf numFmtId="0" fontId="7" fillId="0" borderId="14"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29" fillId="0" borderId="14" xfId="0" applyFont="1" applyBorder="1" applyAlignment="1" applyProtection="1">
      <alignment horizontal="left" vertical="center"/>
      <protection hidden="1"/>
    </xf>
    <xf numFmtId="0" fontId="29" fillId="0" borderId="19" xfId="0" applyFont="1" applyBorder="1" applyAlignment="1" applyProtection="1">
      <alignment horizontal="left" vertical="center"/>
      <protection hidden="1"/>
    </xf>
    <xf numFmtId="0" fontId="29" fillId="0" borderId="11" xfId="0" applyFont="1" applyBorder="1" applyAlignment="1" applyProtection="1">
      <alignment horizontal="left" vertical="center"/>
      <protection hidden="1"/>
    </xf>
    <xf numFmtId="0" fontId="7" fillId="0" borderId="10" xfId="0" applyFont="1" applyBorder="1" applyAlignment="1" applyProtection="1">
      <alignment horizontal="center" vertical="center" wrapText="1"/>
      <protection hidden="1"/>
    </xf>
    <xf numFmtId="0" fontId="3" fillId="0" borderId="14" xfId="0" applyFont="1" applyBorder="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3" fillId="0" borderId="11" xfId="0" applyFont="1" applyBorder="1" applyAlignment="1" applyProtection="1">
      <alignment horizontal="left" vertical="center"/>
      <protection hidden="1"/>
    </xf>
    <xf numFmtId="0" fontId="29" fillId="0" borderId="14" xfId="0" applyFont="1" applyBorder="1" applyAlignment="1" applyProtection="1">
      <alignment horizontal="left" vertical="top" wrapText="1"/>
      <protection hidden="1"/>
    </xf>
    <xf numFmtId="0" fontId="29" fillId="0" borderId="19" xfId="0" applyFont="1" applyBorder="1" applyAlignment="1" applyProtection="1">
      <alignment horizontal="left" vertical="top" wrapText="1"/>
      <protection hidden="1"/>
    </xf>
    <xf numFmtId="0" fontId="29" fillId="0" borderId="11" xfId="0" applyFont="1" applyBorder="1" applyAlignment="1" applyProtection="1">
      <alignment horizontal="left" vertical="top" wrapText="1"/>
      <protection hidden="1"/>
    </xf>
    <xf numFmtId="0" fontId="29" fillId="0" borderId="11" xfId="0" applyFont="1" applyBorder="1" applyAlignment="1" applyProtection="1">
      <alignment horizontal="center" vertical="center" wrapText="1"/>
      <protection hidden="1"/>
    </xf>
    <xf numFmtId="0" fontId="7" fillId="24" borderId="14" xfId="0" applyFont="1" applyFill="1" applyBorder="1" applyAlignment="1">
      <alignment horizontal="left"/>
    </xf>
    <xf numFmtId="0" fontId="7" fillId="24" borderId="19" xfId="0" applyFont="1" applyFill="1" applyBorder="1" applyAlignment="1">
      <alignment horizontal="left"/>
    </xf>
    <xf numFmtId="0" fontId="7" fillId="24" borderId="11" xfId="0" applyFont="1" applyFill="1" applyBorder="1" applyAlignment="1">
      <alignment horizontal="left"/>
    </xf>
    <xf numFmtId="0" fontId="27" fillId="0" borderId="19" xfId="0" applyFont="1" applyBorder="1" applyAlignment="1">
      <alignment horizontal="left" vertical="center" wrapText="1" shrinkToFit="1"/>
    </xf>
    <xf numFmtId="0" fontId="27" fillId="0" borderId="11" xfId="0" applyFont="1" applyBorder="1" applyAlignment="1">
      <alignment horizontal="left" vertical="center" wrapText="1" shrinkToFit="1"/>
    </xf>
    <xf numFmtId="0" fontId="5" fillId="48" borderId="10" xfId="0" applyFont="1" applyFill="1" applyBorder="1" applyAlignment="1" applyProtection="1">
      <alignment horizontal="left" vertical="center" wrapText="1"/>
      <protection locked="0"/>
    </xf>
    <xf numFmtId="0" fontId="83" fillId="0" borderId="14" xfId="803" applyFont="1" applyBorder="1" applyAlignment="1" applyProtection="1">
      <alignment horizontal="left" vertical="center" wrapText="1"/>
    </xf>
    <xf numFmtId="0" fontId="83" fillId="0" borderId="19" xfId="803" applyFont="1" applyBorder="1" applyAlignment="1" applyProtection="1">
      <alignment horizontal="left" vertical="center"/>
    </xf>
    <xf numFmtId="0" fontId="83" fillId="0" borderId="11" xfId="803" applyFont="1" applyBorder="1" applyAlignment="1" applyProtection="1">
      <alignment horizontal="left" vertical="center"/>
    </xf>
    <xf numFmtId="0" fontId="104" fillId="0" borderId="14" xfId="803" applyFont="1" applyBorder="1" applyAlignment="1" applyProtection="1">
      <alignment horizontal="left" vertical="center" wrapText="1"/>
    </xf>
    <xf numFmtId="0" fontId="104" fillId="0" borderId="19" xfId="803" applyFont="1" applyBorder="1" applyAlignment="1" applyProtection="1">
      <alignment horizontal="left" vertical="center" wrapText="1"/>
    </xf>
    <xf numFmtId="0" fontId="3" fillId="0" borderId="14" xfId="0" applyFont="1" applyBorder="1"/>
    <xf numFmtId="0" fontId="3" fillId="0" borderId="19" xfId="0" applyFont="1" applyBorder="1"/>
    <xf numFmtId="0" fontId="3" fillId="0" borderId="21" xfId="0" applyFont="1" applyBorder="1" applyAlignment="1">
      <alignment horizontal="center" vertical="center" textRotation="90" wrapText="1"/>
    </xf>
    <xf numFmtId="0" fontId="83" fillId="0" borderId="14" xfId="803" applyFont="1" applyBorder="1" applyAlignment="1" applyProtection="1">
      <alignment horizontal="left" vertical="center"/>
    </xf>
    <xf numFmtId="0" fontId="26" fillId="27" borderId="17" xfId="0" applyFont="1" applyFill="1" applyBorder="1" applyAlignment="1">
      <alignment horizontal="left" vertical="center"/>
    </xf>
    <xf numFmtId="0" fontId="26" fillId="27" borderId="18" xfId="0" applyFont="1" applyFill="1" applyBorder="1" applyAlignment="1">
      <alignment horizontal="left" vertical="center"/>
    </xf>
    <xf numFmtId="0" fontId="26" fillId="27" borderId="20" xfId="0" applyFont="1" applyFill="1" applyBorder="1" applyAlignment="1">
      <alignment horizontal="left" vertical="center"/>
    </xf>
    <xf numFmtId="0" fontId="5" fillId="24" borderId="18" xfId="0" applyFont="1" applyFill="1" applyBorder="1" applyAlignment="1">
      <alignment horizontal="center"/>
    </xf>
    <xf numFmtId="0" fontId="5" fillId="24" borderId="15" xfId="0" applyFont="1" applyFill="1" applyBorder="1" applyAlignment="1">
      <alignment horizontal="center"/>
    </xf>
    <xf numFmtId="0" fontId="3" fillId="24" borderId="16" xfId="0" applyFont="1" applyFill="1" applyBorder="1" applyAlignment="1">
      <alignment horizontal="center" vertical="center" textRotation="90" wrapText="1"/>
    </xf>
    <xf numFmtId="0" fontId="3" fillId="24" borderId="12" xfId="0" applyFont="1" applyFill="1" applyBorder="1" applyAlignment="1">
      <alignment horizontal="center" vertical="center" textRotation="90" wrapText="1"/>
    </xf>
    <xf numFmtId="0" fontId="3" fillId="0" borderId="12" xfId="0" applyFont="1" applyBorder="1" applyAlignment="1">
      <alignment horizontal="center"/>
    </xf>
    <xf numFmtId="0" fontId="26" fillId="27" borderId="14" xfId="0" applyFont="1" applyFill="1" applyBorder="1" applyAlignment="1">
      <alignment horizontal="left" vertical="center"/>
    </xf>
    <xf numFmtId="0" fontId="26" fillId="27" borderId="19" xfId="0" applyFont="1" applyFill="1" applyBorder="1" applyAlignment="1">
      <alignment horizontal="left" vertical="center"/>
    </xf>
    <xf numFmtId="0" fontId="3" fillId="24" borderId="16" xfId="0" applyFont="1" applyFill="1" applyBorder="1" applyAlignment="1">
      <alignment horizontal="center" textRotation="90" wrapText="1"/>
    </xf>
    <xf numFmtId="0" fontId="3" fillId="24" borderId="12" xfId="0" applyFont="1" applyFill="1" applyBorder="1" applyAlignment="1">
      <alignment horizontal="center" textRotation="90" wrapText="1"/>
    </xf>
    <xf numFmtId="0" fontId="3" fillId="0" borderId="24" xfId="0" applyFont="1" applyBorder="1" applyAlignment="1">
      <alignment horizontal="center" vertical="center"/>
    </xf>
    <xf numFmtId="0" fontId="26" fillId="27" borderId="24" xfId="0" applyFont="1" applyFill="1" applyBorder="1" applyAlignment="1">
      <alignment horizontal="left" vertical="center"/>
    </xf>
    <xf numFmtId="0" fontId="27" fillId="0" borderId="20" xfId="0" applyFont="1" applyBorder="1" applyAlignment="1">
      <alignment horizontal="left" vertical="center" wrapText="1"/>
    </xf>
    <xf numFmtId="0" fontId="3" fillId="0" borderId="14" xfId="0" applyFont="1" applyBorder="1" applyAlignment="1">
      <alignment horizontal="left" wrapText="1"/>
    </xf>
    <xf numFmtId="0" fontId="3" fillId="0" borderId="19" xfId="0" applyFont="1" applyBorder="1" applyAlignment="1">
      <alignment horizontal="left" wrapText="1"/>
    </xf>
    <xf numFmtId="1" fontId="28" fillId="24" borderId="10" xfId="0" applyNumberFormat="1" applyFont="1" applyFill="1" applyBorder="1" applyAlignment="1" applyProtection="1">
      <alignment horizontal="right" vertical="center"/>
      <protection hidden="1"/>
    </xf>
    <xf numFmtId="0" fontId="26" fillId="27" borderId="18" xfId="0" applyFont="1" applyFill="1" applyBorder="1" applyAlignment="1">
      <alignment horizontal="center" vertical="center"/>
    </xf>
    <xf numFmtId="0" fontId="3" fillId="0" borderId="21" xfId="0" applyFont="1" applyBorder="1" applyAlignment="1">
      <alignment horizontal="center" vertical="center" textRotation="90"/>
    </xf>
    <xf numFmtId="0" fontId="3" fillId="0" borderId="20" xfId="0" applyFont="1" applyBorder="1" applyAlignment="1">
      <alignment horizontal="center" vertical="center" textRotation="90"/>
    </xf>
    <xf numFmtId="0" fontId="27" fillId="0" borderId="13" xfId="0" applyFont="1" applyBorder="1" applyAlignment="1">
      <alignment horizontal="left" vertical="center"/>
    </xf>
    <xf numFmtId="165" fontId="29" fillId="0" borderId="16" xfId="0" applyNumberFormat="1" applyFont="1" applyBorder="1" applyAlignment="1">
      <alignment horizontal="center" vertical="top"/>
    </xf>
    <xf numFmtId="165" fontId="29" fillId="0" borderId="12" xfId="0" applyNumberFormat="1" applyFont="1" applyBorder="1" applyAlignment="1">
      <alignment horizontal="center" vertical="top"/>
    </xf>
    <xf numFmtId="0" fontId="27" fillId="0" borderId="15" xfId="0" applyFont="1" applyBorder="1" applyAlignment="1">
      <alignment horizontal="left" vertical="center" wrapText="1"/>
    </xf>
    <xf numFmtId="1" fontId="27" fillId="24" borderId="10" xfId="0" applyNumberFormat="1" applyFont="1" applyFill="1" applyBorder="1" applyAlignment="1" applyProtection="1">
      <alignment horizontal="right" vertical="center"/>
      <protection hidden="1"/>
    </xf>
    <xf numFmtId="0" fontId="29" fillId="0" borderId="10" xfId="0" applyFont="1" applyBorder="1" applyAlignment="1">
      <alignment horizontal="left" vertical="top" wrapText="1"/>
    </xf>
    <xf numFmtId="0" fontId="29" fillId="0" borderId="13" xfId="0" applyFont="1" applyBorder="1" applyAlignment="1">
      <alignment horizontal="left"/>
    </xf>
    <xf numFmtId="0" fontId="29" fillId="0" borderId="17" xfId="0" applyFont="1" applyBorder="1" applyAlignment="1">
      <alignment horizontal="left" vertical="center" wrapText="1"/>
    </xf>
    <xf numFmtId="0" fontId="29" fillId="0" borderId="22" xfId="0" applyFont="1" applyBorder="1" applyAlignment="1">
      <alignment horizontal="left" vertical="center" wrapText="1"/>
    </xf>
    <xf numFmtId="0" fontId="29"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7" fillId="0" borderId="24" xfId="0" applyFont="1" applyBorder="1" applyAlignment="1">
      <alignment horizontal="left" vertic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left" vertical="center"/>
    </xf>
    <xf numFmtId="0" fontId="3" fillId="0" borderId="22" xfId="0" applyFont="1" applyBorder="1" applyAlignment="1">
      <alignment horizontal="left" vertical="center"/>
    </xf>
    <xf numFmtId="0" fontId="0" fillId="0" borderId="0" xfId="0" applyBorder="1"/>
    <xf numFmtId="0" fontId="0" fillId="0" borderId="30" xfId="0" applyBorder="1"/>
    <xf numFmtId="0" fontId="26" fillId="27" borderId="11" xfId="0" applyFont="1" applyFill="1" applyBorder="1" applyAlignment="1">
      <alignment horizontal="left" vertical="center"/>
    </xf>
    <xf numFmtId="0" fontId="29" fillId="24" borderId="10" xfId="0" applyFont="1" applyFill="1" applyBorder="1" applyAlignment="1">
      <alignment horizontal="left" vertical="center"/>
    </xf>
    <xf numFmtId="0" fontId="7" fillId="24" borderId="10" xfId="0" applyFont="1" applyFill="1" applyBorder="1" applyAlignment="1">
      <alignment horizontal="center" vertical="top" wrapText="1"/>
    </xf>
    <xf numFmtId="0" fontId="7" fillId="24" borderId="16" xfId="0" applyFont="1" applyFill="1" applyBorder="1" applyAlignment="1">
      <alignment horizontal="center" vertical="top" wrapText="1"/>
    </xf>
    <xf numFmtId="0" fontId="7" fillId="24" borderId="13" xfId="0" applyFont="1" applyFill="1" applyBorder="1" applyAlignment="1">
      <alignment horizontal="center" vertical="top"/>
    </xf>
    <xf numFmtId="0" fontId="7" fillId="0" borderId="16" xfId="0" applyFont="1" applyBorder="1" applyAlignment="1" applyProtection="1">
      <alignment horizontal="center" vertical="top" wrapText="1"/>
    </xf>
    <xf numFmtId="0" fontId="7" fillId="0" borderId="13" xfId="0" applyFont="1" applyBorder="1" applyAlignment="1" applyProtection="1">
      <alignment horizontal="center" vertical="top" wrapText="1"/>
    </xf>
    <xf numFmtId="0" fontId="7" fillId="24" borderId="10" xfId="0" applyFont="1" applyFill="1" applyBorder="1" applyAlignment="1">
      <alignment horizontal="center" vertical="center" wrapText="1"/>
    </xf>
    <xf numFmtId="0" fontId="7" fillId="24" borderId="10" xfId="0" applyFont="1" applyFill="1" applyBorder="1" applyAlignment="1">
      <alignment horizontal="center" vertical="center"/>
    </xf>
    <xf numFmtId="0" fontId="7" fillId="24" borderId="16" xfId="0" applyFont="1" applyFill="1" applyBorder="1" applyAlignment="1">
      <alignment horizontal="center" vertical="center" wrapText="1"/>
    </xf>
    <xf numFmtId="0" fontId="7" fillId="24" borderId="13" xfId="0" applyFont="1" applyFill="1" applyBorder="1" applyAlignment="1">
      <alignment horizontal="center" vertical="center"/>
    </xf>
    <xf numFmtId="0" fontId="7" fillId="24" borderId="10" xfId="0" applyFont="1" applyFill="1" applyBorder="1" applyAlignment="1">
      <alignment horizontal="center" vertical="top"/>
    </xf>
    <xf numFmtId="0" fontId="7" fillId="24" borderId="13" xfId="0" applyFont="1" applyFill="1" applyBorder="1" applyAlignment="1">
      <alignment horizontal="center" vertical="top" wrapText="1"/>
    </xf>
    <xf numFmtId="0" fontId="29" fillId="24" borderId="10" xfId="0" applyFont="1" applyFill="1" applyBorder="1"/>
    <xf numFmtId="0" fontId="7" fillId="0" borderId="12" xfId="0" applyFont="1" applyFill="1" applyBorder="1" applyAlignment="1">
      <alignment horizontal="center" vertical="top" wrapText="1"/>
    </xf>
    <xf numFmtId="0" fontId="7" fillId="0" borderId="13" xfId="0" applyFont="1" applyFill="1" applyBorder="1" applyAlignment="1">
      <alignment horizontal="center" vertical="top" wrapText="1"/>
    </xf>
    <xf numFmtId="0" fontId="29" fillId="24" borderId="10" xfId="0" applyFont="1" applyFill="1" applyBorder="1" applyAlignment="1">
      <alignment horizontal="center" vertical="top" wrapText="1"/>
    </xf>
    <xf numFmtId="0" fontId="29" fillId="24" borderId="10" xfId="0" applyFont="1" applyFill="1" applyBorder="1" applyAlignment="1">
      <alignment horizontal="center" vertical="top"/>
    </xf>
    <xf numFmtId="0" fontId="29" fillId="24" borderId="10" xfId="0" applyFont="1" applyFill="1" applyBorder="1" applyAlignment="1">
      <alignment horizontal="center" vertical="center" wrapText="1"/>
    </xf>
    <xf numFmtId="0" fontId="29" fillId="24" borderId="10" xfId="0" applyFont="1" applyFill="1" applyBorder="1" applyAlignment="1">
      <alignment horizontal="center" vertical="center"/>
    </xf>
    <xf numFmtId="0" fontId="3" fillId="24" borderId="16" xfId="0" applyFont="1" applyFill="1" applyBorder="1" applyAlignment="1">
      <alignment vertical="center"/>
    </xf>
    <xf numFmtId="0" fontId="3" fillId="24" borderId="12" xfId="0" applyFont="1" applyFill="1" applyBorder="1" applyAlignment="1">
      <alignment vertical="center"/>
    </xf>
    <xf numFmtId="0" fontId="3" fillId="24" borderId="13" xfId="0" applyFont="1" applyFill="1" applyBorder="1" applyAlignment="1">
      <alignment vertical="center"/>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29" fillId="0" borderId="13" xfId="0" applyFont="1" applyBorder="1" applyAlignment="1">
      <alignment horizontal="center" vertical="top" wrapText="1"/>
    </xf>
    <xf numFmtId="0" fontId="29" fillId="0" borderId="10" xfId="0" applyFont="1" applyBorder="1" applyAlignment="1">
      <alignment horizontal="center" vertical="top" wrapText="1"/>
    </xf>
    <xf numFmtId="0" fontId="7" fillId="0" borderId="12" xfId="0" applyFont="1" applyBorder="1" applyAlignment="1">
      <alignment horizontal="center" vertical="top"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top" wrapText="1"/>
    </xf>
    <xf numFmtId="0" fontId="7" fillId="24" borderId="11" xfId="0" applyFont="1" applyFill="1" applyBorder="1" applyAlignment="1">
      <alignment horizontal="center" vertical="top" wrapText="1"/>
    </xf>
    <xf numFmtId="0" fontId="7" fillId="0" borderId="14" xfId="0" applyFont="1" applyBorder="1" applyAlignment="1">
      <alignment horizontal="center" vertical="top" wrapText="1"/>
    </xf>
    <xf numFmtId="0" fontId="7" fillId="0" borderId="19" xfId="0" applyFont="1" applyBorder="1" applyAlignment="1">
      <alignment horizontal="center" vertical="top" wrapText="1"/>
    </xf>
    <xf numFmtId="0" fontId="7" fillId="0" borderId="11" xfId="0" applyFont="1" applyBorder="1" applyAlignment="1">
      <alignment horizontal="center" vertical="top" wrapText="1"/>
    </xf>
    <xf numFmtId="0" fontId="7" fillId="0" borderId="16" xfId="0" applyFont="1" applyBorder="1" applyAlignment="1">
      <alignment horizontal="center" vertical="top" wrapText="1"/>
    </xf>
    <xf numFmtId="0" fontId="7" fillId="0" borderId="10" xfId="0" applyFont="1" applyFill="1" applyBorder="1" applyAlignment="1">
      <alignment horizontal="center" vertical="top" wrapText="1"/>
    </xf>
    <xf numFmtId="0" fontId="26" fillId="27" borderId="19" xfId="0" applyFont="1" applyFill="1" applyBorder="1" applyAlignment="1" applyProtection="1">
      <alignment horizontal="center" vertical="center"/>
    </xf>
    <xf numFmtId="0" fontId="3" fillId="0" borderId="16" xfId="0" applyFont="1" applyBorder="1" applyAlignment="1" applyProtection="1">
      <alignment horizontal="center" vertical="center" textRotation="90" wrapText="1"/>
    </xf>
    <xf numFmtId="0" fontId="3" fillId="0" borderId="12" xfId="0" applyFont="1" applyBorder="1" applyAlignment="1" applyProtection="1">
      <alignment horizontal="center" vertical="center" textRotation="90" wrapText="1"/>
    </xf>
    <xf numFmtId="0" fontId="3" fillId="0" borderId="13" xfId="0" applyFont="1" applyBorder="1" applyAlignment="1" applyProtection="1">
      <alignment horizontal="center" vertical="center" textRotation="90" wrapText="1"/>
    </xf>
    <xf numFmtId="0" fontId="29" fillId="0" borderId="14"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6" xfId="0" applyFont="1" applyBorder="1" applyAlignment="1">
      <alignment horizontal="center" vertical="center" wrapText="1"/>
    </xf>
    <xf numFmtId="0" fontId="29" fillId="0" borderId="13" xfId="0" applyFont="1" applyBorder="1" applyAlignment="1">
      <alignment horizontal="center" vertical="center" wrapText="1"/>
    </xf>
    <xf numFmtId="0" fontId="32" fillId="24" borderId="15" xfId="0" applyFont="1" applyFill="1" applyBorder="1" applyAlignment="1">
      <alignment horizontal="center" vertical="top"/>
    </xf>
    <xf numFmtId="0" fontId="32" fillId="24" borderId="24" xfId="0" applyFont="1" applyFill="1" applyBorder="1" applyAlignment="1">
      <alignment horizontal="center" vertical="top"/>
    </xf>
    <xf numFmtId="0" fontId="29" fillId="0" borderId="20" xfId="0" applyFont="1" applyBorder="1" applyAlignment="1">
      <alignment horizontal="left" vertical="center"/>
    </xf>
    <xf numFmtId="0" fontId="29" fillId="0" borderId="15" xfId="0" applyFont="1" applyBorder="1" applyAlignment="1">
      <alignment horizontal="left" vertical="center"/>
    </xf>
    <xf numFmtId="0" fontId="29" fillId="0" borderId="24" xfId="0" applyFont="1" applyBorder="1" applyAlignment="1">
      <alignment horizontal="left" vertical="center"/>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32" fillId="24" borderId="20" xfId="0" applyFont="1" applyFill="1" applyBorder="1" applyAlignment="1">
      <alignment horizontal="center" vertical="top"/>
    </xf>
    <xf numFmtId="0" fontId="26" fillId="27" borderId="17" xfId="0" applyFont="1" applyFill="1" applyBorder="1" applyAlignment="1">
      <alignment horizontal="center" vertical="center"/>
    </xf>
    <xf numFmtId="0" fontId="29" fillId="0" borderId="20" xfId="0" applyFont="1" applyBorder="1" applyAlignment="1">
      <alignment horizontal="left" vertical="top"/>
    </xf>
    <xf numFmtId="0" fontId="29" fillId="0" borderId="15" xfId="0" applyFont="1" applyBorder="1" applyAlignment="1">
      <alignment horizontal="left" vertical="top"/>
    </xf>
    <xf numFmtId="0" fontId="29" fillId="0" borderId="24" xfId="0" applyFont="1" applyBorder="1" applyAlignment="1">
      <alignment horizontal="left" vertical="top"/>
    </xf>
    <xf numFmtId="0" fontId="29" fillId="0" borderId="23" xfId="0" applyFont="1" applyBorder="1" applyAlignment="1">
      <alignment horizontal="center" vertical="center" wrapText="1"/>
    </xf>
    <xf numFmtId="0" fontId="69" fillId="27" borderId="0" xfId="0" applyFont="1" applyFill="1" applyBorder="1" applyAlignment="1">
      <alignment horizontal="center" vertical="center"/>
    </xf>
    <xf numFmtId="0" fontId="0" fillId="0" borderId="14" xfId="0" applyBorder="1"/>
    <xf numFmtId="0" fontId="0" fillId="0" borderId="19" xfId="0" applyBorder="1"/>
    <xf numFmtId="0" fontId="0" fillId="0" borderId="11" xfId="0" applyBorder="1"/>
    <xf numFmtId="0" fontId="3" fillId="0" borderId="17" xfId="0" applyFont="1" applyBorder="1" applyAlignment="1">
      <alignment horizontal="left" vertical="center"/>
    </xf>
    <xf numFmtId="0" fontId="29" fillId="0" borderId="14"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11" xfId="0" applyFont="1" applyFill="1" applyBorder="1" applyAlignment="1">
      <alignment horizontal="left" vertical="center"/>
    </xf>
    <xf numFmtId="0" fontId="3" fillId="0" borderId="17"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16" xfId="0" quotePrefix="1" applyFont="1" applyBorder="1" applyAlignment="1">
      <alignment horizontal="center" vertical="center" wrapText="1"/>
    </xf>
    <xf numFmtId="0" fontId="3" fillId="0" borderId="13" xfId="0" quotePrefix="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29" fillId="24" borderId="14" xfId="0" applyFont="1" applyFill="1" applyBorder="1" applyAlignment="1">
      <alignment horizontal="left" vertical="top"/>
    </xf>
    <xf numFmtId="0" fontId="29" fillId="24" borderId="19" xfId="0" applyFont="1" applyFill="1" applyBorder="1" applyAlignment="1">
      <alignment horizontal="left" vertical="top"/>
    </xf>
    <xf numFmtId="0" fontId="29" fillId="24" borderId="11" xfId="0" applyFont="1" applyFill="1" applyBorder="1" applyAlignment="1">
      <alignment horizontal="left" vertical="top"/>
    </xf>
    <xf numFmtId="0" fontId="3" fillId="0" borderId="11" xfId="0" applyFont="1" applyBorder="1" applyAlignment="1">
      <alignment horizontal="left" wrapText="1"/>
    </xf>
    <xf numFmtId="0" fontId="44" fillId="24" borderId="14" xfId="0" applyFont="1" applyFill="1" applyBorder="1" applyAlignment="1" applyProtection="1">
      <alignment horizontal="right"/>
    </xf>
    <xf numFmtId="0" fontId="44" fillId="24" borderId="19" xfId="0" applyFont="1" applyFill="1" applyBorder="1" applyAlignment="1" applyProtection="1">
      <alignment horizontal="right"/>
    </xf>
    <xf numFmtId="0" fontId="44" fillId="24" borderId="11" xfId="0" applyFont="1" applyFill="1" applyBorder="1" applyAlignment="1" applyProtection="1">
      <alignment horizontal="right"/>
    </xf>
    <xf numFmtId="0" fontId="29" fillId="24" borderId="14" xfId="0" applyFont="1" applyFill="1" applyBorder="1" applyAlignment="1">
      <alignment horizontal="left" vertical="center"/>
    </xf>
    <xf numFmtId="0" fontId="29" fillId="24" borderId="19" xfId="0" applyFont="1" applyFill="1" applyBorder="1" applyAlignment="1">
      <alignment horizontal="left" vertical="center"/>
    </xf>
    <xf numFmtId="0" fontId="29" fillId="24" borderId="11" xfId="0" applyFont="1" applyFill="1" applyBorder="1" applyAlignment="1">
      <alignment horizontal="left" vertical="center"/>
    </xf>
    <xf numFmtId="1" fontId="27" fillId="24" borderId="10" xfId="0" applyNumberFormat="1" applyFont="1" applyFill="1" applyBorder="1" applyAlignment="1" applyProtection="1">
      <alignment horizontal="left"/>
      <protection hidden="1"/>
    </xf>
    <xf numFmtId="0" fontId="32" fillId="24" borderId="10" xfId="0" applyFont="1" applyFill="1" applyBorder="1"/>
    <xf numFmtId="0" fontId="27" fillId="26" borderId="17" xfId="0" applyFont="1" applyFill="1" applyBorder="1" applyAlignment="1">
      <alignment horizontal="center" vertical="top" wrapText="1"/>
    </xf>
    <xf numFmtId="0" fontId="27" fillId="26" borderId="22" xfId="0" applyFont="1" applyFill="1" applyBorder="1" applyAlignment="1">
      <alignment horizontal="center" vertical="top" wrapText="1"/>
    </xf>
    <xf numFmtId="0" fontId="27" fillId="26" borderId="21" xfId="0" applyFont="1" applyFill="1" applyBorder="1" applyAlignment="1">
      <alignment horizontal="center" vertical="top" wrapText="1"/>
    </xf>
    <xf numFmtId="0" fontId="27" fillId="26" borderId="23" xfId="0" applyFont="1" applyFill="1" applyBorder="1" applyAlignment="1">
      <alignment horizontal="center" vertical="top" wrapText="1"/>
    </xf>
    <xf numFmtId="0" fontId="26" fillId="27" borderId="0" xfId="0" applyFont="1" applyFill="1" applyBorder="1" applyAlignment="1">
      <alignment horizontal="left" wrapText="1"/>
    </xf>
    <xf numFmtId="1" fontId="3" fillId="24" borderId="12" xfId="0" applyNumberFormat="1" applyFont="1" applyFill="1" applyBorder="1" applyAlignment="1">
      <alignment horizontal="center" vertical="top" wrapText="1"/>
    </xf>
    <xf numFmtId="1" fontId="3" fillId="24" borderId="13" xfId="0" applyNumberFormat="1" applyFont="1" applyFill="1" applyBorder="1" applyAlignment="1">
      <alignment horizontal="center" vertical="top" wrapText="1"/>
    </xf>
    <xf numFmtId="0" fontId="7" fillId="0" borderId="10" xfId="0" applyFont="1" applyBorder="1" applyAlignment="1">
      <alignment horizontal="left" vertical="center" wrapText="1"/>
    </xf>
    <xf numFmtId="0" fontId="3" fillId="0" borderId="11"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27" fillId="0" borderId="16" xfId="0" applyFont="1" applyBorder="1" applyAlignment="1">
      <alignment horizontal="left" vertical="top" wrapText="1"/>
    </xf>
    <xf numFmtId="0" fontId="3" fillId="0" borderId="11" xfId="0" applyFont="1" applyBorder="1"/>
    <xf numFmtId="0" fontId="7" fillId="0" borderId="13" xfId="0" applyFont="1" applyBorder="1" applyAlignment="1">
      <alignment horizontal="left" vertical="center" wrapText="1"/>
    </xf>
    <xf numFmtId="0" fontId="3" fillId="0" borderId="10" xfId="0" applyFont="1" applyBorder="1" applyAlignment="1">
      <alignment horizontal="left" vertical="top"/>
    </xf>
    <xf numFmtId="0" fontId="27" fillId="24" borderId="11" xfId="0" applyFont="1" applyFill="1" applyBorder="1" applyAlignment="1">
      <alignment horizontal="left" vertical="center" wrapText="1"/>
    </xf>
    <xf numFmtId="0" fontId="27" fillId="0" borderId="13" xfId="0" applyFont="1" applyBorder="1" applyAlignment="1">
      <alignment horizontal="left" vertical="center" wrapText="1"/>
    </xf>
    <xf numFmtId="0" fontId="27" fillId="0" borderId="16" xfId="0" applyFont="1" applyBorder="1" applyAlignment="1" applyProtection="1">
      <alignment horizontal="right" vertical="center" wrapText="1"/>
      <protection hidden="1"/>
    </xf>
    <xf numFmtId="0" fontId="27" fillId="0" borderId="13" xfId="0" applyFont="1" applyBorder="1" applyAlignment="1" applyProtection="1">
      <alignment horizontal="right" vertical="center" wrapText="1"/>
      <protection hidden="1"/>
    </xf>
    <xf numFmtId="1" fontId="28" fillId="50" borderId="17" xfId="0" applyNumberFormat="1" applyFont="1" applyFill="1" applyBorder="1" applyAlignment="1" applyProtection="1">
      <alignment horizontal="right" vertical="center" wrapText="1"/>
    </xf>
    <xf numFmtId="1" fontId="28" fillId="50" borderId="20" xfId="0" applyNumberFormat="1" applyFont="1" applyFill="1" applyBorder="1" applyAlignment="1" applyProtection="1">
      <alignment horizontal="right" vertical="center" wrapText="1"/>
    </xf>
    <xf numFmtId="0" fontId="29" fillId="0" borderId="24" xfId="0" applyFont="1" applyBorder="1" applyAlignment="1">
      <alignment horizontal="center" vertical="top"/>
    </xf>
    <xf numFmtId="0" fontId="29" fillId="0" borderId="13" xfId="0" applyFont="1" applyBorder="1" applyAlignment="1">
      <alignment horizontal="center" vertical="top"/>
    </xf>
    <xf numFmtId="0" fontId="7" fillId="0" borderId="14" xfId="0" applyFont="1" applyBorder="1" applyAlignment="1">
      <alignment horizontal="left" vertical="top" wrapText="1"/>
    </xf>
    <xf numFmtId="0" fontId="7" fillId="0" borderId="19" xfId="0" applyFont="1" applyBorder="1" applyAlignment="1">
      <alignment horizontal="left" vertical="top" wrapText="1"/>
    </xf>
    <xf numFmtId="0" fontId="32" fillId="0" borderId="19" xfId="0" applyFont="1" applyBorder="1" applyAlignment="1">
      <alignment horizontal="left" vertical="top" wrapText="1"/>
    </xf>
    <xf numFmtId="0" fontId="32" fillId="0" borderId="11" xfId="0" applyFont="1" applyBorder="1" applyAlignment="1">
      <alignment horizontal="left" vertical="top" wrapText="1"/>
    </xf>
    <xf numFmtId="0" fontId="29" fillId="0" borderId="11" xfId="0" applyFont="1" applyBorder="1" applyAlignment="1" applyProtection="1">
      <alignment horizontal="center"/>
      <protection hidden="1"/>
    </xf>
    <xf numFmtId="0" fontId="29" fillId="0" borderId="10" xfId="0" applyFont="1" applyBorder="1" applyAlignment="1" applyProtection="1">
      <alignment horizontal="center"/>
      <protection hidden="1"/>
    </xf>
    <xf numFmtId="0" fontId="7" fillId="24" borderId="14" xfId="0" applyFont="1" applyFill="1" applyBorder="1" applyAlignment="1">
      <alignment horizontal="left" vertical="top" wrapText="1"/>
    </xf>
    <xf numFmtId="0" fontId="7" fillId="24" borderId="19" xfId="0" applyFont="1" applyFill="1" applyBorder="1" applyAlignment="1">
      <alignment horizontal="left" vertical="top" wrapText="1"/>
    </xf>
    <xf numFmtId="0" fontId="7" fillId="24" borderId="11" xfId="0" applyFont="1" applyFill="1" applyBorder="1" applyAlignment="1">
      <alignment horizontal="left" vertical="top" wrapText="1"/>
    </xf>
    <xf numFmtId="1" fontId="3" fillId="0" borderId="14" xfId="0" applyNumberFormat="1" applyFont="1" applyBorder="1" applyAlignment="1">
      <alignment horizontal="left" wrapText="1"/>
    </xf>
    <xf numFmtId="1" fontId="3" fillId="0" borderId="19" xfId="0" applyNumberFormat="1" applyFont="1" applyBorder="1" applyAlignment="1">
      <alignment horizontal="left" wrapText="1"/>
    </xf>
    <xf numFmtId="1" fontId="3" fillId="0" borderId="11" xfId="0" applyNumberFormat="1" applyFont="1" applyBorder="1" applyAlignment="1">
      <alignment horizontal="left" wrapText="1"/>
    </xf>
    <xf numFmtId="1" fontId="3" fillId="0" borderId="14" xfId="0" applyNumberFormat="1" applyFont="1" applyBorder="1" applyAlignment="1">
      <alignment wrapText="1"/>
    </xf>
    <xf numFmtId="1" fontId="3" fillId="0" borderId="19" xfId="0" applyNumberFormat="1" applyFont="1" applyBorder="1" applyAlignment="1">
      <alignment wrapText="1"/>
    </xf>
    <xf numFmtId="1" fontId="3" fillId="0" borderId="11" xfId="0" applyNumberFormat="1" applyFont="1" applyBorder="1" applyAlignment="1">
      <alignment wrapText="1"/>
    </xf>
    <xf numFmtId="0" fontId="7" fillId="0" borderId="11" xfId="0" applyFont="1" applyBorder="1" applyAlignment="1">
      <alignment horizontal="left" vertical="top" wrapText="1"/>
    </xf>
    <xf numFmtId="0" fontId="7" fillId="0" borderId="17" xfId="0" applyFont="1" applyBorder="1" applyAlignment="1">
      <alignment horizontal="left"/>
    </xf>
    <xf numFmtId="0" fontId="7" fillId="0" borderId="18" xfId="0" applyFont="1" applyBorder="1" applyAlignment="1">
      <alignment horizontal="left"/>
    </xf>
    <xf numFmtId="0" fontId="3" fillId="0" borderId="22" xfId="0" applyFont="1" applyBorder="1" applyAlignment="1" applyProtection="1">
      <alignment horizontal="center"/>
      <protection hidden="1"/>
    </xf>
    <xf numFmtId="0" fontId="3" fillId="0" borderId="16" xfId="0" applyFont="1" applyBorder="1" applyAlignment="1" applyProtection="1">
      <alignment horizontal="center"/>
      <protection hidden="1"/>
    </xf>
    <xf numFmtId="49" fontId="5" fillId="48" borderId="10" xfId="0" applyNumberFormat="1" applyFont="1" applyFill="1" applyBorder="1" applyAlignment="1" applyProtection="1">
      <protection locked="0"/>
    </xf>
    <xf numFmtId="0" fontId="7" fillId="0" borderId="19" xfId="0" applyFont="1" applyBorder="1" applyAlignment="1">
      <alignment horizontal="left" vertical="top"/>
    </xf>
    <xf numFmtId="0" fontId="7" fillId="0" borderId="11" xfId="0" applyFont="1" applyBorder="1" applyAlignment="1">
      <alignment horizontal="left" vertical="top"/>
    </xf>
    <xf numFmtId="0" fontId="29" fillId="0" borderId="11" xfId="0" applyFont="1" applyBorder="1" applyAlignment="1">
      <alignment horizontal="center" vertical="top"/>
    </xf>
    <xf numFmtId="0" fontId="29" fillId="0" borderId="10" xfId="0" applyFont="1" applyBorder="1" applyAlignment="1">
      <alignment horizontal="center" vertical="top"/>
    </xf>
    <xf numFmtId="0" fontId="29" fillId="0" borderId="22" xfId="0" applyFont="1" applyBorder="1" applyAlignment="1">
      <alignment horizontal="left" vertical="center"/>
    </xf>
    <xf numFmtId="0" fontId="7" fillId="24" borderId="17" xfId="0" applyFont="1" applyFill="1" applyBorder="1" applyAlignment="1">
      <alignment horizontal="left"/>
    </xf>
    <xf numFmtId="0" fontId="7" fillId="24" borderId="18" xfId="0" applyFont="1" applyFill="1" applyBorder="1" applyAlignment="1">
      <alignment horizontal="left"/>
    </xf>
    <xf numFmtId="0" fontId="27" fillId="24" borderId="15" xfId="0" applyFont="1" applyFill="1" applyBorder="1" applyAlignment="1">
      <alignment horizontal="left" vertical="center" wrapText="1"/>
    </xf>
    <xf numFmtId="0" fontId="26" fillId="27" borderId="19" xfId="0" applyFont="1" applyFill="1" applyBorder="1" applyAlignment="1">
      <alignment horizontal="center" vertical="center" wrapText="1"/>
    </xf>
    <xf numFmtId="0" fontId="3" fillId="0" borderId="22" xfId="0" applyFont="1" applyBorder="1" applyAlignment="1">
      <alignment horizontal="left" vertical="top" wrapText="1"/>
    </xf>
    <xf numFmtId="0" fontId="69" fillId="27" borderId="10" xfId="0" applyFont="1" applyFill="1" applyBorder="1" applyAlignment="1">
      <alignment horizontal="center" vertical="center" wrapText="1"/>
    </xf>
    <xf numFmtId="0" fontId="86" fillId="0" borderId="10" xfId="0" applyFont="1" applyBorder="1" applyAlignment="1">
      <alignment horizontal="left" vertical="center"/>
    </xf>
    <xf numFmtId="0" fontId="5" fillId="24" borderId="14" xfId="0" applyFont="1" applyFill="1" applyBorder="1" applyAlignment="1">
      <alignment horizontal="left" vertical="center"/>
    </xf>
    <xf numFmtId="0" fontId="5" fillId="24" borderId="11" xfId="0" applyFont="1" applyFill="1" applyBorder="1" applyAlignment="1">
      <alignment horizontal="left" vertical="center"/>
    </xf>
    <xf numFmtId="0" fontId="7" fillId="0" borderId="14" xfId="0" applyFont="1" applyBorder="1" applyAlignment="1">
      <alignment horizontal="center"/>
    </xf>
    <xf numFmtId="0" fontId="7" fillId="0" borderId="11" xfId="0" applyFont="1" applyBorder="1" applyAlignment="1">
      <alignment horizontal="center"/>
    </xf>
    <xf numFmtId="0" fontId="7" fillId="24" borderId="14" xfId="0" applyFont="1" applyFill="1" applyBorder="1" applyAlignment="1">
      <alignment horizontal="left" vertical="center"/>
    </xf>
    <xf numFmtId="0" fontId="7" fillId="24" borderId="11" xfId="0" applyFont="1" applyFill="1" applyBorder="1" applyAlignment="1">
      <alignment horizontal="left" vertical="center"/>
    </xf>
    <xf numFmtId="0" fontId="29" fillId="0" borderId="0" xfId="0" applyFont="1" applyAlignment="1">
      <alignment horizontal="center"/>
    </xf>
    <xf numFmtId="0" fontId="84" fillId="0" borderId="10" xfId="0" applyFont="1" applyBorder="1"/>
    <xf numFmtId="0" fontId="84" fillId="0" borderId="17" xfId="0" applyFont="1" applyBorder="1"/>
    <xf numFmtId="0" fontId="84" fillId="0" borderId="18" xfId="0" applyFont="1" applyBorder="1"/>
    <xf numFmtId="0" fontId="84" fillId="0" borderId="22" xfId="0" applyFont="1" applyBorder="1"/>
    <xf numFmtId="0" fontId="84" fillId="0" borderId="10" xfId="0" applyFont="1" applyBorder="1" applyAlignment="1">
      <alignment wrapText="1"/>
    </xf>
    <xf numFmtId="0" fontId="84" fillId="0" borderId="21" xfId="0" applyFont="1" applyBorder="1"/>
    <xf numFmtId="0" fontId="84" fillId="0" borderId="0" xfId="0" applyFont="1" applyBorder="1"/>
    <xf numFmtId="0" fontId="84" fillId="0" borderId="23" xfId="0" applyFont="1" applyBorder="1"/>
    <xf numFmtId="0" fontId="84" fillId="0" borderId="20" xfId="0" applyFont="1" applyBorder="1" applyAlignment="1">
      <alignment wrapText="1"/>
    </xf>
    <xf numFmtId="0" fontId="84" fillId="0" borderId="15" xfId="0" applyFont="1" applyBorder="1" applyAlignment="1">
      <alignment wrapText="1"/>
    </xf>
    <xf numFmtId="0" fontId="84" fillId="0" borderId="24" xfId="0" applyFont="1" applyBorder="1" applyAlignment="1">
      <alignment wrapText="1"/>
    </xf>
    <xf numFmtId="0" fontId="89" fillId="0" borderId="14" xfId="0" applyFont="1" applyBorder="1" applyAlignment="1">
      <alignment wrapText="1"/>
    </xf>
    <xf numFmtId="0" fontId="89" fillId="0" borderId="19" xfId="0" applyFont="1" applyBorder="1" applyAlignment="1">
      <alignment wrapText="1"/>
    </xf>
    <xf numFmtId="0" fontId="89" fillId="0" borderId="11" xfId="0" applyFont="1" applyBorder="1" applyAlignment="1">
      <alignment wrapText="1"/>
    </xf>
  </cellXfs>
  <cellStyles count="1042">
    <cellStyle name="20% - Accent1 10" xfId="1"/>
    <cellStyle name="20% - Accent1 10 2" xfId="2"/>
    <cellStyle name="20% - Accent1 11" xfId="3"/>
    <cellStyle name="20% - Accent1 11 2" xfId="4"/>
    <cellStyle name="20% - Accent1 12" xfId="5"/>
    <cellStyle name="20% - Accent1 2" xfId="6"/>
    <cellStyle name="20% - Accent1 2 2" xfId="7"/>
    <cellStyle name="20% - Accent1 2 3" xfId="8"/>
    <cellStyle name="20% - Accent1 2 4" xfId="9"/>
    <cellStyle name="20% - Accent1 2 5" xfId="10"/>
    <cellStyle name="20% - Accent1 2 6" xfId="11"/>
    <cellStyle name="20% - Accent1 3" xfId="12"/>
    <cellStyle name="20% - Accent1 3 2" xfId="13"/>
    <cellStyle name="20% - Accent1 3 3" xfId="14"/>
    <cellStyle name="20% - Accent1 3 4" xfId="15"/>
    <cellStyle name="20% - Accent1 3 5" xfId="16"/>
    <cellStyle name="20% - Accent1 4" xfId="17"/>
    <cellStyle name="20% - Accent1 4 2" xfId="18"/>
    <cellStyle name="20% - Accent1 5" xfId="19"/>
    <cellStyle name="20% - Accent1 5 2" xfId="20"/>
    <cellStyle name="20% - Accent1 6" xfId="21"/>
    <cellStyle name="20% - Accent1 6 2" xfId="22"/>
    <cellStyle name="20% - Accent1 7" xfId="23"/>
    <cellStyle name="20% - Accent1 7 2" xfId="24"/>
    <cellStyle name="20% - Accent1 8" xfId="25"/>
    <cellStyle name="20% - Accent1 8 2" xfId="26"/>
    <cellStyle name="20% - Accent1 9" xfId="27"/>
    <cellStyle name="20% - Accent1 9 2" xfId="28"/>
    <cellStyle name="20% - Accent2 10" xfId="29"/>
    <cellStyle name="20% - Accent2 10 2" xfId="30"/>
    <cellStyle name="20% - Accent2 11" xfId="31"/>
    <cellStyle name="20% - Accent2 11 2" xfId="32"/>
    <cellStyle name="20% - Accent2 12" xfId="33"/>
    <cellStyle name="20% - Accent2 2" xfId="34"/>
    <cellStyle name="20% - Accent2 2 2" xfId="35"/>
    <cellStyle name="20% - Accent2 2 3" xfId="36"/>
    <cellStyle name="20% - Accent2 2 4" xfId="37"/>
    <cellStyle name="20% - Accent2 2 5" xfId="38"/>
    <cellStyle name="20% - Accent2 2 6" xfId="39"/>
    <cellStyle name="20% - Accent2 3" xfId="40"/>
    <cellStyle name="20% - Accent2 3 2" xfId="41"/>
    <cellStyle name="20% - Accent2 3 3" xfId="42"/>
    <cellStyle name="20% - Accent2 3 4" xfId="43"/>
    <cellStyle name="20% - Accent2 3 5" xfId="44"/>
    <cellStyle name="20% - Accent2 4" xfId="45"/>
    <cellStyle name="20% - Accent2 4 2" xfId="46"/>
    <cellStyle name="20% - Accent2 5" xfId="47"/>
    <cellStyle name="20% - Accent2 5 2" xfId="48"/>
    <cellStyle name="20% - Accent2 6" xfId="49"/>
    <cellStyle name="20% - Accent2 6 2" xfId="50"/>
    <cellStyle name="20% - Accent2 7" xfId="51"/>
    <cellStyle name="20% - Accent2 7 2" xfId="52"/>
    <cellStyle name="20% - Accent2 8" xfId="53"/>
    <cellStyle name="20% - Accent2 8 2" xfId="54"/>
    <cellStyle name="20% - Accent2 9" xfId="55"/>
    <cellStyle name="20% - Accent2 9 2" xfId="56"/>
    <cellStyle name="20% - Accent3 10" xfId="57"/>
    <cellStyle name="20% - Accent3 10 2" xfId="58"/>
    <cellStyle name="20% - Accent3 11" xfId="59"/>
    <cellStyle name="20% - Accent3 11 2" xfId="60"/>
    <cellStyle name="20% - Accent3 12" xfId="61"/>
    <cellStyle name="20% - Accent3 2" xfId="62"/>
    <cellStyle name="20% - Accent3 2 2" xfId="63"/>
    <cellStyle name="20% - Accent3 2 3" xfId="64"/>
    <cellStyle name="20% - Accent3 2 4" xfId="65"/>
    <cellStyle name="20% - Accent3 2 5" xfId="66"/>
    <cellStyle name="20% - Accent3 2 6" xfId="67"/>
    <cellStyle name="20% - Accent3 3" xfId="68"/>
    <cellStyle name="20% - Accent3 3 2" xfId="69"/>
    <cellStyle name="20% - Accent3 3 3" xfId="70"/>
    <cellStyle name="20% - Accent3 3 4" xfId="71"/>
    <cellStyle name="20% - Accent3 3 5" xfId="72"/>
    <cellStyle name="20% - Accent3 4" xfId="73"/>
    <cellStyle name="20% - Accent3 4 2" xfId="74"/>
    <cellStyle name="20% - Accent3 5" xfId="75"/>
    <cellStyle name="20% - Accent3 5 2" xfId="76"/>
    <cellStyle name="20% - Accent3 6" xfId="77"/>
    <cellStyle name="20% - Accent3 6 2" xfId="78"/>
    <cellStyle name="20% - Accent3 7" xfId="79"/>
    <cellStyle name="20% - Accent3 7 2" xfId="80"/>
    <cellStyle name="20% - Accent3 8" xfId="81"/>
    <cellStyle name="20% - Accent3 8 2" xfId="82"/>
    <cellStyle name="20% - Accent3 9" xfId="83"/>
    <cellStyle name="20% - Accent3 9 2" xfId="84"/>
    <cellStyle name="20% - Accent4 10" xfId="85"/>
    <cellStyle name="20% - Accent4 10 2" xfId="86"/>
    <cellStyle name="20% - Accent4 11" xfId="87"/>
    <cellStyle name="20% - Accent4 11 2" xfId="88"/>
    <cellStyle name="20% - Accent4 12" xfId="89"/>
    <cellStyle name="20% - Accent4 2" xfId="90"/>
    <cellStyle name="20% - Accent4 2 2" xfId="91"/>
    <cellStyle name="20% - Accent4 2 3" xfId="92"/>
    <cellStyle name="20% - Accent4 2 4" xfId="93"/>
    <cellStyle name="20% - Accent4 2 5" xfId="94"/>
    <cellStyle name="20% - Accent4 2 6" xfId="95"/>
    <cellStyle name="20% - Accent4 3" xfId="96"/>
    <cellStyle name="20% - Accent4 3 2" xfId="97"/>
    <cellStyle name="20% - Accent4 3 3" xfId="98"/>
    <cellStyle name="20% - Accent4 3 4" xfId="99"/>
    <cellStyle name="20% - Accent4 3 5" xfId="100"/>
    <cellStyle name="20% - Accent4 4" xfId="101"/>
    <cellStyle name="20% - Accent4 4 2" xfId="102"/>
    <cellStyle name="20% - Accent4 5" xfId="103"/>
    <cellStyle name="20% - Accent4 5 2" xfId="104"/>
    <cellStyle name="20% - Accent4 6" xfId="105"/>
    <cellStyle name="20% - Accent4 6 2" xfId="106"/>
    <cellStyle name="20% - Accent4 7" xfId="107"/>
    <cellStyle name="20% - Accent4 7 2" xfId="108"/>
    <cellStyle name="20% - Accent4 8" xfId="109"/>
    <cellStyle name="20% - Accent4 8 2" xfId="110"/>
    <cellStyle name="20% - Accent4 9" xfId="111"/>
    <cellStyle name="20% - Accent4 9 2" xfId="112"/>
    <cellStyle name="20% - Accent5 10" xfId="113"/>
    <cellStyle name="20% - Accent5 10 2" xfId="114"/>
    <cellStyle name="20% - Accent5 11" xfId="115"/>
    <cellStyle name="20% - Accent5 11 2" xfId="116"/>
    <cellStyle name="20% - Accent5 12" xfId="117"/>
    <cellStyle name="20% - Accent5 2" xfId="118"/>
    <cellStyle name="20% - Accent5 2 2" xfId="119"/>
    <cellStyle name="20% - Accent5 2 3" xfId="120"/>
    <cellStyle name="20% - Accent5 2 4" xfId="121"/>
    <cellStyle name="20% - Accent5 2 5" xfId="122"/>
    <cellStyle name="20% - Accent5 2 6" xfId="123"/>
    <cellStyle name="20% - Accent5 3" xfId="124"/>
    <cellStyle name="20% - Accent5 3 2" xfId="125"/>
    <cellStyle name="20% - Accent5 3 3" xfId="126"/>
    <cellStyle name="20% - Accent5 3 4" xfId="127"/>
    <cellStyle name="20% - Accent5 3 5" xfId="128"/>
    <cellStyle name="20% - Accent5 4" xfId="129"/>
    <cellStyle name="20% - Accent5 4 2" xfId="130"/>
    <cellStyle name="20% - Accent5 5" xfId="131"/>
    <cellStyle name="20% - Accent5 5 2" xfId="132"/>
    <cellStyle name="20% - Accent5 6" xfId="133"/>
    <cellStyle name="20% - Accent5 6 2" xfId="134"/>
    <cellStyle name="20% - Accent5 7" xfId="135"/>
    <cellStyle name="20% - Accent5 7 2" xfId="136"/>
    <cellStyle name="20% - Accent5 8" xfId="137"/>
    <cellStyle name="20% - Accent5 8 2" xfId="138"/>
    <cellStyle name="20% - Accent5 9" xfId="139"/>
    <cellStyle name="20% - Accent5 9 2" xfId="140"/>
    <cellStyle name="20% - Accent6 10" xfId="141"/>
    <cellStyle name="20% - Accent6 10 2" xfId="142"/>
    <cellStyle name="20% - Accent6 11" xfId="143"/>
    <cellStyle name="20% - Accent6 11 2" xfId="144"/>
    <cellStyle name="20% - Accent6 12" xfId="145"/>
    <cellStyle name="20% - Accent6 2" xfId="146"/>
    <cellStyle name="20% - Accent6 2 2" xfId="147"/>
    <cellStyle name="20% - Accent6 2 3" xfId="148"/>
    <cellStyle name="20% - Accent6 2 4" xfId="149"/>
    <cellStyle name="20% - Accent6 2 5" xfId="150"/>
    <cellStyle name="20% - Accent6 2 6" xfId="151"/>
    <cellStyle name="20% - Accent6 3" xfId="152"/>
    <cellStyle name="20% - Accent6 3 2" xfId="153"/>
    <cellStyle name="20% - Accent6 3 3" xfId="154"/>
    <cellStyle name="20% - Accent6 3 4" xfId="155"/>
    <cellStyle name="20% - Accent6 3 5" xfId="156"/>
    <cellStyle name="20% - Accent6 4" xfId="157"/>
    <cellStyle name="20% - Accent6 4 2" xfId="158"/>
    <cellStyle name="20% - Accent6 5" xfId="159"/>
    <cellStyle name="20% - Accent6 5 2" xfId="160"/>
    <cellStyle name="20% - Accent6 6" xfId="161"/>
    <cellStyle name="20% - Accent6 6 2" xfId="162"/>
    <cellStyle name="20% - Accent6 7" xfId="163"/>
    <cellStyle name="20% - Accent6 7 2" xfId="164"/>
    <cellStyle name="20% - Accent6 8" xfId="165"/>
    <cellStyle name="20% - Accent6 8 2" xfId="166"/>
    <cellStyle name="20% - Accent6 9" xfId="167"/>
    <cellStyle name="20% - Accent6 9 2" xfId="168"/>
    <cellStyle name="40% - Accent1 10" xfId="169"/>
    <cellStyle name="40% - Accent1 10 2" xfId="170"/>
    <cellStyle name="40% - Accent1 11" xfId="171"/>
    <cellStyle name="40% - Accent1 11 2" xfId="172"/>
    <cellStyle name="40% - Accent1 12" xfId="173"/>
    <cellStyle name="40% - Accent1 2" xfId="174"/>
    <cellStyle name="40% - Accent1 2 2" xfId="175"/>
    <cellStyle name="40% - Accent1 2 3" xfId="176"/>
    <cellStyle name="40% - Accent1 2 4" xfId="177"/>
    <cellStyle name="40% - Accent1 2 5" xfId="178"/>
    <cellStyle name="40% - Accent1 2 6" xfId="179"/>
    <cellStyle name="40% - Accent1 3" xfId="180"/>
    <cellStyle name="40% - Accent1 3 2" xfId="181"/>
    <cellStyle name="40% - Accent1 3 3" xfId="182"/>
    <cellStyle name="40% - Accent1 3 4" xfId="183"/>
    <cellStyle name="40% - Accent1 3 5" xfId="184"/>
    <cellStyle name="40% - Accent1 4" xfId="185"/>
    <cellStyle name="40% - Accent1 4 2" xfId="186"/>
    <cellStyle name="40% - Accent1 5" xfId="187"/>
    <cellStyle name="40% - Accent1 5 2" xfId="188"/>
    <cellStyle name="40% - Accent1 6" xfId="189"/>
    <cellStyle name="40% - Accent1 6 2" xfId="190"/>
    <cellStyle name="40% - Accent1 7" xfId="191"/>
    <cellStyle name="40% - Accent1 7 2" xfId="192"/>
    <cellStyle name="40% - Accent1 8" xfId="193"/>
    <cellStyle name="40% - Accent1 8 2" xfId="194"/>
    <cellStyle name="40% - Accent1 9" xfId="195"/>
    <cellStyle name="40% - Accent1 9 2" xfId="196"/>
    <cellStyle name="40% - Accent2 10" xfId="197"/>
    <cellStyle name="40% - Accent2 10 2" xfId="198"/>
    <cellStyle name="40% - Accent2 11" xfId="199"/>
    <cellStyle name="40% - Accent2 11 2" xfId="200"/>
    <cellStyle name="40% - Accent2 12" xfId="201"/>
    <cellStyle name="40% - Accent2 2" xfId="202"/>
    <cellStyle name="40% - Accent2 2 2" xfId="203"/>
    <cellStyle name="40% - Accent2 2 3" xfId="204"/>
    <cellStyle name="40% - Accent2 2 4" xfId="205"/>
    <cellStyle name="40% - Accent2 2 5" xfId="206"/>
    <cellStyle name="40% - Accent2 2 6" xfId="207"/>
    <cellStyle name="40% - Accent2 3" xfId="208"/>
    <cellStyle name="40% - Accent2 3 2" xfId="209"/>
    <cellStyle name="40% - Accent2 3 3" xfId="210"/>
    <cellStyle name="40% - Accent2 3 4" xfId="211"/>
    <cellStyle name="40% - Accent2 3 5" xfId="212"/>
    <cellStyle name="40% - Accent2 4" xfId="213"/>
    <cellStyle name="40% - Accent2 4 2" xfId="214"/>
    <cellStyle name="40% - Accent2 5" xfId="215"/>
    <cellStyle name="40% - Accent2 5 2" xfId="216"/>
    <cellStyle name="40% - Accent2 6" xfId="217"/>
    <cellStyle name="40% - Accent2 6 2" xfId="218"/>
    <cellStyle name="40% - Accent2 7" xfId="219"/>
    <cellStyle name="40% - Accent2 7 2" xfId="220"/>
    <cellStyle name="40% - Accent2 8" xfId="221"/>
    <cellStyle name="40% - Accent2 8 2" xfId="222"/>
    <cellStyle name="40% - Accent2 9" xfId="223"/>
    <cellStyle name="40% - Accent2 9 2" xfId="224"/>
    <cellStyle name="40% - Accent3 10" xfId="225"/>
    <cellStyle name="40% - Accent3 10 2" xfId="226"/>
    <cellStyle name="40% - Accent3 11" xfId="227"/>
    <cellStyle name="40% - Accent3 11 2" xfId="228"/>
    <cellStyle name="40% - Accent3 12" xfId="229"/>
    <cellStyle name="40% - Accent3 2" xfId="230"/>
    <cellStyle name="40% - Accent3 2 2" xfId="231"/>
    <cellStyle name="40% - Accent3 2 3" xfId="232"/>
    <cellStyle name="40% - Accent3 2 4" xfId="233"/>
    <cellStyle name="40% - Accent3 2 5" xfId="234"/>
    <cellStyle name="40% - Accent3 2 6" xfId="235"/>
    <cellStyle name="40% - Accent3 3" xfId="236"/>
    <cellStyle name="40% - Accent3 3 2" xfId="237"/>
    <cellStyle name="40% - Accent3 3 3" xfId="238"/>
    <cellStyle name="40% - Accent3 3 4" xfId="239"/>
    <cellStyle name="40% - Accent3 3 5" xfId="240"/>
    <cellStyle name="40% - Accent3 4" xfId="241"/>
    <cellStyle name="40% - Accent3 4 2" xfId="242"/>
    <cellStyle name="40% - Accent3 5" xfId="243"/>
    <cellStyle name="40% - Accent3 5 2" xfId="244"/>
    <cellStyle name="40% - Accent3 6" xfId="245"/>
    <cellStyle name="40% - Accent3 6 2" xfId="246"/>
    <cellStyle name="40% - Accent3 7" xfId="247"/>
    <cellStyle name="40% - Accent3 7 2" xfId="248"/>
    <cellStyle name="40% - Accent3 8" xfId="249"/>
    <cellStyle name="40% - Accent3 8 2" xfId="250"/>
    <cellStyle name="40% - Accent3 9" xfId="251"/>
    <cellStyle name="40% - Accent3 9 2" xfId="252"/>
    <cellStyle name="40% - Accent4 10" xfId="253"/>
    <cellStyle name="40% - Accent4 10 2" xfId="254"/>
    <cellStyle name="40% - Accent4 11" xfId="255"/>
    <cellStyle name="40% - Accent4 11 2" xfId="256"/>
    <cellStyle name="40% - Accent4 12" xfId="257"/>
    <cellStyle name="40% - Accent4 2" xfId="258"/>
    <cellStyle name="40% - Accent4 2 2" xfId="259"/>
    <cellStyle name="40% - Accent4 2 3" xfId="260"/>
    <cellStyle name="40% - Accent4 2 4" xfId="261"/>
    <cellStyle name="40% - Accent4 2 5" xfId="262"/>
    <cellStyle name="40% - Accent4 2 6" xfId="263"/>
    <cellStyle name="40% - Accent4 3" xfId="264"/>
    <cellStyle name="40% - Accent4 3 2" xfId="265"/>
    <cellStyle name="40% - Accent4 3 3" xfId="266"/>
    <cellStyle name="40% - Accent4 3 4" xfId="267"/>
    <cellStyle name="40% - Accent4 3 5" xfId="268"/>
    <cellStyle name="40% - Accent4 4" xfId="269"/>
    <cellStyle name="40% - Accent4 4 2" xfId="270"/>
    <cellStyle name="40% - Accent4 5" xfId="271"/>
    <cellStyle name="40% - Accent4 5 2" xfId="272"/>
    <cellStyle name="40% - Accent4 6" xfId="273"/>
    <cellStyle name="40% - Accent4 6 2" xfId="274"/>
    <cellStyle name="40% - Accent4 7" xfId="275"/>
    <cellStyle name="40% - Accent4 7 2" xfId="276"/>
    <cellStyle name="40% - Accent4 8" xfId="277"/>
    <cellStyle name="40% - Accent4 8 2" xfId="278"/>
    <cellStyle name="40% - Accent4 9" xfId="279"/>
    <cellStyle name="40% - Accent4 9 2" xfId="280"/>
    <cellStyle name="40% - Accent5 10" xfId="281"/>
    <cellStyle name="40% - Accent5 10 2" xfId="282"/>
    <cellStyle name="40% - Accent5 11" xfId="283"/>
    <cellStyle name="40% - Accent5 11 2" xfId="284"/>
    <cellStyle name="40% - Accent5 12" xfId="285"/>
    <cellStyle name="40% - Accent5 2" xfId="286"/>
    <cellStyle name="40% - Accent5 2 2" xfId="287"/>
    <cellStyle name="40% - Accent5 2 3" xfId="288"/>
    <cellStyle name="40% - Accent5 2 4" xfId="289"/>
    <cellStyle name="40% - Accent5 2 5" xfId="290"/>
    <cellStyle name="40% - Accent5 2 6" xfId="291"/>
    <cellStyle name="40% - Accent5 3" xfId="292"/>
    <cellStyle name="40% - Accent5 3 2" xfId="293"/>
    <cellStyle name="40% - Accent5 3 3" xfId="294"/>
    <cellStyle name="40% - Accent5 3 4" xfId="295"/>
    <cellStyle name="40% - Accent5 3 5" xfId="296"/>
    <cellStyle name="40% - Accent5 4" xfId="297"/>
    <cellStyle name="40% - Accent5 4 2" xfId="298"/>
    <cellStyle name="40% - Accent5 5" xfId="299"/>
    <cellStyle name="40% - Accent5 5 2" xfId="300"/>
    <cellStyle name="40% - Accent5 6" xfId="301"/>
    <cellStyle name="40% - Accent5 6 2" xfId="302"/>
    <cellStyle name="40% - Accent5 7" xfId="303"/>
    <cellStyle name="40% - Accent5 7 2" xfId="304"/>
    <cellStyle name="40% - Accent5 8" xfId="305"/>
    <cellStyle name="40% - Accent5 8 2" xfId="306"/>
    <cellStyle name="40% - Accent5 9" xfId="307"/>
    <cellStyle name="40% - Accent5 9 2" xfId="308"/>
    <cellStyle name="40% - Accent6 10" xfId="309"/>
    <cellStyle name="40% - Accent6 10 2" xfId="310"/>
    <cellStyle name="40% - Accent6 11" xfId="311"/>
    <cellStyle name="40% - Accent6 11 2" xfId="312"/>
    <cellStyle name="40% - Accent6 12" xfId="313"/>
    <cellStyle name="40% - Accent6 2" xfId="314"/>
    <cellStyle name="40% - Accent6 2 2" xfId="315"/>
    <cellStyle name="40% - Accent6 2 3" xfId="316"/>
    <cellStyle name="40% - Accent6 2 4" xfId="317"/>
    <cellStyle name="40% - Accent6 2 5" xfId="318"/>
    <cellStyle name="40% - Accent6 2 6" xfId="319"/>
    <cellStyle name="40% - Accent6 3" xfId="320"/>
    <cellStyle name="40% - Accent6 3 2" xfId="321"/>
    <cellStyle name="40% - Accent6 3 3" xfId="322"/>
    <cellStyle name="40% - Accent6 3 4" xfId="323"/>
    <cellStyle name="40% - Accent6 3 5" xfId="324"/>
    <cellStyle name="40% - Accent6 4" xfId="325"/>
    <cellStyle name="40% - Accent6 4 2" xfId="326"/>
    <cellStyle name="40% - Accent6 5" xfId="327"/>
    <cellStyle name="40% - Accent6 5 2" xfId="328"/>
    <cellStyle name="40% - Accent6 6" xfId="329"/>
    <cellStyle name="40% - Accent6 6 2" xfId="330"/>
    <cellStyle name="40% - Accent6 7" xfId="331"/>
    <cellStyle name="40% - Accent6 7 2" xfId="332"/>
    <cellStyle name="40% - Accent6 8" xfId="333"/>
    <cellStyle name="40% - Accent6 8 2" xfId="334"/>
    <cellStyle name="40% - Accent6 9" xfId="335"/>
    <cellStyle name="40% - Accent6 9 2" xfId="336"/>
    <cellStyle name="60% - Accent1 10" xfId="337"/>
    <cellStyle name="60% - Accent1 10 2" xfId="338"/>
    <cellStyle name="60% - Accent1 11" xfId="339"/>
    <cellStyle name="60% - Accent1 11 2" xfId="340"/>
    <cellStyle name="60% - Accent1 12" xfId="341"/>
    <cellStyle name="60% - Accent1 2" xfId="342"/>
    <cellStyle name="60% - Accent1 3" xfId="343"/>
    <cellStyle name="60% - Accent1 3 2" xfId="344"/>
    <cellStyle name="60% - Accent1 3 3" xfId="345"/>
    <cellStyle name="60% - Accent1 3 4" xfId="346"/>
    <cellStyle name="60% - Accent1 4" xfId="347"/>
    <cellStyle name="60% - Accent1 4 2" xfId="348"/>
    <cellStyle name="60% - Accent1 5" xfId="349"/>
    <cellStyle name="60% - Accent1 5 2" xfId="350"/>
    <cellStyle name="60% - Accent1 6" xfId="351"/>
    <cellStyle name="60% - Accent1 6 2" xfId="352"/>
    <cellStyle name="60% - Accent1 7" xfId="353"/>
    <cellStyle name="60% - Accent1 7 2" xfId="354"/>
    <cellStyle name="60% - Accent1 8" xfId="355"/>
    <cellStyle name="60% - Accent1 8 2" xfId="356"/>
    <cellStyle name="60% - Accent1 9" xfId="357"/>
    <cellStyle name="60% - Accent1 9 2" xfId="358"/>
    <cellStyle name="60% - Accent2 10" xfId="359"/>
    <cellStyle name="60% - Accent2 10 2" xfId="360"/>
    <cellStyle name="60% - Accent2 11" xfId="361"/>
    <cellStyle name="60% - Accent2 11 2" xfId="362"/>
    <cellStyle name="60% - Accent2 12" xfId="363"/>
    <cellStyle name="60% - Accent2 2" xfId="364"/>
    <cellStyle name="60% - Accent2 3" xfId="365"/>
    <cellStyle name="60% - Accent2 3 2" xfId="366"/>
    <cellStyle name="60% - Accent2 3 3" xfId="367"/>
    <cellStyle name="60% - Accent2 3 4" xfId="368"/>
    <cellStyle name="60% - Accent2 4" xfId="369"/>
    <cellStyle name="60% - Accent2 4 2" xfId="370"/>
    <cellStyle name="60% - Accent2 5" xfId="371"/>
    <cellStyle name="60% - Accent2 5 2" xfId="372"/>
    <cellStyle name="60% - Accent2 6" xfId="373"/>
    <cellStyle name="60% - Accent2 6 2" xfId="374"/>
    <cellStyle name="60% - Accent2 7" xfId="375"/>
    <cellStyle name="60% - Accent2 7 2" xfId="376"/>
    <cellStyle name="60% - Accent2 8" xfId="377"/>
    <cellStyle name="60% - Accent2 8 2" xfId="378"/>
    <cellStyle name="60% - Accent2 9" xfId="379"/>
    <cellStyle name="60% - Accent2 9 2" xfId="380"/>
    <cellStyle name="60% - Accent3 10" xfId="381"/>
    <cellStyle name="60% - Accent3 10 2" xfId="382"/>
    <cellStyle name="60% - Accent3 11" xfId="383"/>
    <cellStyle name="60% - Accent3 11 2" xfId="384"/>
    <cellStyle name="60% - Accent3 12" xfId="385"/>
    <cellStyle name="60% - Accent3 2" xfId="386"/>
    <cellStyle name="60% - Accent3 3" xfId="387"/>
    <cellStyle name="60% - Accent3 3 2" xfId="388"/>
    <cellStyle name="60% - Accent3 3 3" xfId="389"/>
    <cellStyle name="60% - Accent3 3 4" xfId="390"/>
    <cellStyle name="60% - Accent3 4" xfId="391"/>
    <cellStyle name="60% - Accent3 4 2" xfId="392"/>
    <cellStyle name="60% - Accent3 5" xfId="393"/>
    <cellStyle name="60% - Accent3 5 2" xfId="394"/>
    <cellStyle name="60% - Accent3 6" xfId="395"/>
    <cellStyle name="60% - Accent3 6 2" xfId="396"/>
    <cellStyle name="60% - Accent3 7" xfId="397"/>
    <cellStyle name="60% - Accent3 7 2" xfId="398"/>
    <cellStyle name="60% - Accent3 8" xfId="399"/>
    <cellStyle name="60% - Accent3 8 2" xfId="400"/>
    <cellStyle name="60% - Accent3 9" xfId="401"/>
    <cellStyle name="60% - Accent3 9 2" xfId="402"/>
    <cellStyle name="60% - Accent4 10" xfId="403"/>
    <cellStyle name="60% - Accent4 10 2" xfId="404"/>
    <cellStyle name="60% - Accent4 11" xfId="405"/>
    <cellStyle name="60% - Accent4 11 2" xfId="406"/>
    <cellStyle name="60% - Accent4 12" xfId="407"/>
    <cellStyle name="60% - Accent4 2" xfId="408"/>
    <cellStyle name="60% - Accent4 3" xfId="409"/>
    <cellStyle name="60% - Accent4 3 2" xfId="410"/>
    <cellStyle name="60% - Accent4 3 3" xfId="411"/>
    <cellStyle name="60% - Accent4 3 4" xfId="412"/>
    <cellStyle name="60% - Accent4 4" xfId="413"/>
    <cellStyle name="60% - Accent4 4 2" xfId="414"/>
    <cellStyle name="60% - Accent4 5" xfId="415"/>
    <cellStyle name="60% - Accent4 5 2" xfId="416"/>
    <cellStyle name="60% - Accent4 6" xfId="417"/>
    <cellStyle name="60% - Accent4 6 2" xfId="418"/>
    <cellStyle name="60% - Accent4 7" xfId="419"/>
    <cellStyle name="60% - Accent4 7 2" xfId="420"/>
    <cellStyle name="60% - Accent4 8" xfId="421"/>
    <cellStyle name="60% - Accent4 8 2" xfId="422"/>
    <cellStyle name="60% - Accent4 9" xfId="423"/>
    <cellStyle name="60% - Accent4 9 2" xfId="424"/>
    <cellStyle name="60% - Accent5 10" xfId="425"/>
    <cellStyle name="60% - Accent5 10 2" xfId="426"/>
    <cellStyle name="60% - Accent5 11" xfId="427"/>
    <cellStyle name="60% - Accent5 11 2" xfId="428"/>
    <cellStyle name="60% - Accent5 12" xfId="429"/>
    <cellStyle name="60% - Accent5 2" xfId="430"/>
    <cellStyle name="60% - Accent5 3" xfId="431"/>
    <cellStyle name="60% - Accent5 3 2" xfId="432"/>
    <cellStyle name="60% - Accent5 3 3" xfId="433"/>
    <cellStyle name="60% - Accent5 3 4" xfId="434"/>
    <cellStyle name="60% - Accent5 4" xfId="435"/>
    <cellStyle name="60% - Accent5 4 2" xfId="436"/>
    <cellStyle name="60% - Accent5 5" xfId="437"/>
    <cellStyle name="60% - Accent5 5 2" xfId="438"/>
    <cellStyle name="60% - Accent5 6" xfId="439"/>
    <cellStyle name="60% - Accent5 6 2" xfId="440"/>
    <cellStyle name="60% - Accent5 7" xfId="441"/>
    <cellStyle name="60% - Accent5 7 2" xfId="442"/>
    <cellStyle name="60% - Accent5 8" xfId="443"/>
    <cellStyle name="60% - Accent5 8 2" xfId="444"/>
    <cellStyle name="60% - Accent5 9" xfId="445"/>
    <cellStyle name="60% - Accent5 9 2" xfId="446"/>
    <cellStyle name="60% - Accent6 10" xfId="447"/>
    <cellStyle name="60% - Accent6 10 2" xfId="448"/>
    <cellStyle name="60% - Accent6 11" xfId="449"/>
    <cellStyle name="60% - Accent6 11 2" xfId="450"/>
    <cellStyle name="60% - Accent6 12" xfId="451"/>
    <cellStyle name="60% - Accent6 2" xfId="452"/>
    <cellStyle name="60% - Accent6 3" xfId="453"/>
    <cellStyle name="60% - Accent6 3 2" xfId="454"/>
    <cellStyle name="60% - Accent6 3 3" xfId="455"/>
    <cellStyle name="60% - Accent6 3 4" xfId="456"/>
    <cellStyle name="60% - Accent6 4" xfId="457"/>
    <cellStyle name="60% - Accent6 4 2" xfId="458"/>
    <cellStyle name="60% - Accent6 5" xfId="459"/>
    <cellStyle name="60% - Accent6 5 2" xfId="460"/>
    <cellStyle name="60% - Accent6 6" xfId="461"/>
    <cellStyle name="60% - Accent6 6 2" xfId="462"/>
    <cellStyle name="60% - Accent6 7" xfId="463"/>
    <cellStyle name="60% - Accent6 7 2" xfId="464"/>
    <cellStyle name="60% - Accent6 8" xfId="465"/>
    <cellStyle name="60% - Accent6 8 2" xfId="466"/>
    <cellStyle name="60% - Accent6 9" xfId="467"/>
    <cellStyle name="60% - Accent6 9 2" xfId="468"/>
    <cellStyle name="Accent1 10" xfId="469"/>
    <cellStyle name="Accent1 10 2" xfId="470"/>
    <cellStyle name="Accent1 11" xfId="471"/>
    <cellStyle name="Accent1 11 2" xfId="472"/>
    <cellStyle name="Accent1 12" xfId="473"/>
    <cellStyle name="Accent1 2" xfId="474"/>
    <cellStyle name="Accent1 3" xfId="475"/>
    <cellStyle name="Accent1 3 2" xfId="476"/>
    <cellStyle name="Accent1 3 3" xfId="477"/>
    <cellStyle name="Accent1 3 4" xfId="478"/>
    <cellStyle name="Accent1 4" xfId="479"/>
    <cellStyle name="Accent1 4 2" xfId="480"/>
    <cellStyle name="Accent1 5" xfId="481"/>
    <cellStyle name="Accent1 5 2" xfId="482"/>
    <cellStyle name="Accent1 6" xfId="483"/>
    <cellStyle name="Accent1 6 2" xfId="484"/>
    <cellStyle name="Accent1 7" xfId="485"/>
    <cellStyle name="Accent1 7 2" xfId="486"/>
    <cellStyle name="Accent1 8" xfId="487"/>
    <cellStyle name="Accent1 8 2" xfId="488"/>
    <cellStyle name="Accent1 9" xfId="489"/>
    <cellStyle name="Accent1 9 2" xfId="490"/>
    <cellStyle name="Accent2 10" xfId="491"/>
    <cellStyle name="Accent2 10 2" xfId="492"/>
    <cellStyle name="Accent2 11" xfId="493"/>
    <cellStyle name="Accent2 11 2" xfId="494"/>
    <cellStyle name="Accent2 12" xfId="495"/>
    <cellStyle name="Accent2 2" xfId="496"/>
    <cellStyle name="Accent2 3" xfId="497"/>
    <cellStyle name="Accent2 3 2" xfId="498"/>
    <cellStyle name="Accent2 3 3" xfId="499"/>
    <cellStyle name="Accent2 3 4" xfId="500"/>
    <cellStyle name="Accent2 4" xfId="501"/>
    <cellStyle name="Accent2 4 2" xfId="502"/>
    <cellStyle name="Accent2 5" xfId="503"/>
    <cellStyle name="Accent2 5 2" xfId="504"/>
    <cellStyle name="Accent2 6" xfId="505"/>
    <cellStyle name="Accent2 6 2" xfId="506"/>
    <cellStyle name="Accent2 7" xfId="507"/>
    <cellStyle name="Accent2 7 2" xfId="508"/>
    <cellStyle name="Accent2 8" xfId="509"/>
    <cellStyle name="Accent2 8 2" xfId="510"/>
    <cellStyle name="Accent2 9" xfId="511"/>
    <cellStyle name="Accent2 9 2" xfId="512"/>
    <cellStyle name="Accent3 10" xfId="513"/>
    <cellStyle name="Accent3 10 2" xfId="514"/>
    <cellStyle name="Accent3 11" xfId="515"/>
    <cellStyle name="Accent3 11 2" xfId="516"/>
    <cellStyle name="Accent3 12" xfId="517"/>
    <cellStyle name="Accent3 2" xfId="518"/>
    <cellStyle name="Accent3 3" xfId="519"/>
    <cellStyle name="Accent3 3 2" xfId="520"/>
    <cellStyle name="Accent3 3 3" xfId="521"/>
    <cellStyle name="Accent3 3 4" xfId="522"/>
    <cellStyle name="Accent3 4" xfId="523"/>
    <cellStyle name="Accent3 4 2" xfId="524"/>
    <cellStyle name="Accent3 5" xfId="525"/>
    <cellStyle name="Accent3 5 2" xfId="526"/>
    <cellStyle name="Accent3 6" xfId="527"/>
    <cellStyle name="Accent3 6 2" xfId="528"/>
    <cellStyle name="Accent3 7" xfId="529"/>
    <cellStyle name="Accent3 7 2" xfId="530"/>
    <cellStyle name="Accent3 8" xfId="531"/>
    <cellStyle name="Accent3 8 2" xfId="532"/>
    <cellStyle name="Accent3 9" xfId="533"/>
    <cellStyle name="Accent3 9 2" xfId="534"/>
    <cellStyle name="Accent4 10" xfId="535"/>
    <cellStyle name="Accent4 10 2" xfId="536"/>
    <cellStyle name="Accent4 11" xfId="537"/>
    <cellStyle name="Accent4 11 2" xfId="538"/>
    <cellStyle name="Accent4 12" xfId="539"/>
    <cellStyle name="Accent4 2" xfId="540"/>
    <cellStyle name="Accent4 3" xfId="541"/>
    <cellStyle name="Accent4 3 2" xfId="542"/>
    <cellStyle name="Accent4 3 3" xfId="543"/>
    <cellStyle name="Accent4 3 4" xfId="544"/>
    <cellStyle name="Accent4 4" xfId="545"/>
    <cellStyle name="Accent4 4 2" xfId="546"/>
    <cellStyle name="Accent4 5" xfId="547"/>
    <cellStyle name="Accent4 5 2" xfId="548"/>
    <cellStyle name="Accent4 6" xfId="549"/>
    <cellStyle name="Accent4 6 2" xfId="550"/>
    <cellStyle name="Accent4 7" xfId="551"/>
    <cellStyle name="Accent4 7 2" xfId="552"/>
    <cellStyle name="Accent4 8" xfId="553"/>
    <cellStyle name="Accent4 8 2" xfId="554"/>
    <cellStyle name="Accent4 9" xfId="555"/>
    <cellStyle name="Accent4 9 2" xfId="556"/>
    <cellStyle name="Accent5 10" xfId="557"/>
    <cellStyle name="Accent5 10 2" xfId="558"/>
    <cellStyle name="Accent5 11" xfId="559"/>
    <cellStyle name="Accent5 11 2" xfId="560"/>
    <cellStyle name="Accent5 12" xfId="561"/>
    <cellStyle name="Accent5 2" xfId="562"/>
    <cellStyle name="Accent5 3" xfId="563"/>
    <cellStyle name="Accent5 3 2" xfId="564"/>
    <cellStyle name="Accent5 3 3" xfId="565"/>
    <cellStyle name="Accent5 3 4" xfId="566"/>
    <cellStyle name="Accent5 4" xfId="567"/>
    <cellStyle name="Accent5 4 2" xfId="568"/>
    <cellStyle name="Accent5 5" xfId="569"/>
    <cellStyle name="Accent5 5 2" xfId="570"/>
    <cellStyle name="Accent5 6" xfId="571"/>
    <cellStyle name="Accent5 6 2" xfId="572"/>
    <cellStyle name="Accent5 7" xfId="573"/>
    <cellStyle name="Accent5 7 2" xfId="574"/>
    <cellStyle name="Accent5 8" xfId="575"/>
    <cellStyle name="Accent5 8 2" xfId="576"/>
    <cellStyle name="Accent5 9" xfId="577"/>
    <cellStyle name="Accent5 9 2" xfId="578"/>
    <cellStyle name="Accent6 10" xfId="579"/>
    <cellStyle name="Accent6 10 2" xfId="580"/>
    <cellStyle name="Accent6 11" xfId="581"/>
    <cellStyle name="Accent6 11 2" xfId="582"/>
    <cellStyle name="Accent6 12" xfId="583"/>
    <cellStyle name="Accent6 2" xfId="584"/>
    <cellStyle name="Accent6 3" xfId="585"/>
    <cellStyle name="Accent6 3 2" xfId="586"/>
    <cellStyle name="Accent6 3 3" xfId="587"/>
    <cellStyle name="Accent6 3 4" xfId="588"/>
    <cellStyle name="Accent6 4" xfId="589"/>
    <cellStyle name="Accent6 4 2" xfId="590"/>
    <cellStyle name="Accent6 5" xfId="591"/>
    <cellStyle name="Accent6 5 2" xfId="592"/>
    <cellStyle name="Accent6 6" xfId="593"/>
    <cellStyle name="Accent6 6 2" xfId="594"/>
    <cellStyle name="Accent6 7" xfId="595"/>
    <cellStyle name="Accent6 7 2" xfId="596"/>
    <cellStyle name="Accent6 8" xfId="597"/>
    <cellStyle name="Accent6 8 2" xfId="598"/>
    <cellStyle name="Accent6 9" xfId="599"/>
    <cellStyle name="Accent6 9 2" xfId="600"/>
    <cellStyle name="Bad 10" xfId="601"/>
    <cellStyle name="Bad 10 2" xfId="602"/>
    <cellStyle name="Bad 11" xfId="603"/>
    <cellStyle name="Bad 11 2" xfId="604"/>
    <cellStyle name="Bad 12" xfId="605"/>
    <cellStyle name="Bad 2" xfId="606"/>
    <cellStyle name="Bad 3" xfId="607"/>
    <cellStyle name="Bad 3 2" xfId="608"/>
    <cellStyle name="Bad 3 3" xfId="609"/>
    <cellStyle name="Bad 3 4" xfId="610"/>
    <cellStyle name="Bad 4" xfId="611"/>
    <cellStyle name="Bad 4 2" xfId="612"/>
    <cellStyle name="Bad 5" xfId="613"/>
    <cellStyle name="Bad 5 2" xfId="614"/>
    <cellStyle name="Bad 6" xfId="615"/>
    <cellStyle name="Bad 6 2" xfId="616"/>
    <cellStyle name="Bad 7" xfId="617"/>
    <cellStyle name="Bad 7 2" xfId="618"/>
    <cellStyle name="Bad 8" xfId="619"/>
    <cellStyle name="Bad 8 2" xfId="620"/>
    <cellStyle name="Bad 9" xfId="621"/>
    <cellStyle name="Bad 9 2" xfId="622"/>
    <cellStyle name="Calculation 10" xfId="623"/>
    <cellStyle name="Calculation 10 2" xfId="624"/>
    <cellStyle name="Calculation 11" xfId="625"/>
    <cellStyle name="Calculation 11 2" xfId="626"/>
    <cellStyle name="Calculation 12" xfId="627"/>
    <cellStyle name="Calculation 2" xfId="628"/>
    <cellStyle name="Calculation 3" xfId="629"/>
    <cellStyle name="Calculation 3 2" xfId="630"/>
    <cellStyle name="Calculation 3 3" xfId="631"/>
    <cellStyle name="Calculation 3 4" xfId="632"/>
    <cellStyle name="Calculation 4" xfId="633"/>
    <cellStyle name="Calculation 4 2" xfId="634"/>
    <cellStyle name="Calculation 5" xfId="635"/>
    <cellStyle name="Calculation 5 2" xfId="636"/>
    <cellStyle name="Calculation 6" xfId="637"/>
    <cellStyle name="Calculation 6 2" xfId="638"/>
    <cellStyle name="Calculation 7" xfId="639"/>
    <cellStyle name="Calculation 7 2" xfId="640"/>
    <cellStyle name="Calculation 8" xfId="641"/>
    <cellStyle name="Calculation 8 2" xfId="642"/>
    <cellStyle name="Calculation 9" xfId="643"/>
    <cellStyle name="Calculation 9 2" xfId="644"/>
    <cellStyle name="Check Cell 10" xfId="645"/>
    <cellStyle name="Check Cell 10 2" xfId="646"/>
    <cellStyle name="Check Cell 11" xfId="647"/>
    <cellStyle name="Check Cell 11 2" xfId="648"/>
    <cellStyle name="Check Cell 12" xfId="649"/>
    <cellStyle name="Check Cell 2" xfId="650"/>
    <cellStyle name="Check Cell 3" xfId="651"/>
    <cellStyle name="Check Cell 3 2" xfId="652"/>
    <cellStyle name="Check Cell 3 3" xfId="653"/>
    <cellStyle name="Check Cell 3 4" xfId="654"/>
    <cellStyle name="Check Cell 4" xfId="655"/>
    <cellStyle name="Check Cell 4 2" xfId="656"/>
    <cellStyle name="Check Cell 5" xfId="657"/>
    <cellStyle name="Check Cell 5 2" xfId="658"/>
    <cellStyle name="Check Cell 6" xfId="659"/>
    <cellStyle name="Check Cell 6 2" xfId="660"/>
    <cellStyle name="Check Cell 7" xfId="661"/>
    <cellStyle name="Check Cell 7 2" xfId="662"/>
    <cellStyle name="Check Cell 8" xfId="663"/>
    <cellStyle name="Check Cell 8 2" xfId="664"/>
    <cellStyle name="Check Cell 9" xfId="665"/>
    <cellStyle name="Check Cell 9 2" xfId="666"/>
    <cellStyle name="Comma 2" xfId="667"/>
    <cellStyle name="Comma 3" xfId="668"/>
    <cellStyle name="Comma 4" xfId="669"/>
    <cellStyle name="Excel Built-in Normal" xfId="670"/>
    <cellStyle name="Explanatory Text 10" xfId="671"/>
    <cellStyle name="Explanatory Text 10 2" xfId="672"/>
    <cellStyle name="Explanatory Text 11" xfId="673"/>
    <cellStyle name="Explanatory Text 11 2" xfId="674"/>
    <cellStyle name="Explanatory Text 12" xfId="675"/>
    <cellStyle name="Explanatory Text 2" xfId="676"/>
    <cellStyle name="Explanatory Text 3" xfId="677"/>
    <cellStyle name="Explanatory Text 3 2" xfId="678"/>
    <cellStyle name="Explanatory Text 3 3" xfId="679"/>
    <cellStyle name="Explanatory Text 3 4" xfId="680"/>
    <cellStyle name="Explanatory Text 4" xfId="681"/>
    <cellStyle name="Explanatory Text 4 2" xfId="682"/>
    <cellStyle name="Explanatory Text 5" xfId="683"/>
    <cellStyle name="Explanatory Text 5 2" xfId="684"/>
    <cellStyle name="Explanatory Text 6" xfId="685"/>
    <cellStyle name="Explanatory Text 6 2" xfId="686"/>
    <cellStyle name="Explanatory Text 7" xfId="687"/>
    <cellStyle name="Explanatory Text 7 2" xfId="688"/>
    <cellStyle name="Explanatory Text 8" xfId="689"/>
    <cellStyle name="Explanatory Text 8 2" xfId="690"/>
    <cellStyle name="Explanatory Text 9" xfId="691"/>
    <cellStyle name="Explanatory Text 9 2" xfId="692"/>
    <cellStyle name="Good 10" xfId="693"/>
    <cellStyle name="Good 10 2" xfId="694"/>
    <cellStyle name="Good 11" xfId="695"/>
    <cellStyle name="Good 11 2" xfId="696"/>
    <cellStyle name="Good 12" xfId="697"/>
    <cellStyle name="Good 2" xfId="698"/>
    <cellStyle name="Good 3" xfId="699"/>
    <cellStyle name="Good 3 2" xfId="700"/>
    <cellStyle name="Good 3 3" xfId="701"/>
    <cellStyle name="Good 3 4" xfId="702"/>
    <cellStyle name="Good 4" xfId="703"/>
    <cellStyle name="Good 4 2" xfId="704"/>
    <cellStyle name="Good 5" xfId="705"/>
    <cellStyle name="Good 5 2" xfId="706"/>
    <cellStyle name="Good 6" xfId="707"/>
    <cellStyle name="Good 6 2" xfId="708"/>
    <cellStyle name="Good 7" xfId="709"/>
    <cellStyle name="Good 7 2" xfId="710"/>
    <cellStyle name="Good 8" xfId="711"/>
    <cellStyle name="Good 8 2" xfId="712"/>
    <cellStyle name="Good 9" xfId="713"/>
    <cellStyle name="Good 9 2" xfId="714"/>
    <cellStyle name="Heading 1 10" xfId="715"/>
    <cellStyle name="Heading 1 10 2" xfId="716"/>
    <cellStyle name="Heading 1 11" xfId="717"/>
    <cellStyle name="Heading 1 11 2" xfId="718"/>
    <cellStyle name="Heading 1 12" xfId="719"/>
    <cellStyle name="Heading 1 2" xfId="720"/>
    <cellStyle name="Heading 1 3" xfId="721"/>
    <cellStyle name="Heading 1 3 2" xfId="722"/>
    <cellStyle name="Heading 1 3 3" xfId="723"/>
    <cellStyle name="Heading 1 3 4" xfId="724"/>
    <cellStyle name="Heading 1 4" xfId="725"/>
    <cellStyle name="Heading 1 4 2" xfId="726"/>
    <cellStyle name="Heading 1 5" xfId="727"/>
    <cellStyle name="Heading 1 5 2" xfId="728"/>
    <cellStyle name="Heading 1 6" xfId="729"/>
    <cellStyle name="Heading 1 6 2" xfId="730"/>
    <cellStyle name="Heading 1 7" xfId="731"/>
    <cellStyle name="Heading 1 7 2" xfId="732"/>
    <cellStyle name="Heading 1 8" xfId="733"/>
    <cellStyle name="Heading 1 8 2" xfId="734"/>
    <cellStyle name="Heading 1 9" xfId="735"/>
    <cellStyle name="Heading 1 9 2" xfId="736"/>
    <cellStyle name="Heading 2 10" xfId="737"/>
    <cellStyle name="Heading 2 10 2" xfId="738"/>
    <cellStyle name="Heading 2 11" xfId="739"/>
    <cellStyle name="Heading 2 11 2" xfId="740"/>
    <cellStyle name="Heading 2 12" xfId="741"/>
    <cellStyle name="Heading 2 2" xfId="742"/>
    <cellStyle name="Heading 2 3" xfId="743"/>
    <cellStyle name="Heading 2 3 2" xfId="744"/>
    <cellStyle name="Heading 2 3 3" xfId="745"/>
    <cellStyle name="Heading 2 3 4" xfId="746"/>
    <cellStyle name="Heading 2 4" xfId="747"/>
    <cellStyle name="Heading 2 4 2" xfId="748"/>
    <cellStyle name="Heading 2 5" xfId="749"/>
    <cellStyle name="Heading 2 5 2" xfId="750"/>
    <cellStyle name="Heading 2 6" xfId="751"/>
    <cellStyle name="Heading 2 6 2" xfId="752"/>
    <cellStyle name="Heading 2 7" xfId="753"/>
    <cellStyle name="Heading 2 7 2" xfId="754"/>
    <cellStyle name="Heading 2 8" xfId="755"/>
    <cellStyle name="Heading 2 8 2" xfId="756"/>
    <cellStyle name="Heading 2 9" xfId="757"/>
    <cellStyle name="Heading 2 9 2" xfId="758"/>
    <cellStyle name="Heading 3 10" xfId="759"/>
    <cellStyle name="Heading 3 10 2" xfId="760"/>
    <cellStyle name="Heading 3 11" xfId="761"/>
    <cellStyle name="Heading 3 11 2" xfId="762"/>
    <cellStyle name="Heading 3 12" xfId="763"/>
    <cellStyle name="Heading 3 2" xfId="764"/>
    <cellStyle name="Heading 3 3" xfId="765"/>
    <cellStyle name="Heading 3 3 2" xfId="766"/>
    <cellStyle name="Heading 3 3 3" xfId="767"/>
    <cellStyle name="Heading 3 3 4" xfId="768"/>
    <cellStyle name="Heading 3 4" xfId="769"/>
    <cellStyle name="Heading 3 4 2" xfId="770"/>
    <cellStyle name="Heading 3 5" xfId="771"/>
    <cellStyle name="Heading 3 5 2" xfId="772"/>
    <cellStyle name="Heading 3 6" xfId="773"/>
    <cellStyle name="Heading 3 6 2" xfId="774"/>
    <cellStyle name="Heading 3 7" xfId="775"/>
    <cellStyle name="Heading 3 7 2" xfId="776"/>
    <cellStyle name="Heading 3 8" xfId="777"/>
    <cellStyle name="Heading 3 8 2" xfId="778"/>
    <cellStyle name="Heading 3 9" xfId="779"/>
    <cellStyle name="Heading 3 9 2" xfId="780"/>
    <cellStyle name="Heading 4 10" xfId="781"/>
    <cellStyle name="Heading 4 10 2" xfId="782"/>
    <cellStyle name="Heading 4 11" xfId="783"/>
    <cellStyle name="Heading 4 11 2" xfId="784"/>
    <cellStyle name="Heading 4 12" xfId="785"/>
    <cellStyle name="Heading 4 2" xfId="786"/>
    <cellStyle name="Heading 4 3" xfId="787"/>
    <cellStyle name="Heading 4 3 2" xfId="788"/>
    <cellStyle name="Heading 4 3 3" xfId="789"/>
    <cellStyle name="Heading 4 3 4" xfId="790"/>
    <cellStyle name="Heading 4 4" xfId="791"/>
    <cellStyle name="Heading 4 4 2" xfId="792"/>
    <cellStyle name="Heading 4 5" xfId="793"/>
    <cellStyle name="Heading 4 5 2" xfId="794"/>
    <cellStyle name="Heading 4 6" xfId="795"/>
    <cellStyle name="Heading 4 6 2" xfId="796"/>
    <cellStyle name="Heading 4 7" xfId="797"/>
    <cellStyle name="Heading 4 7 2" xfId="798"/>
    <cellStyle name="Heading 4 8" xfId="799"/>
    <cellStyle name="Heading 4 8 2" xfId="800"/>
    <cellStyle name="Heading 4 9" xfId="801"/>
    <cellStyle name="Heading 4 9 2" xfId="802"/>
    <cellStyle name="Hyperlink" xfId="803" builtinId="8"/>
    <cellStyle name="Input 10" xfId="804"/>
    <cellStyle name="Input 10 2" xfId="805"/>
    <cellStyle name="Input 11" xfId="806"/>
    <cellStyle name="Input 11 2" xfId="807"/>
    <cellStyle name="Input 12" xfId="808"/>
    <cellStyle name="Input 2" xfId="809"/>
    <cellStyle name="Input 3" xfId="810"/>
    <cellStyle name="Input 3 2" xfId="811"/>
    <cellStyle name="Input 3 3" xfId="812"/>
    <cellStyle name="Input 3 4" xfId="813"/>
    <cellStyle name="Input 4" xfId="814"/>
    <cellStyle name="Input 4 2" xfId="815"/>
    <cellStyle name="Input 5" xfId="816"/>
    <cellStyle name="Input 5 2" xfId="817"/>
    <cellStyle name="Input 6" xfId="818"/>
    <cellStyle name="Input 6 2" xfId="819"/>
    <cellStyle name="Input 7" xfId="820"/>
    <cellStyle name="Input 7 2" xfId="821"/>
    <cellStyle name="Input 8" xfId="822"/>
    <cellStyle name="Input 8 2" xfId="823"/>
    <cellStyle name="Input 9" xfId="824"/>
    <cellStyle name="Input 9 2" xfId="825"/>
    <cellStyle name="Linked Cell 10" xfId="826"/>
    <cellStyle name="Linked Cell 10 2" xfId="827"/>
    <cellStyle name="Linked Cell 11" xfId="828"/>
    <cellStyle name="Linked Cell 11 2" xfId="829"/>
    <cellStyle name="Linked Cell 12" xfId="830"/>
    <cellStyle name="Linked Cell 2" xfId="831"/>
    <cellStyle name="Linked Cell 3" xfId="832"/>
    <cellStyle name="Linked Cell 3 2" xfId="833"/>
    <cellStyle name="Linked Cell 3 3" xfId="834"/>
    <cellStyle name="Linked Cell 3 4" xfId="835"/>
    <cellStyle name="Linked Cell 4" xfId="836"/>
    <cellStyle name="Linked Cell 4 2" xfId="837"/>
    <cellStyle name="Linked Cell 5" xfId="838"/>
    <cellStyle name="Linked Cell 5 2" xfId="839"/>
    <cellStyle name="Linked Cell 6" xfId="840"/>
    <cellStyle name="Linked Cell 6 2" xfId="841"/>
    <cellStyle name="Linked Cell 7" xfId="842"/>
    <cellStyle name="Linked Cell 7 2" xfId="843"/>
    <cellStyle name="Linked Cell 8" xfId="844"/>
    <cellStyle name="Linked Cell 8 2" xfId="845"/>
    <cellStyle name="Linked Cell 9" xfId="846"/>
    <cellStyle name="Linked Cell 9 2" xfId="847"/>
    <cellStyle name="Neutral 10" xfId="848"/>
    <cellStyle name="Neutral 10 2" xfId="849"/>
    <cellStyle name="Neutral 11" xfId="850"/>
    <cellStyle name="Neutral 11 2" xfId="851"/>
    <cellStyle name="Neutral 12" xfId="852"/>
    <cellStyle name="Neutral 2" xfId="853"/>
    <cellStyle name="Neutral 3" xfId="854"/>
    <cellStyle name="Neutral 3 2" xfId="855"/>
    <cellStyle name="Neutral 3 3" xfId="856"/>
    <cellStyle name="Neutral 3 4" xfId="857"/>
    <cellStyle name="Neutral 4" xfId="858"/>
    <cellStyle name="Neutral 4 2" xfId="859"/>
    <cellStyle name="Neutral 5" xfId="860"/>
    <cellStyle name="Neutral 5 2" xfId="861"/>
    <cellStyle name="Neutral 6" xfId="862"/>
    <cellStyle name="Neutral 6 2" xfId="863"/>
    <cellStyle name="Neutral 7" xfId="864"/>
    <cellStyle name="Neutral 7 2" xfId="865"/>
    <cellStyle name="Neutral 8" xfId="866"/>
    <cellStyle name="Neutral 8 2" xfId="867"/>
    <cellStyle name="Neutral 9" xfId="868"/>
    <cellStyle name="Neutral 9 2" xfId="869"/>
    <cellStyle name="Normal" xfId="0" builtinId="0"/>
    <cellStyle name="Normal 10 2" xfId="870"/>
    <cellStyle name="Normal 11 11" xfId="871"/>
    <cellStyle name="Normal 12" xfId="872"/>
    <cellStyle name="Normal 13" xfId="873"/>
    <cellStyle name="Normal 13 2" xfId="874"/>
    <cellStyle name="Normal 14" xfId="875"/>
    <cellStyle name="Normal 14 2" xfId="876"/>
    <cellStyle name="Normal 17 2" xfId="1041"/>
    <cellStyle name="Normal 2" xfId="877"/>
    <cellStyle name="Normal 2 2" xfId="878"/>
    <cellStyle name="Normal 2 2 2" xfId="879"/>
    <cellStyle name="Normal 2 2 2 2" xfId="880"/>
    <cellStyle name="Normal 2 3" xfId="881"/>
    <cellStyle name="Normal 2 3 2" xfId="882"/>
    <cellStyle name="Normal 2 4" xfId="883"/>
    <cellStyle name="Normal 2 4 2" xfId="884"/>
    <cellStyle name="Normal 2 4 2 3" xfId="885"/>
    <cellStyle name="Normal 3" xfId="886"/>
    <cellStyle name="Normal 4" xfId="887"/>
    <cellStyle name="Normal 4 2" xfId="888"/>
    <cellStyle name="Normal 5 2" xfId="889"/>
    <cellStyle name="Normal 6" xfId="890"/>
    <cellStyle name="Normal 6 2" xfId="891"/>
    <cellStyle name="Normal 7 2" xfId="892"/>
    <cellStyle name="Normal 7 2 2" xfId="893"/>
    <cellStyle name="Normal 9 2" xfId="894"/>
    <cellStyle name="Normal_page1" xfId="895"/>
    <cellStyle name="Note 10" xfId="896"/>
    <cellStyle name="Note 10 2" xfId="897"/>
    <cellStyle name="Note 11" xfId="898"/>
    <cellStyle name="Note 11 2" xfId="899"/>
    <cellStyle name="Note 12" xfId="900"/>
    <cellStyle name="Note 12 2" xfId="901"/>
    <cellStyle name="Note 13" xfId="902"/>
    <cellStyle name="Note 2" xfId="903"/>
    <cellStyle name="Note 2 10" xfId="904"/>
    <cellStyle name="Note 2 11" xfId="905"/>
    <cellStyle name="Note 2 12" xfId="906"/>
    <cellStyle name="Note 2 13" xfId="907"/>
    <cellStyle name="Note 2 14" xfId="908"/>
    <cellStyle name="Note 2 15" xfId="909"/>
    <cellStyle name="Note 2 16" xfId="910"/>
    <cellStyle name="Note 2 2" xfId="911"/>
    <cellStyle name="Note 2 3" xfId="912"/>
    <cellStyle name="Note 2 4" xfId="913"/>
    <cellStyle name="Note 2 5" xfId="914"/>
    <cellStyle name="Note 2 6" xfId="915"/>
    <cellStyle name="Note 2 7" xfId="916"/>
    <cellStyle name="Note 2 8" xfId="917"/>
    <cellStyle name="Note 2 9" xfId="918"/>
    <cellStyle name="Note 3" xfId="919"/>
    <cellStyle name="Note 3 2" xfId="920"/>
    <cellStyle name="Note 3 3" xfId="921"/>
    <cellStyle name="Note 3 4" xfId="922"/>
    <cellStyle name="Note 4" xfId="923"/>
    <cellStyle name="Note 4 2" xfId="924"/>
    <cellStyle name="Note 5" xfId="925"/>
    <cellStyle name="Note 5 2" xfId="926"/>
    <cellStyle name="Note 6" xfId="927"/>
    <cellStyle name="Note 6 2" xfId="928"/>
    <cellStyle name="Note 7" xfId="929"/>
    <cellStyle name="Note 7 2" xfId="930"/>
    <cellStyle name="Note 8" xfId="931"/>
    <cellStyle name="Note 8 2" xfId="932"/>
    <cellStyle name="Note 9" xfId="933"/>
    <cellStyle name="Note 9 2" xfId="934"/>
    <cellStyle name="Output 10" xfId="935"/>
    <cellStyle name="Output 10 2" xfId="936"/>
    <cellStyle name="Output 11" xfId="937"/>
    <cellStyle name="Output 11 2" xfId="938"/>
    <cellStyle name="Output 12" xfId="939"/>
    <cellStyle name="Output 2" xfId="940"/>
    <cellStyle name="Output 3" xfId="941"/>
    <cellStyle name="Output 3 2" xfId="942"/>
    <cellStyle name="Output 3 3" xfId="943"/>
    <cellStyle name="Output 3 4" xfId="944"/>
    <cellStyle name="Output 4" xfId="945"/>
    <cellStyle name="Output 4 2" xfId="946"/>
    <cellStyle name="Output 5" xfId="947"/>
    <cellStyle name="Output 5 2" xfId="948"/>
    <cellStyle name="Output 6" xfId="949"/>
    <cellStyle name="Output 6 2" xfId="950"/>
    <cellStyle name="Output 7" xfId="951"/>
    <cellStyle name="Output 7 2" xfId="952"/>
    <cellStyle name="Output 8" xfId="953"/>
    <cellStyle name="Output 8 2" xfId="954"/>
    <cellStyle name="Output 9" xfId="955"/>
    <cellStyle name="Output 9 2" xfId="956"/>
    <cellStyle name="Percent" xfId="957" builtinId="5"/>
    <cellStyle name="Percent 2" xfId="958"/>
    <cellStyle name="Percent 2 10" xfId="959"/>
    <cellStyle name="Percent 2 11" xfId="960"/>
    <cellStyle name="Percent 2 12" xfId="961"/>
    <cellStyle name="Percent 2 13" xfId="962"/>
    <cellStyle name="Percent 2 14" xfId="963"/>
    <cellStyle name="Percent 2 15" xfId="964"/>
    <cellStyle name="Percent 2 16" xfId="965"/>
    <cellStyle name="Percent 2 2" xfId="966"/>
    <cellStyle name="Percent 2 3" xfId="967"/>
    <cellStyle name="Percent 2 4" xfId="968"/>
    <cellStyle name="Percent 2 5" xfId="969"/>
    <cellStyle name="Percent 2 6" xfId="970"/>
    <cellStyle name="Percent 2 7" xfId="971"/>
    <cellStyle name="Percent 2 8" xfId="972"/>
    <cellStyle name="Percent 2 9" xfId="973"/>
    <cellStyle name="Percent 3" xfId="974"/>
    <cellStyle name="Title 10" xfId="975"/>
    <cellStyle name="Title 10 2" xfId="976"/>
    <cellStyle name="Title 11" xfId="977"/>
    <cellStyle name="Title 11 2" xfId="978"/>
    <cellStyle name="Title 12" xfId="979"/>
    <cellStyle name="Title 2" xfId="980"/>
    <cellStyle name="Title 3" xfId="981"/>
    <cellStyle name="Title 3 2" xfId="982"/>
    <cellStyle name="Title 3 3" xfId="983"/>
    <cellStyle name="Title 3 4" xfId="984"/>
    <cellStyle name="Title 4" xfId="985"/>
    <cellStyle name="Title 4 2" xfId="986"/>
    <cellStyle name="Title 5" xfId="987"/>
    <cellStyle name="Title 5 2" xfId="988"/>
    <cellStyle name="Title 6" xfId="989"/>
    <cellStyle name="Title 6 2" xfId="990"/>
    <cellStyle name="Title 7" xfId="991"/>
    <cellStyle name="Title 7 2" xfId="992"/>
    <cellStyle name="Title 8" xfId="993"/>
    <cellStyle name="Title 8 2" xfId="994"/>
    <cellStyle name="Title 9" xfId="995"/>
    <cellStyle name="Title 9 2" xfId="996"/>
    <cellStyle name="Total 10" xfId="997"/>
    <cellStyle name="Total 10 2" xfId="998"/>
    <cellStyle name="Total 11" xfId="999"/>
    <cellStyle name="Total 11 2" xfId="1000"/>
    <cellStyle name="Total 12" xfId="1001"/>
    <cellStyle name="Total 2" xfId="1002"/>
    <cellStyle name="Total 3" xfId="1003"/>
    <cellStyle name="Total 3 2" xfId="1004"/>
    <cellStyle name="Total 3 3" xfId="1005"/>
    <cellStyle name="Total 3 4" xfId="1006"/>
    <cellStyle name="Total 4" xfId="1007"/>
    <cellStyle name="Total 4 2" xfId="1008"/>
    <cellStyle name="Total 5" xfId="1009"/>
    <cellStyle name="Total 5 2" xfId="1010"/>
    <cellStyle name="Total 6" xfId="1011"/>
    <cellStyle name="Total 6 2" xfId="1012"/>
    <cellStyle name="Total 7" xfId="1013"/>
    <cellStyle name="Total 7 2" xfId="1014"/>
    <cellStyle name="Total 8" xfId="1015"/>
    <cellStyle name="Total 8 2" xfId="1016"/>
    <cellStyle name="Total 9" xfId="1017"/>
    <cellStyle name="Total 9 2" xfId="1018"/>
    <cellStyle name="Warning Text 10" xfId="1019"/>
    <cellStyle name="Warning Text 10 2" xfId="1020"/>
    <cellStyle name="Warning Text 11" xfId="1021"/>
    <cellStyle name="Warning Text 11 2" xfId="1022"/>
    <cellStyle name="Warning Text 12" xfId="1023"/>
    <cellStyle name="Warning Text 2" xfId="1024"/>
    <cellStyle name="Warning Text 3" xfId="1025"/>
    <cellStyle name="Warning Text 3 2" xfId="1026"/>
    <cellStyle name="Warning Text 3 3" xfId="1027"/>
    <cellStyle name="Warning Text 3 4" xfId="1028"/>
    <cellStyle name="Warning Text 4" xfId="1029"/>
    <cellStyle name="Warning Text 4 2" xfId="1030"/>
    <cellStyle name="Warning Text 5" xfId="1031"/>
    <cellStyle name="Warning Text 5 2" xfId="1032"/>
    <cellStyle name="Warning Text 6" xfId="1033"/>
    <cellStyle name="Warning Text 6 2" xfId="1034"/>
    <cellStyle name="Warning Text 7" xfId="1035"/>
    <cellStyle name="Warning Text 7 2" xfId="1036"/>
    <cellStyle name="Warning Text 8" xfId="1037"/>
    <cellStyle name="Warning Text 8 2" xfId="1038"/>
    <cellStyle name="Warning Text 9" xfId="1039"/>
    <cellStyle name="Warning Text 9 2" xfId="1040"/>
  </cellStyles>
  <dxfs count="31">
    <dxf>
      <font>
        <b/>
        <i val="0"/>
        <color theme="9" tint="0.59996337778862885"/>
      </font>
      <fill>
        <patternFill>
          <bgColor theme="4" tint="-0.499984740745262"/>
        </patternFill>
      </fill>
    </dxf>
    <dxf>
      <fill>
        <patternFill>
          <bgColor theme="0" tint="-0.14996795556505021"/>
        </patternFill>
      </fill>
    </dxf>
    <dxf>
      <fill>
        <patternFill>
          <bgColor theme="0" tint="-0.14996795556505021"/>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3366FF"/>
      <color rgb="FFCCFFCC"/>
      <color rgb="FF94ED33"/>
      <color rgb="FF88E43C"/>
      <color rgb="FFBDF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5.xml"/><Relationship Id="rId68" Type="http://schemas.openxmlformats.org/officeDocument/2006/relationships/calcChain" Target="calcChain.xml"/><Relationship Id="rId7" Type="http://schemas.openxmlformats.org/officeDocument/2006/relationships/worksheet" Target="worksheets/sheet7.xml"/><Relationship Id="rId71"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72" Type="http://schemas.microsoft.com/office/2017/06/relationships/rdRichValueTypes" Target="richData/rdRichValueTyp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CheckBox" fmlaLink="$R$115" lockText="1" noThreeD="1"/>
</file>

<file path=xl/ctrlProps/ctrlProp454.xml><?xml version="1.0" encoding="utf-8"?>
<formControlPr xmlns="http://schemas.microsoft.com/office/spreadsheetml/2009/9/main" objectType="CheckBox" fmlaLink="$R$116" lockText="1" noThreeD="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9525</xdr:colOff>
      <xdr:row>2</xdr:row>
      <xdr:rowOff>0</xdr:rowOff>
    </xdr:from>
    <xdr:to>
      <xdr:col>4</xdr:col>
      <xdr:colOff>0</xdr:colOff>
      <xdr:row>2</xdr:row>
      <xdr:rowOff>695325</xdr:rowOff>
    </xdr:to>
    <xdr:pic>
      <xdr:nvPicPr>
        <xdr:cNvPr id="100358" name="Picture 31">
          <a:extLst>
            <a:ext uri="{FF2B5EF4-FFF2-40B4-BE49-F238E27FC236}">
              <a16:creationId xmlns:a16="http://schemas.microsoft.com/office/drawing/2014/main" id="{00000000-0008-0000-0100-0000068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0525"/>
          <a:ext cx="20574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8</xdr:col>
          <xdr:colOff>95250</xdr:colOff>
          <xdr:row>2</xdr:row>
          <xdr:rowOff>361950</xdr:rowOff>
        </xdr:from>
        <xdr:to>
          <xdr:col>8</xdr:col>
          <xdr:colOff>1466850</xdr:colOff>
          <xdr:row>2</xdr:row>
          <xdr:rowOff>638175</xdr:rowOff>
        </xdr:to>
        <xdr:sp macro="" textlink="">
          <xdr:nvSpPr>
            <xdr:cNvPr id="100355" name="Button 3" hidden="1">
              <a:extLst>
                <a:ext uri="{63B3BB69-23CF-44E3-9099-C40C66FF867C}">
                  <a14:compatExt spid="_x0000_s100355"/>
                </a:ext>
                <a:ext uri="{FF2B5EF4-FFF2-40B4-BE49-F238E27FC236}">
                  <a16:creationId xmlns:a16="http://schemas.microsoft.com/office/drawing/2014/main" id="{00000000-0008-0000-0100-0000038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Apply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2</xdr:row>
          <xdr:rowOff>95250</xdr:rowOff>
        </xdr:from>
        <xdr:to>
          <xdr:col>8</xdr:col>
          <xdr:colOff>1466850</xdr:colOff>
          <xdr:row>2</xdr:row>
          <xdr:rowOff>361950</xdr:rowOff>
        </xdr:to>
        <xdr:sp macro="" textlink="">
          <xdr:nvSpPr>
            <xdr:cNvPr id="100356" name="Button 4" hidden="1">
              <a:extLst>
                <a:ext uri="{63B3BB69-23CF-44E3-9099-C40C66FF867C}">
                  <a14:compatExt spid="_x0000_s100356"/>
                </a:ext>
                <a:ext uri="{FF2B5EF4-FFF2-40B4-BE49-F238E27FC236}">
                  <a16:creationId xmlns:a16="http://schemas.microsoft.com/office/drawing/2014/main" id="{00000000-0008-0000-0100-0000048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46</xdr:col>
          <xdr:colOff>180975</xdr:colOff>
          <xdr:row>3</xdr:row>
          <xdr:rowOff>104775</xdr:rowOff>
        </xdr:from>
        <xdr:to>
          <xdr:col>49</xdr:col>
          <xdr:colOff>219075</xdr:colOff>
          <xdr:row>4</xdr:row>
          <xdr:rowOff>142875</xdr:rowOff>
        </xdr:to>
        <xdr:sp macro="" textlink="">
          <xdr:nvSpPr>
            <xdr:cNvPr id="1062" name="Button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104775</xdr:rowOff>
        </xdr:from>
        <xdr:to>
          <xdr:col>5</xdr:col>
          <xdr:colOff>971550</xdr:colOff>
          <xdr:row>108</xdr:row>
          <xdr:rowOff>57150</xdr:rowOff>
        </xdr:to>
        <xdr:sp macro="" textlink="">
          <xdr:nvSpPr>
            <xdr:cNvPr id="1063" name="Button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180975</xdr:colOff>
          <xdr:row>2</xdr:row>
          <xdr:rowOff>28575</xdr:rowOff>
        </xdr:from>
        <xdr:to>
          <xdr:col>49</xdr:col>
          <xdr:colOff>219075</xdr:colOff>
          <xdr:row>3</xdr:row>
          <xdr:rowOff>66675</xdr:rowOff>
        </xdr:to>
        <xdr:sp macro="" textlink="">
          <xdr:nvSpPr>
            <xdr:cNvPr id="1081" name="Button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180975</xdr:colOff>
          <xdr:row>4</xdr:row>
          <xdr:rowOff>180975</xdr:rowOff>
        </xdr:from>
        <xdr:to>
          <xdr:col>49</xdr:col>
          <xdr:colOff>219075</xdr:colOff>
          <xdr:row>6</xdr:row>
          <xdr:rowOff>95250</xdr:rowOff>
        </xdr:to>
        <xdr:sp macro="" textlink="">
          <xdr:nvSpPr>
            <xdr:cNvPr id="1083" name="Button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180975</xdr:colOff>
          <xdr:row>11</xdr:row>
          <xdr:rowOff>409575</xdr:rowOff>
        </xdr:from>
        <xdr:to>
          <xdr:col>49</xdr:col>
          <xdr:colOff>219075</xdr:colOff>
          <xdr:row>14</xdr:row>
          <xdr:rowOff>57150</xdr:rowOff>
        </xdr:to>
        <xdr:sp macro="" textlink="">
          <xdr:nvSpPr>
            <xdr:cNvPr id="1084" name="Button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171450</xdr:colOff>
          <xdr:row>11</xdr:row>
          <xdr:rowOff>66675</xdr:rowOff>
        </xdr:from>
        <xdr:to>
          <xdr:col>49</xdr:col>
          <xdr:colOff>209550</xdr:colOff>
          <xdr:row>11</xdr:row>
          <xdr:rowOff>333375</xdr:rowOff>
        </xdr:to>
        <xdr:sp macro="" textlink="">
          <xdr:nvSpPr>
            <xdr:cNvPr id="1086" name="Button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180975</xdr:colOff>
          <xdr:row>7</xdr:row>
          <xdr:rowOff>247650</xdr:rowOff>
        </xdr:from>
        <xdr:to>
          <xdr:col>49</xdr:col>
          <xdr:colOff>219075</xdr:colOff>
          <xdr:row>8</xdr:row>
          <xdr:rowOff>95250</xdr:rowOff>
        </xdr:to>
        <xdr:sp macro="" textlink="">
          <xdr:nvSpPr>
            <xdr:cNvPr id="1087" name="Button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171450</xdr:colOff>
          <xdr:row>9</xdr:row>
          <xdr:rowOff>285750</xdr:rowOff>
        </xdr:from>
        <xdr:to>
          <xdr:col>49</xdr:col>
          <xdr:colOff>209550</xdr:colOff>
          <xdr:row>11</xdr:row>
          <xdr:rowOff>19050</xdr:rowOff>
        </xdr:to>
        <xdr:sp macro="" textlink="">
          <xdr:nvSpPr>
            <xdr:cNvPr id="1092" name="Button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0" anchor="t" upright="1"/>
            <a:lstStyle/>
            <a:p>
              <a:pPr algn="ctr" rtl="0">
                <a:defRPr sz="1000"/>
              </a:pPr>
              <a:r>
                <a:rPr lang="en-IN" sz="1100" b="1" i="0" u="none" strike="noStrike" baseline="0">
                  <a:solidFill>
                    <a:srgbClr val="000000"/>
                  </a:solidFill>
                  <a:latin typeface="Calibri"/>
                  <a:cs typeface="Calibri"/>
                </a:rPr>
                <a:t>Import Prefill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180975</xdr:colOff>
          <xdr:row>8</xdr:row>
          <xdr:rowOff>133350</xdr:rowOff>
        </xdr:from>
        <xdr:to>
          <xdr:col>49</xdr:col>
          <xdr:colOff>219075</xdr:colOff>
          <xdr:row>9</xdr:row>
          <xdr:rowOff>247650</xdr:rowOff>
        </xdr:to>
        <xdr:sp macro="" textlink="">
          <xdr:nvSpPr>
            <xdr:cNvPr id="1093" name="Button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0" anchor="t" upright="1"/>
            <a:lstStyle/>
            <a:p>
              <a:pPr algn="ctr" rtl="0">
                <a:defRPr sz="1000"/>
              </a:pPr>
              <a:r>
                <a:rPr lang="en-IN" sz="1100" b="1" i="0" u="none" strike="noStrike" baseline="0">
                  <a:solidFill>
                    <a:srgbClr val="000000"/>
                  </a:solidFill>
                  <a:latin typeface="Calibri"/>
                  <a:cs typeface="Calibri"/>
                </a:rPr>
                <a:t>Import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46</xdr:col>
          <xdr:colOff>180975</xdr:colOff>
          <xdr:row>6</xdr:row>
          <xdr:rowOff>133350</xdr:rowOff>
        </xdr:from>
        <xdr:to>
          <xdr:col>49</xdr:col>
          <xdr:colOff>219075</xdr:colOff>
          <xdr:row>7</xdr:row>
          <xdr:rowOff>219075</xdr:rowOff>
        </xdr:to>
        <xdr:sp macro="" textlink="">
          <xdr:nvSpPr>
            <xdr:cNvPr id="1208" name="Button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Calculate TAX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115</xdr:row>
          <xdr:rowOff>19050</xdr:rowOff>
        </xdr:from>
        <xdr:to>
          <xdr:col>13</xdr:col>
          <xdr:colOff>76200</xdr:colOff>
          <xdr:row>116</xdr:row>
          <xdr:rowOff>142875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200-000091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38100</xdr:rowOff>
        </xdr:from>
        <xdr:to>
          <xdr:col>5</xdr:col>
          <xdr:colOff>981075</xdr:colOff>
          <xdr:row>33</xdr:row>
          <xdr:rowOff>323850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200-000093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38100</xdr:rowOff>
        </xdr:from>
        <xdr:to>
          <xdr:col>5</xdr:col>
          <xdr:colOff>1009650</xdr:colOff>
          <xdr:row>62</xdr:row>
          <xdr:rowOff>323850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200-00009F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38100</xdr:rowOff>
        </xdr:from>
        <xdr:to>
          <xdr:col>5</xdr:col>
          <xdr:colOff>981075</xdr:colOff>
          <xdr:row>74</xdr:row>
          <xdr:rowOff>323850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200-0000A405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38100</xdr:rowOff>
        </xdr:from>
        <xdr:to>
          <xdr:col>5</xdr:col>
          <xdr:colOff>981075</xdr:colOff>
          <xdr:row>67</xdr:row>
          <xdr:rowOff>323850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200-0000B2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403860</xdr:colOff>
          <xdr:row>18</xdr:row>
          <xdr:rowOff>0</xdr:rowOff>
        </xdr:from>
        <xdr:to>
          <xdr:col>13</xdr:col>
          <xdr:colOff>1219200</xdr:colOff>
          <xdr:row>19</xdr:row>
          <xdr:rowOff>22860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790701" y="4267201"/>
              <a:ext cx="1950725" cy="220973"/>
              <a:chOff x="1789334" y="4267042"/>
              <a:chExt cx="1951445" cy="216983"/>
            </a:xfrm>
          </xdr:grpSpPr>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200-0000C3050000}"/>
                  </a:ext>
                </a:extLst>
              </xdr:cNvPr>
              <xdr:cNvSpPr/>
            </xdr:nvSpPr>
            <xdr:spPr bwMode="auto">
              <a:xfrm>
                <a:off x="1789334" y="4274823"/>
                <a:ext cx="1174120" cy="209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200-0000C4050000}"/>
                  </a:ext>
                </a:extLst>
              </xdr:cNvPr>
              <xdr:cNvSpPr/>
            </xdr:nvSpPr>
            <xdr:spPr bwMode="auto">
              <a:xfrm>
                <a:off x="3496939" y="4267042"/>
                <a:ext cx="243840" cy="1939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0</xdr:rowOff>
        </xdr:from>
        <xdr:to>
          <xdr:col>45</xdr:col>
          <xdr:colOff>438150</xdr:colOff>
          <xdr:row>36</xdr:row>
          <xdr:rowOff>333375</xdr:rowOff>
        </xdr:to>
        <xdr:sp macro="" textlink="">
          <xdr:nvSpPr>
            <xdr:cNvPr id="1627" name="Group Box 603" hidden="1">
              <a:extLst>
                <a:ext uri="{63B3BB69-23CF-44E3-9099-C40C66FF867C}">
                  <a14:compatExt spid="_x0000_s1627"/>
                </a:ext>
                <a:ext uri="{FF2B5EF4-FFF2-40B4-BE49-F238E27FC236}">
                  <a16:creationId xmlns:a16="http://schemas.microsoft.com/office/drawing/2014/main" id="{00000000-0008-0000-0200-00005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33</xdr:row>
          <xdr:rowOff>38100</xdr:rowOff>
        </xdr:from>
        <xdr:to>
          <xdr:col>45</xdr:col>
          <xdr:colOff>361950</xdr:colOff>
          <xdr:row>33</xdr:row>
          <xdr:rowOff>419100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2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333375</xdr:colOff>
          <xdr:row>33</xdr:row>
          <xdr:rowOff>114300</xdr:rowOff>
        </xdr:from>
        <xdr:to>
          <xdr:col>38</xdr:col>
          <xdr:colOff>66675</xdr:colOff>
          <xdr:row>33</xdr:row>
          <xdr:rowOff>333375</xdr:rowOff>
        </xdr:to>
        <xdr:sp macro="" textlink="">
          <xdr:nvSpPr>
            <xdr:cNvPr id="1634" name="BacYes" hidden="1">
              <a:extLst>
                <a:ext uri="{63B3BB69-23CF-44E3-9099-C40C66FF867C}">
                  <a14:compatExt spid="_x0000_s1634"/>
                </a:ext>
                <a:ext uri="{FF2B5EF4-FFF2-40B4-BE49-F238E27FC236}">
                  <a16:creationId xmlns:a16="http://schemas.microsoft.com/office/drawing/2014/main" id="{00000000-0008-0000-02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33</xdr:row>
          <xdr:rowOff>114300</xdr:rowOff>
        </xdr:from>
        <xdr:to>
          <xdr:col>45</xdr:col>
          <xdr:colOff>133350</xdr:colOff>
          <xdr:row>33</xdr:row>
          <xdr:rowOff>400050</xdr:rowOff>
        </xdr:to>
        <xdr:sp macro="" textlink="">
          <xdr:nvSpPr>
            <xdr:cNvPr id="1635" name="BacNo" hidden="1">
              <a:extLst>
                <a:ext uri="{63B3BB69-23CF-44E3-9099-C40C66FF867C}">
                  <a14:compatExt spid="_x0000_s1635"/>
                </a:ext>
                <a:ext uri="{FF2B5EF4-FFF2-40B4-BE49-F238E27FC236}">
                  <a16:creationId xmlns:a16="http://schemas.microsoft.com/office/drawing/2014/main" id="{00000000-0008-0000-02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38100</xdr:rowOff>
        </xdr:from>
        <xdr:to>
          <xdr:col>5</xdr:col>
          <xdr:colOff>1009650</xdr:colOff>
          <xdr:row>33</xdr:row>
          <xdr:rowOff>285750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200-00006506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104775</xdr:colOff>
          <xdr:row>2</xdr:row>
          <xdr:rowOff>76200</xdr:rowOff>
        </xdr:from>
        <xdr:to>
          <xdr:col>9</xdr:col>
          <xdr:colOff>1476375</xdr:colOff>
          <xdr:row>2</xdr:row>
          <xdr:rowOff>361950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3</xdr:row>
          <xdr:rowOff>228600</xdr:rowOff>
        </xdr:from>
        <xdr:to>
          <xdr:col>9</xdr:col>
          <xdr:colOff>1476375</xdr:colOff>
          <xdr:row>3</xdr:row>
          <xdr:rowOff>514350</xdr:rowOff>
        </xdr:to>
        <xdr:sp macro="" textlink="">
          <xdr:nvSpPr>
            <xdr:cNvPr id="4105" name="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0</xdr:row>
          <xdr:rowOff>133350</xdr:rowOff>
        </xdr:from>
        <xdr:to>
          <xdr:col>9</xdr:col>
          <xdr:colOff>1476375</xdr:colOff>
          <xdr:row>2</xdr:row>
          <xdr:rowOff>66675</xdr:rowOff>
        </xdr:to>
        <xdr:sp macro="" textlink="">
          <xdr:nvSpPr>
            <xdr:cNvPr id="4106" name="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2</xdr:row>
          <xdr:rowOff>361950</xdr:rowOff>
        </xdr:from>
        <xdr:to>
          <xdr:col>9</xdr:col>
          <xdr:colOff>1476375</xdr:colOff>
          <xdr:row>3</xdr:row>
          <xdr:rowOff>228600</xdr:rowOff>
        </xdr:to>
        <xdr:sp macro="" textlink="">
          <xdr:nvSpPr>
            <xdr:cNvPr id="4108" name="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7</xdr:row>
          <xdr:rowOff>19050</xdr:rowOff>
        </xdr:from>
        <xdr:to>
          <xdr:col>9</xdr:col>
          <xdr:colOff>1476375</xdr:colOff>
          <xdr:row>8</xdr:row>
          <xdr:rowOff>133350</xdr:rowOff>
        </xdr:to>
        <xdr:sp macro="" textlink="">
          <xdr:nvSpPr>
            <xdr:cNvPr id="4109" name="Butto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5</xdr:row>
          <xdr:rowOff>57150</xdr:rowOff>
        </xdr:from>
        <xdr:to>
          <xdr:col>9</xdr:col>
          <xdr:colOff>1476375</xdr:colOff>
          <xdr:row>7</xdr:row>
          <xdr:rowOff>19050</xdr:rowOff>
        </xdr:to>
        <xdr:sp macro="" textlink="">
          <xdr:nvSpPr>
            <xdr:cNvPr id="4110" name="Button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3</xdr:row>
          <xdr:rowOff>514350</xdr:rowOff>
        </xdr:from>
        <xdr:to>
          <xdr:col>9</xdr:col>
          <xdr:colOff>1476375</xdr:colOff>
          <xdr:row>5</xdr:row>
          <xdr:rowOff>57150</xdr:rowOff>
        </xdr:to>
        <xdr:sp macro="" textlink="">
          <xdr:nvSpPr>
            <xdr:cNvPr id="4111" name="Button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8</xdr:row>
          <xdr:rowOff>38100</xdr:rowOff>
        </xdr:from>
        <xdr:to>
          <xdr:col>4</xdr:col>
          <xdr:colOff>133350</xdr:colOff>
          <xdr:row>8</xdr:row>
          <xdr:rowOff>285750</xdr:rowOff>
        </xdr:to>
        <xdr:sp macro="" textlink="">
          <xdr:nvSpPr>
            <xdr:cNvPr id="4128" name="Button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57150</xdr:colOff>
          <xdr:row>2</xdr:row>
          <xdr:rowOff>219075</xdr:rowOff>
        </xdr:from>
        <xdr:to>
          <xdr:col>13</xdr:col>
          <xdr:colOff>1428750</xdr:colOff>
          <xdr:row>2</xdr:row>
          <xdr:rowOff>495300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57150</xdr:colOff>
          <xdr:row>3</xdr:row>
          <xdr:rowOff>171450</xdr:rowOff>
        </xdr:from>
        <xdr:to>
          <xdr:col>13</xdr:col>
          <xdr:colOff>1428750</xdr:colOff>
          <xdr:row>5</xdr:row>
          <xdr:rowOff>76200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57150</xdr:colOff>
          <xdr:row>1</xdr:row>
          <xdr:rowOff>76200</xdr:rowOff>
        </xdr:from>
        <xdr:to>
          <xdr:col>13</xdr:col>
          <xdr:colOff>1428750</xdr:colOff>
          <xdr:row>2</xdr:row>
          <xdr:rowOff>190500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57150</xdr:colOff>
          <xdr:row>2</xdr:row>
          <xdr:rowOff>514350</xdr:rowOff>
        </xdr:from>
        <xdr:to>
          <xdr:col>13</xdr:col>
          <xdr:colOff>1428750</xdr:colOff>
          <xdr:row>3</xdr:row>
          <xdr:rowOff>133350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57150</xdr:colOff>
          <xdr:row>9</xdr:row>
          <xdr:rowOff>28575</xdr:rowOff>
        </xdr:from>
        <xdr:to>
          <xdr:col>13</xdr:col>
          <xdr:colOff>1428750</xdr:colOff>
          <xdr:row>10</xdr:row>
          <xdr:rowOff>142875</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57150</xdr:colOff>
          <xdr:row>7</xdr:row>
          <xdr:rowOff>57150</xdr:rowOff>
        </xdr:from>
        <xdr:to>
          <xdr:col>13</xdr:col>
          <xdr:colOff>1428750</xdr:colOff>
          <xdr:row>9</xdr:row>
          <xdr:rowOff>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57150</xdr:colOff>
          <xdr:row>5</xdr:row>
          <xdr:rowOff>104775</xdr:rowOff>
        </xdr:from>
        <xdr:to>
          <xdr:col>13</xdr:col>
          <xdr:colOff>1428750</xdr:colOff>
          <xdr:row>7</xdr:row>
          <xdr:rowOff>28575</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21</xdr:col>
          <xdr:colOff>95250</xdr:colOff>
          <xdr:row>2</xdr:row>
          <xdr:rowOff>219075</xdr:rowOff>
        </xdr:from>
        <xdr:to>
          <xdr:col>21</xdr:col>
          <xdr:colOff>1466850</xdr:colOff>
          <xdr:row>3</xdr:row>
          <xdr:rowOff>133350</xdr:rowOff>
        </xdr:to>
        <xdr:sp macro="" textlink="">
          <xdr:nvSpPr>
            <xdr:cNvPr id="196609" name="Button 1" hidden="1">
              <a:extLst>
                <a:ext uri="{63B3BB69-23CF-44E3-9099-C40C66FF867C}">
                  <a14:compatExt spid="_x0000_s196609"/>
                </a:ext>
                <a:ext uri="{FF2B5EF4-FFF2-40B4-BE49-F238E27FC236}">
                  <a16:creationId xmlns:a16="http://schemas.microsoft.com/office/drawing/2014/main" id="{00000000-0008-0000-0500-000001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5</xdr:row>
          <xdr:rowOff>95250</xdr:rowOff>
        </xdr:from>
        <xdr:to>
          <xdr:col>21</xdr:col>
          <xdr:colOff>1466850</xdr:colOff>
          <xdr:row>7</xdr:row>
          <xdr:rowOff>28575</xdr:rowOff>
        </xdr:to>
        <xdr:sp macro="" textlink="">
          <xdr:nvSpPr>
            <xdr:cNvPr id="196610" name="Button 2" hidden="1">
              <a:extLst>
                <a:ext uri="{63B3BB69-23CF-44E3-9099-C40C66FF867C}">
                  <a14:compatExt spid="_x0000_s196610"/>
                </a:ext>
                <a:ext uri="{FF2B5EF4-FFF2-40B4-BE49-F238E27FC236}">
                  <a16:creationId xmlns:a16="http://schemas.microsoft.com/office/drawing/2014/main" id="{00000000-0008-0000-0500-000002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1</xdr:row>
          <xdr:rowOff>76200</xdr:rowOff>
        </xdr:from>
        <xdr:to>
          <xdr:col>21</xdr:col>
          <xdr:colOff>1466850</xdr:colOff>
          <xdr:row>2</xdr:row>
          <xdr:rowOff>190500</xdr:rowOff>
        </xdr:to>
        <xdr:sp macro="" textlink="">
          <xdr:nvSpPr>
            <xdr:cNvPr id="196611" name="Button 3" hidden="1">
              <a:extLst>
                <a:ext uri="{63B3BB69-23CF-44E3-9099-C40C66FF867C}">
                  <a14:compatExt spid="_x0000_s196611"/>
                </a:ext>
                <a:ext uri="{FF2B5EF4-FFF2-40B4-BE49-F238E27FC236}">
                  <a16:creationId xmlns:a16="http://schemas.microsoft.com/office/drawing/2014/main" id="{00000000-0008-0000-0500-000003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11</xdr:row>
          <xdr:rowOff>28575</xdr:rowOff>
        </xdr:from>
        <xdr:to>
          <xdr:col>21</xdr:col>
          <xdr:colOff>1466850</xdr:colOff>
          <xdr:row>12</xdr:row>
          <xdr:rowOff>142875</xdr:rowOff>
        </xdr:to>
        <xdr:sp macro="" textlink="">
          <xdr:nvSpPr>
            <xdr:cNvPr id="196612" name="Button 4" hidden="1">
              <a:extLst>
                <a:ext uri="{63B3BB69-23CF-44E3-9099-C40C66FF867C}">
                  <a14:compatExt spid="_x0000_s196612"/>
                </a:ext>
                <a:ext uri="{FF2B5EF4-FFF2-40B4-BE49-F238E27FC236}">
                  <a16:creationId xmlns:a16="http://schemas.microsoft.com/office/drawing/2014/main" id="{00000000-0008-0000-0500-000004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9</xdr:row>
          <xdr:rowOff>57150</xdr:rowOff>
        </xdr:from>
        <xdr:to>
          <xdr:col>21</xdr:col>
          <xdr:colOff>1466850</xdr:colOff>
          <xdr:row>11</xdr:row>
          <xdr:rowOff>0</xdr:rowOff>
        </xdr:to>
        <xdr:sp macro="" textlink="">
          <xdr:nvSpPr>
            <xdr:cNvPr id="196613" name="Button 5" hidden="1">
              <a:extLst>
                <a:ext uri="{63B3BB69-23CF-44E3-9099-C40C66FF867C}">
                  <a14:compatExt spid="_x0000_s196613"/>
                </a:ext>
                <a:ext uri="{FF2B5EF4-FFF2-40B4-BE49-F238E27FC236}">
                  <a16:creationId xmlns:a16="http://schemas.microsoft.com/office/drawing/2014/main" id="{00000000-0008-0000-0500-000005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7</xdr:row>
          <xdr:rowOff>66675</xdr:rowOff>
        </xdr:from>
        <xdr:to>
          <xdr:col>21</xdr:col>
          <xdr:colOff>1466850</xdr:colOff>
          <xdr:row>9</xdr:row>
          <xdr:rowOff>19050</xdr:rowOff>
        </xdr:to>
        <xdr:sp macro="" textlink="">
          <xdr:nvSpPr>
            <xdr:cNvPr id="196614" name="Button 6" hidden="1">
              <a:extLst>
                <a:ext uri="{63B3BB69-23CF-44E3-9099-C40C66FF867C}">
                  <a14:compatExt spid="_x0000_s196614"/>
                </a:ext>
                <a:ext uri="{FF2B5EF4-FFF2-40B4-BE49-F238E27FC236}">
                  <a16:creationId xmlns:a16="http://schemas.microsoft.com/office/drawing/2014/main" id="{00000000-0008-0000-0500-000006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95250</xdr:colOff>
          <xdr:row>3</xdr:row>
          <xdr:rowOff>171450</xdr:rowOff>
        </xdr:from>
        <xdr:to>
          <xdr:col>21</xdr:col>
          <xdr:colOff>1466850</xdr:colOff>
          <xdr:row>5</xdr:row>
          <xdr:rowOff>57150</xdr:rowOff>
        </xdr:to>
        <xdr:sp macro="" textlink="">
          <xdr:nvSpPr>
            <xdr:cNvPr id="196615" name="Button 7" hidden="1">
              <a:extLst>
                <a:ext uri="{63B3BB69-23CF-44E3-9099-C40C66FF867C}">
                  <a14:compatExt spid="_x0000_s196615"/>
                </a:ext>
                <a:ext uri="{FF2B5EF4-FFF2-40B4-BE49-F238E27FC236}">
                  <a16:creationId xmlns:a16="http://schemas.microsoft.com/office/drawing/2014/main" id="{00000000-0008-0000-0500-0000070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11</xdr:row>
          <xdr:rowOff>38100</xdr:rowOff>
        </xdr:from>
        <xdr:to>
          <xdr:col>6</xdr:col>
          <xdr:colOff>1009650</xdr:colOff>
          <xdr:row>12</xdr:row>
          <xdr:rowOff>95250</xdr:rowOff>
        </xdr:to>
        <xdr:sp macro="" textlink="">
          <xdr:nvSpPr>
            <xdr:cNvPr id="197633" name="Button 1" hidden="1">
              <a:extLst>
                <a:ext uri="{63B3BB69-23CF-44E3-9099-C40C66FF867C}">
                  <a14:compatExt spid="_x0000_s197633"/>
                </a:ext>
                <a:ext uri="{FF2B5EF4-FFF2-40B4-BE49-F238E27FC236}">
                  <a16:creationId xmlns:a16="http://schemas.microsoft.com/office/drawing/2014/main" id="{00000000-0008-0000-0600-000001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38100</xdr:rowOff>
        </xdr:from>
        <xdr:to>
          <xdr:col>6</xdr:col>
          <xdr:colOff>1009650</xdr:colOff>
          <xdr:row>39</xdr:row>
          <xdr:rowOff>133350</xdr:rowOff>
        </xdr:to>
        <xdr:sp macro="" textlink="">
          <xdr:nvSpPr>
            <xdr:cNvPr id="197635" name="Button 3" hidden="1">
              <a:extLst>
                <a:ext uri="{63B3BB69-23CF-44E3-9099-C40C66FF867C}">
                  <a14:compatExt spid="_x0000_s197635"/>
                </a:ext>
                <a:ext uri="{FF2B5EF4-FFF2-40B4-BE49-F238E27FC236}">
                  <a16:creationId xmlns:a16="http://schemas.microsoft.com/office/drawing/2014/main" id="{00000000-0008-0000-0600-000003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2</xdr:row>
          <xdr:rowOff>228600</xdr:rowOff>
        </xdr:from>
        <xdr:to>
          <xdr:col>17</xdr:col>
          <xdr:colOff>1447800</xdr:colOff>
          <xdr:row>4</xdr:row>
          <xdr:rowOff>0</xdr:rowOff>
        </xdr:to>
        <xdr:sp macro="" textlink="">
          <xdr:nvSpPr>
            <xdr:cNvPr id="197636" name="Button 4" hidden="1">
              <a:extLst>
                <a:ext uri="{63B3BB69-23CF-44E3-9099-C40C66FF867C}">
                  <a14:compatExt spid="_x0000_s197636"/>
                </a:ext>
                <a:ext uri="{FF2B5EF4-FFF2-40B4-BE49-F238E27FC236}">
                  <a16:creationId xmlns:a16="http://schemas.microsoft.com/office/drawing/2014/main" id="{00000000-0008-0000-0600-000004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6</xdr:row>
          <xdr:rowOff>19050</xdr:rowOff>
        </xdr:from>
        <xdr:to>
          <xdr:col>17</xdr:col>
          <xdr:colOff>1447800</xdr:colOff>
          <xdr:row>7</xdr:row>
          <xdr:rowOff>133350</xdr:rowOff>
        </xdr:to>
        <xdr:sp macro="" textlink="">
          <xdr:nvSpPr>
            <xdr:cNvPr id="197637" name="Button 5" hidden="1">
              <a:extLst>
                <a:ext uri="{63B3BB69-23CF-44E3-9099-C40C66FF867C}">
                  <a14:compatExt spid="_x0000_s197637"/>
                </a:ext>
                <a:ext uri="{FF2B5EF4-FFF2-40B4-BE49-F238E27FC236}">
                  <a16:creationId xmlns:a16="http://schemas.microsoft.com/office/drawing/2014/main" id="{00000000-0008-0000-0600-000005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1</xdr:row>
          <xdr:rowOff>95250</xdr:rowOff>
        </xdr:from>
        <xdr:to>
          <xdr:col>17</xdr:col>
          <xdr:colOff>1447800</xdr:colOff>
          <xdr:row>2</xdr:row>
          <xdr:rowOff>209550</xdr:rowOff>
        </xdr:to>
        <xdr:sp macro="" textlink="">
          <xdr:nvSpPr>
            <xdr:cNvPr id="197638" name="Button 6" hidden="1">
              <a:extLst>
                <a:ext uri="{63B3BB69-23CF-44E3-9099-C40C66FF867C}">
                  <a14:compatExt spid="_x0000_s197638"/>
                </a:ext>
                <a:ext uri="{FF2B5EF4-FFF2-40B4-BE49-F238E27FC236}">
                  <a16:creationId xmlns:a16="http://schemas.microsoft.com/office/drawing/2014/main" id="{00000000-0008-0000-0600-000006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11</xdr:row>
          <xdr:rowOff>133350</xdr:rowOff>
        </xdr:from>
        <xdr:to>
          <xdr:col>17</xdr:col>
          <xdr:colOff>1447800</xdr:colOff>
          <xdr:row>13</xdr:row>
          <xdr:rowOff>0</xdr:rowOff>
        </xdr:to>
        <xdr:sp macro="" textlink="">
          <xdr:nvSpPr>
            <xdr:cNvPr id="197639" name="Button 7" hidden="1">
              <a:extLst>
                <a:ext uri="{63B3BB69-23CF-44E3-9099-C40C66FF867C}">
                  <a14:compatExt spid="_x0000_s197639"/>
                </a:ext>
                <a:ext uri="{FF2B5EF4-FFF2-40B4-BE49-F238E27FC236}">
                  <a16:creationId xmlns:a16="http://schemas.microsoft.com/office/drawing/2014/main" id="{00000000-0008-0000-0600-000007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9</xdr:row>
          <xdr:rowOff>142875</xdr:rowOff>
        </xdr:from>
        <xdr:to>
          <xdr:col>17</xdr:col>
          <xdr:colOff>1447800</xdr:colOff>
          <xdr:row>11</xdr:row>
          <xdr:rowOff>95250</xdr:rowOff>
        </xdr:to>
        <xdr:sp macro="" textlink="">
          <xdr:nvSpPr>
            <xdr:cNvPr id="197640" name="Button 8" hidden="1">
              <a:extLst>
                <a:ext uri="{63B3BB69-23CF-44E3-9099-C40C66FF867C}">
                  <a14:compatExt spid="_x0000_s197640"/>
                </a:ext>
                <a:ext uri="{FF2B5EF4-FFF2-40B4-BE49-F238E27FC236}">
                  <a16:creationId xmlns:a16="http://schemas.microsoft.com/office/drawing/2014/main" id="{00000000-0008-0000-0600-000008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8</xdr:row>
          <xdr:rowOff>0</xdr:rowOff>
        </xdr:from>
        <xdr:to>
          <xdr:col>17</xdr:col>
          <xdr:colOff>1447800</xdr:colOff>
          <xdr:row>9</xdr:row>
          <xdr:rowOff>104775</xdr:rowOff>
        </xdr:to>
        <xdr:sp macro="" textlink="">
          <xdr:nvSpPr>
            <xdr:cNvPr id="197641" name="Button 9" hidden="1">
              <a:extLst>
                <a:ext uri="{63B3BB69-23CF-44E3-9099-C40C66FF867C}">
                  <a14:compatExt spid="_x0000_s197641"/>
                </a:ext>
                <a:ext uri="{FF2B5EF4-FFF2-40B4-BE49-F238E27FC236}">
                  <a16:creationId xmlns:a16="http://schemas.microsoft.com/office/drawing/2014/main" id="{00000000-0008-0000-0600-000009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76200</xdr:colOff>
          <xdr:row>4</xdr:row>
          <xdr:rowOff>28575</xdr:rowOff>
        </xdr:from>
        <xdr:to>
          <xdr:col>17</xdr:col>
          <xdr:colOff>1447800</xdr:colOff>
          <xdr:row>5</xdr:row>
          <xdr:rowOff>142875</xdr:rowOff>
        </xdr:to>
        <xdr:sp macro="" textlink="">
          <xdr:nvSpPr>
            <xdr:cNvPr id="197642" name="Button 10" hidden="1">
              <a:extLst>
                <a:ext uri="{63B3BB69-23CF-44E3-9099-C40C66FF867C}">
                  <a14:compatExt spid="_x0000_s197642"/>
                </a:ext>
                <a:ext uri="{FF2B5EF4-FFF2-40B4-BE49-F238E27FC236}">
                  <a16:creationId xmlns:a16="http://schemas.microsoft.com/office/drawing/2014/main" id="{00000000-0008-0000-0600-00000A0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114300</xdr:colOff>
          <xdr:row>3</xdr:row>
          <xdr:rowOff>95250</xdr:rowOff>
        </xdr:from>
        <xdr:to>
          <xdr:col>13</xdr:col>
          <xdr:colOff>533400</xdr:colOff>
          <xdr:row>5</xdr:row>
          <xdr:rowOff>57150</xdr:rowOff>
        </xdr:to>
        <xdr:sp macro="" textlink="">
          <xdr:nvSpPr>
            <xdr:cNvPr id="7179" name="Button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110</xdr:row>
          <xdr:rowOff>76200</xdr:rowOff>
        </xdr:from>
        <xdr:to>
          <xdr:col>7</xdr:col>
          <xdr:colOff>276225</xdr:colOff>
          <xdr:row>110</xdr:row>
          <xdr:rowOff>342900</xdr:rowOff>
        </xdr:to>
        <xdr:sp macro="" textlink="">
          <xdr:nvSpPr>
            <xdr:cNvPr id="7181" name="Button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7</xdr:row>
          <xdr:rowOff>66675</xdr:rowOff>
        </xdr:from>
        <xdr:to>
          <xdr:col>13</xdr:col>
          <xdr:colOff>533400</xdr:colOff>
          <xdr:row>9</xdr:row>
          <xdr:rowOff>19050</xdr:rowOff>
        </xdr:to>
        <xdr:sp macro="" textlink="">
          <xdr:nvSpPr>
            <xdr:cNvPr id="7201" name="Button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2</xdr:row>
          <xdr:rowOff>171450</xdr:rowOff>
        </xdr:from>
        <xdr:to>
          <xdr:col>13</xdr:col>
          <xdr:colOff>533400</xdr:colOff>
          <xdr:row>3</xdr:row>
          <xdr:rowOff>66675</xdr:rowOff>
        </xdr:to>
        <xdr:sp macro="" textlink="">
          <xdr:nvSpPr>
            <xdr:cNvPr id="7202" name="Button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5</xdr:row>
          <xdr:rowOff>95250</xdr:rowOff>
        </xdr:from>
        <xdr:to>
          <xdr:col>13</xdr:col>
          <xdr:colOff>533400</xdr:colOff>
          <xdr:row>7</xdr:row>
          <xdr:rowOff>38100</xdr:rowOff>
        </xdr:to>
        <xdr:sp macro="" textlink="">
          <xdr:nvSpPr>
            <xdr:cNvPr id="7204" name="Button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11</xdr:row>
          <xdr:rowOff>104775</xdr:rowOff>
        </xdr:from>
        <xdr:to>
          <xdr:col>13</xdr:col>
          <xdr:colOff>533400</xdr:colOff>
          <xdr:row>13</xdr:row>
          <xdr:rowOff>57150</xdr:rowOff>
        </xdr:to>
        <xdr:sp macro="" textlink="">
          <xdr:nvSpPr>
            <xdr:cNvPr id="7205" name="Button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10</xdr:row>
          <xdr:rowOff>190500</xdr:rowOff>
        </xdr:from>
        <xdr:to>
          <xdr:col>13</xdr:col>
          <xdr:colOff>533400</xdr:colOff>
          <xdr:row>11</xdr:row>
          <xdr:rowOff>76200</xdr:rowOff>
        </xdr:to>
        <xdr:sp macro="" textlink="">
          <xdr:nvSpPr>
            <xdr:cNvPr id="7206" name="Button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9</xdr:row>
          <xdr:rowOff>57150</xdr:rowOff>
        </xdr:from>
        <xdr:to>
          <xdr:col>13</xdr:col>
          <xdr:colOff>533400</xdr:colOff>
          <xdr:row>10</xdr:row>
          <xdr:rowOff>152400</xdr:rowOff>
        </xdr:to>
        <xdr:sp macro="" textlink="">
          <xdr:nvSpPr>
            <xdr:cNvPr id="7207" name="Button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7</xdr:col>
          <xdr:colOff>276225</xdr:colOff>
          <xdr:row>22</xdr:row>
          <xdr:rowOff>361950</xdr:rowOff>
        </xdr:to>
        <xdr:sp macro="" textlink="">
          <xdr:nvSpPr>
            <xdr:cNvPr id="7214" name="Button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76200</xdr:rowOff>
        </xdr:from>
        <xdr:to>
          <xdr:col>7</xdr:col>
          <xdr:colOff>790575</xdr:colOff>
          <xdr:row>99</xdr:row>
          <xdr:rowOff>342900</xdr:rowOff>
        </xdr:to>
        <xdr:sp macro="" textlink="">
          <xdr:nvSpPr>
            <xdr:cNvPr id="7215" name="Button 47" hidden="1">
              <a:extLst>
                <a:ext uri="{63B3BB69-23CF-44E3-9099-C40C66FF867C}">
                  <a14:compatExt spid="_x0000_s7215"/>
                </a:ext>
                <a:ext uri="{FF2B5EF4-FFF2-40B4-BE49-F238E27FC236}">
                  <a16:creationId xmlns:a16="http://schemas.microsoft.com/office/drawing/2014/main" id="{00000000-0008-0000-0700-00002F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117</xdr:row>
          <xdr:rowOff>76200</xdr:rowOff>
        </xdr:from>
        <xdr:to>
          <xdr:col>6</xdr:col>
          <xdr:colOff>295275</xdr:colOff>
          <xdr:row>117</xdr:row>
          <xdr:rowOff>342900</xdr:rowOff>
        </xdr:to>
        <xdr:sp macro="" textlink="">
          <xdr:nvSpPr>
            <xdr:cNvPr id="7237" name="Button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142875</xdr:colOff>
          <xdr:row>2</xdr:row>
          <xdr:rowOff>171450</xdr:rowOff>
        </xdr:from>
        <xdr:to>
          <xdr:col>13</xdr:col>
          <xdr:colOff>1514475</xdr:colOff>
          <xdr:row>4</xdr:row>
          <xdr:rowOff>19050</xdr:rowOff>
        </xdr:to>
        <xdr:sp macro="" textlink="">
          <xdr:nvSpPr>
            <xdr:cNvPr id="9223" name="Button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5</xdr:row>
          <xdr:rowOff>133350</xdr:rowOff>
        </xdr:from>
        <xdr:to>
          <xdr:col>13</xdr:col>
          <xdr:colOff>1514475</xdr:colOff>
          <xdr:row>6</xdr:row>
          <xdr:rowOff>66675</xdr:rowOff>
        </xdr:to>
        <xdr:sp macro="" textlink="">
          <xdr:nvSpPr>
            <xdr:cNvPr id="9228" name="Button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1</xdr:row>
          <xdr:rowOff>28575</xdr:rowOff>
        </xdr:from>
        <xdr:to>
          <xdr:col>13</xdr:col>
          <xdr:colOff>1514475</xdr:colOff>
          <xdr:row>2</xdr:row>
          <xdr:rowOff>142875</xdr:rowOff>
        </xdr:to>
        <xdr:sp macro="" textlink="">
          <xdr:nvSpPr>
            <xdr:cNvPr id="9229" name="Button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4</xdr:row>
          <xdr:rowOff>19050</xdr:rowOff>
        </xdr:from>
        <xdr:to>
          <xdr:col>13</xdr:col>
          <xdr:colOff>1514475</xdr:colOff>
          <xdr:row>5</xdr:row>
          <xdr:rowOff>104775</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8</xdr:row>
          <xdr:rowOff>95250</xdr:rowOff>
        </xdr:from>
        <xdr:to>
          <xdr:col>13</xdr:col>
          <xdr:colOff>1514475</xdr:colOff>
          <xdr:row>9</xdr:row>
          <xdr:rowOff>28575</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6</xdr:row>
          <xdr:rowOff>371475</xdr:rowOff>
        </xdr:from>
        <xdr:to>
          <xdr:col>13</xdr:col>
          <xdr:colOff>1514475</xdr:colOff>
          <xdr:row>8</xdr:row>
          <xdr:rowOff>76200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6</xdr:row>
          <xdr:rowOff>95250</xdr:rowOff>
        </xdr:from>
        <xdr:to>
          <xdr:col>13</xdr:col>
          <xdr:colOff>1514475</xdr:colOff>
          <xdr:row>6</xdr:row>
          <xdr:rowOff>361950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285750</xdr:colOff>
          <xdr:row>2</xdr:row>
          <xdr:rowOff>266700</xdr:rowOff>
        </xdr:from>
        <xdr:to>
          <xdr:col>11</xdr:col>
          <xdr:colOff>704850</xdr:colOff>
          <xdr:row>4</xdr:row>
          <xdr:rowOff>57150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285750</xdr:colOff>
          <xdr:row>4</xdr:row>
          <xdr:rowOff>361950</xdr:rowOff>
        </xdr:from>
        <xdr:to>
          <xdr:col>11</xdr:col>
          <xdr:colOff>704850</xdr:colOff>
          <xdr:row>5</xdr:row>
          <xdr:rowOff>57150</xdr:rowOff>
        </xdr:to>
        <xdr:sp macro="" textlink="">
          <xdr:nvSpPr>
            <xdr:cNvPr id="10271" name="Button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285750</xdr:colOff>
          <xdr:row>1</xdr:row>
          <xdr:rowOff>142875</xdr:rowOff>
        </xdr:from>
        <xdr:to>
          <xdr:col>11</xdr:col>
          <xdr:colOff>704850</xdr:colOff>
          <xdr:row>2</xdr:row>
          <xdr:rowOff>257175</xdr:rowOff>
        </xdr:to>
        <xdr:sp macro="" textlink="">
          <xdr:nvSpPr>
            <xdr:cNvPr id="10272" name="Button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285750</xdr:colOff>
          <xdr:row>4</xdr:row>
          <xdr:rowOff>57150</xdr:rowOff>
        </xdr:from>
        <xdr:to>
          <xdr:col>11</xdr:col>
          <xdr:colOff>704850</xdr:colOff>
          <xdr:row>4</xdr:row>
          <xdr:rowOff>333375</xdr:rowOff>
        </xdr:to>
        <xdr:sp macro="" textlink="">
          <xdr:nvSpPr>
            <xdr:cNvPr id="10274" name="Button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285750</xdr:colOff>
          <xdr:row>8</xdr:row>
          <xdr:rowOff>133350</xdr:rowOff>
        </xdr:from>
        <xdr:to>
          <xdr:col>11</xdr:col>
          <xdr:colOff>704850</xdr:colOff>
          <xdr:row>10</xdr:row>
          <xdr:rowOff>76200</xdr:rowOff>
        </xdr:to>
        <xdr:sp macro="" textlink="">
          <xdr:nvSpPr>
            <xdr:cNvPr id="10275" name="Button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285750</xdr:colOff>
          <xdr:row>7</xdr:row>
          <xdr:rowOff>28575</xdr:rowOff>
        </xdr:from>
        <xdr:to>
          <xdr:col>11</xdr:col>
          <xdr:colOff>704850</xdr:colOff>
          <xdr:row>8</xdr:row>
          <xdr:rowOff>133350</xdr:rowOff>
        </xdr:to>
        <xdr:sp macro="" textlink="">
          <xdr:nvSpPr>
            <xdr:cNvPr id="10276" name="Button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285750</xdr:colOff>
          <xdr:row>5</xdr:row>
          <xdr:rowOff>76200</xdr:rowOff>
        </xdr:from>
        <xdr:to>
          <xdr:col>11</xdr:col>
          <xdr:colOff>704850</xdr:colOff>
          <xdr:row>7</xdr:row>
          <xdr:rowOff>19050</xdr:rowOff>
        </xdr:to>
        <xdr:sp macro="" textlink="">
          <xdr:nvSpPr>
            <xdr:cNvPr id="10277" name="Button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95250</xdr:rowOff>
        </xdr:from>
        <xdr:to>
          <xdr:col>4</xdr:col>
          <xdr:colOff>476250</xdr:colOff>
          <xdr:row>27</xdr:row>
          <xdr:rowOff>38100</xdr:rowOff>
        </xdr:to>
        <xdr:sp macro="" textlink="">
          <xdr:nvSpPr>
            <xdr:cNvPr id="10278" name="Button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95250</xdr:rowOff>
        </xdr:from>
        <xdr:to>
          <xdr:col>4</xdr:col>
          <xdr:colOff>485775</xdr:colOff>
          <xdr:row>53</xdr:row>
          <xdr:rowOff>57150</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77</xdr:row>
          <xdr:rowOff>66675</xdr:rowOff>
        </xdr:from>
        <xdr:to>
          <xdr:col>4</xdr:col>
          <xdr:colOff>476250</xdr:colOff>
          <xdr:row>78</xdr:row>
          <xdr:rowOff>104775</xdr:rowOff>
        </xdr:to>
        <xdr:sp macro="" textlink="">
          <xdr:nvSpPr>
            <xdr:cNvPr id="10280" name="Button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95250</xdr:colOff>
          <xdr:row>2</xdr:row>
          <xdr:rowOff>438150</xdr:rowOff>
        </xdr:from>
        <xdr:to>
          <xdr:col>8</xdr:col>
          <xdr:colOff>1047750</xdr:colOff>
          <xdr:row>4</xdr:row>
          <xdr:rowOff>19050</xdr:rowOff>
        </xdr:to>
        <xdr:sp macro="" textlink="">
          <xdr:nvSpPr>
            <xdr:cNvPr id="36870" name="Button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3</xdr:col>
          <xdr:colOff>19050</xdr:colOff>
          <xdr:row>13</xdr:row>
          <xdr:rowOff>28575</xdr:rowOff>
        </xdr:to>
        <xdr:sp macro="" textlink="">
          <xdr:nvSpPr>
            <xdr:cNvPr id="36871" name="Button 7" hidden="1">
              <a:extLst>
                <a:ext uri="{63B3BB69-23CF-44E3-9099-C40C66FF867C}">
                  <a14:compatExt spid="_x0000_s36871"/>
                </a:ext>
                <a:ext uri="{FF2B5EF4-FFF2-40B4-BE49-F238E27FC236}">
                  <a16:creationId xmlns:a16="http://schemas.microsoft.com/office/drawing/2014/main" id="{00000000-0008-0000-0B00-000007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2</xdr:row>
          <xdr:rowOff>209550</xdr:rowOff>
        </xdr:from>
        <xdr:to>
          <xdr:col>8</xdr:col>
          <xdr:colOff>1047750</xdr:colOff>
          <xdr:row>2</xdr:row>
          <xdr:rowOff>438150</xdr:rowOff>
        </xdr:to>
        <xdr:sp macro="" textlink="">
          <xdr:nvSpPr>
            <xdr:cNvPr id="36873" name="Button 9" hidden="1">
              <a:extLst>
                <a:ext uri="{63B3BB69-23CF-44E3-9099-C40C66FF867C}">
                  <a14:compatExt spid="_x0000_s36873"/>
                </a:ext>
                <a:ext uri="{FF2B5EF4-FFF2-40B4-BE49-F238E27FC236}">
                  <a16:creationId xmlns:a16="http://schemas.microsoft.com/office/drawing/2014/main" id="{00000000-0008-0000-0B00-000009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Prev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0</xdr:row>
          <xdr:rowOff>57150</xdr:rowOff>
        </xdr:from>
        <xdr:to>
          <xdr:col>8</xdr:col>
          <xdr:colOff>1047750</xdr:colOff>
          <xdr:row>1</xdr:row>
          <xdr:rowOff>114300</xdr:rowOff>
        </xdr:to>
        <xdr:sp macro="" textlink="">
          <xdr:nvSpPr>
            <xdr:cNvPr id="36874" name="Button 10" hidden="1">
              <a:extLst>
                <a:ext uri="{63B3BB69-23CF-44E3-9099-C40C66FF867C}">
                  <a14:compatExt spid="_x0000_s36874"/>
                </a:ext>
                <a:ext uri="{FF2B5EF4-FFF2-40B4-BE49-F238E27FC236}">
                  <a16:creationId xmlns:a16="http://schemas.microsoft.com/office/drawing/2014/main" id="{00000000-0008-0000-0B00-00000A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7</xdr:row>
          <xdr:rowOff>28575</xdr:rowOff>
        </xdr:from>
        <xdr:to>
          <xdr:col>8</xdr:col>
          <xdr:colOff>1047750</xdr:colOff>
          <xdr:row>8</xdr:row>
          <xdr:rowOff>95250</xdr:rowOff>
        </xdr:to>
        <xdr:sp macro="" textlink="">
          <xdr:nvSpPr>
            <xdr:cNvPr id="36876" name="Button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4</xdr:row>
          <xdr:rowOff>38100</xdr:rowOff>
        </xdr:from>
        <xdr:to>
          <xdr:col>8</xdr:col>
          <xdr:colOff>1047750</xdr:colOff>
          <xdr:row>5</xdr:row>
          <xdr:rowOff>104775</xdr:rowOff>
        </xdr:to>
        <xdr:sp macro="" textlink="">
          <xdr:nvSpPr>
            <xdr:cNvPr id="36877" name="Button 13" hidden="1">
              <a:extLst>
                <a:ext uri="{63B3BB69-23CF-44E3-9099-C40C66FF867C}">
                  <a14:compatExt spid="_x0000_s36877"/>
                </a:ext>
                <a:ext uri="{FF2B5EF4-FFF2-40B4-BE49-F238E27FC236}">
                  <a16:creationId xmlns:a16="http://schemas.microsoft.com/office/drawing/2014/main" id="{00000000-0008-0000-0B00-00000D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5</xdr:row>
          <xdr:rowOff>114300</xdr:rowOff>
        </xdr:from>
        <xdr:to>
          <xdr:col>8</xdr:col>
          <xdr:colOff>1047750</xdr:colOff>
          <xdr:row>7</xdr:row>
          <xdr:rowOff>19050</xdr:rowOff>
        </xdr:to>
        <xdr:sp macro="" textlink="">
          <xdr:nvSpPr>
            <xdr:cNvPr id="36878" name="Button 14" hidden="1">
              <a:extLst>
                <a:ext uri="{63B3BB69-23CF-44E3-9099-C40C66FF867C}">
                  <a14:compatExt spid="_x0000_s36878"/>
                </a:ext>
                <a:ext uri="{FF2B5EF4-FFF2-40B4-BE49-F238E27FC236}">
                  <a16:creationId xmlns:a16="http://schemas.microsoft.com/office/drawing/2014/main" id="{00000000-0008-0000-0B00-00000E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Generate XML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1</xdr:row>
          <xdr:rowOff>133350</xdr:rowOff>
        </xdr:from>
        <xdr:to>
          <xdr:col>8</xdr:col>
          <xdr:colOff>1047750</xdr:colOff>
          <xdr:row>2</xdr:row>
          <xdr:rowOff>190500</xdr:rowOff>
        </xdr:to>
        <xdr:sp macro="" textlink="">
          <xdr:nvSpPr>
            <xdr:cNvPr id="36879" name="Button 15" hidden="1">
              <a:extLst>
                <a:ext uri="{63B3BB69-23CF-44E3-9099-C40C66FF867C}">
                  <a14:compatExt spid="_x0000_s36879"/>
                </a:ext>
                <a:ext uri="{FF2B5EF4-FFF2-40B4-BE49-F238E27FC236}">
                  <a16:creationId xmlns:a16="http://schemas.microsoft.com/office/drawing/2014/main" id="{00000000-0008-0000-0B00-00000F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Next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51</xdr:row>
          <xdr:rowOff>28575</xdr:rowOff>
        </xdr:from>
        <xdr:to>
          <xdr:col>6</xdr:col>
          <xdr:colOff>742950</xdr:colOff>
          <xdr:row>51</xdr:row>
          <xdr:rowOff>304800</xdr:rowOff>
        </xdr:to>
        <xdr:sp macro="" textlink="">
          <xdr:nvSpPr>
            <xdr:cNvPr id="268297" name="Button 9" hidden="1">
              <a:extLst>
                <a:ext uri="{63B3BB69-23CF-44E3-9099-C40C66FF867C}">
                  <a14:compatExt spid="_x0000_s268297"/>
                </a:ext>
                <a:ext uri="{FF2B5EF4-FFF2-40B4-BE49-F238E27FC236}">
                  <a16:creationId xmlns:a16="http://schemas.microsoft.com/office/drawing/2014/main" id="{00000000-0008-0000-0C00-000009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Salaries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51</xdr:row>
          <xdr:rowOff>19050</xdr:rowOff>
        </xdr:from>
        <xdr:to>
          <xdr:col>6</xdr:col>
          <xdr:colOff>2247900</xdr:colOff>
          <xdr:row>51</xdr:row>
          <xdr:rowOff>295275</xdr:rowOff>
        </xdr:to>
        <xdr:sp macro="" textlink="">
          <xdr:nvSpPr>
            <xdr:cNvPr id="268298" name="Button 10" hidden="1">
              <a:extLst>
                <a:ext uri="{63B3BB69-23CF-44E3-9099-C40C66FF867C}">
                  <a14:compatExt spid="_x0000_s268298"/>
                </a:ext>
                <a:ext uri="{FF2B5EF4-FFF2-40B4-BE49-F238E27FC236}">
                  <a16:creationId xmlns:a16="http://schemas.microsoft.com/office/drawing/2014/main" id="{00000000-0008-0000-0C00-00000A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 17(1)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2343150</xdr:colOff>
          <xdr:row>51</xdr:row>
          <xdr:rowOff>28575</xdr:rowOff>
        </xdr:from>
        <xdr:to>
          <xdr:col>7</xdr:col>
          <xdr:colOff>1162050</xdr:colOff>
          <xdr:row>51</xdr:row>
          <xdr:rowOff>304800</xdr:rowOff>
        </xdr:to>
        <xdr:sp macro="" textlink="">
          <xdr:nvSpPr>
            <xdr:cNvPr id="268299" name="Button 11" hidden="1">
              <a:extLst>
                <a:ext uri="{63B3BB69-23CF-44E3-9099-C40C66FF867C}">
                  <a14:compatExt spid="_x0000_s268299"/>
                </a:ext>
                <a:ext uri="{FF2B5EF4-FFF2-40B4-BE49-F238E27FC236}">
                  <a16:creationId xmlns:a16="http://schemas.microsoft.com/office/drawing/2014/main" id="{00000000-0008-0000-0C00-00000B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 17(2)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1276350</xdr:colOff>
          <xdr:row>51</xdr:row>
          <xdr:rowOff>38100</xdr:rowOff>
        </xdr:from>
        <xdr:to>
          <xdr:col>9</xdr:col>
          <xdr:colOff>476250</xdr:colOff>
          <xdr:row>51</xdr:row>
          <xdr:rowOff>323850</xdr:rowOff>
        </xdr:to>
        <xdr:sp macro="" textlink="">
          <xdr:nvSpPr>
            <xdr:cNvPr id="268300" name="Button 12" hidden="1">
              <a:extLst>
                <a:ext uri="{63B3BB69-23CF-44E3-9099-C40C66FF867C}">
                  <a14:compatExt spid="_x0000_s268300"/>
                </a:ext>
                <a:ext uri="{FF2B5EF4-FFF2-40B4-BE49-F238E27FC236}">
                  <a16:creationId xmlns:a16="http://schemas.microsoft.com/office/drawing/2014/main" id="{00000000-0008-0000-0C00-00000C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 17(3)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66675</xdr:rowOff>
        </xdr:from>
        <xdr:to>
          <xdr:col>6</xdr:col>
          <xdr:colOff>942975</xdr:colOff>
          <xdr:row>60</xdr:row>
          <xdr:rowOff>333375</xdr:rowOff>
        </xdr:to>
        <xdr:sp macro="" textlink="">
          <xdr:nvSpPr>
            <xdr:cNvPr id="268301" name="Button 13" hidden="1">
              <a:extLst>
                <a:ext uri="{63B3BB69-23CF-44E3-9099-C40C66FF867C}">
                  <a14:compatExt spid="_x0000_s268301"/>
                </a:ext>
                <a:ext uri="{FF2B5EF4-FFF2-40B4-BE49-F238E27FC236}">
                  <a16:creationId xmlns:a16="http://schemas.microsoft.com/office/drawing/2014/main" id="{00000000-0008-0000-0C00-00000D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1</xdr:row>
          <xdr:rowOff>95250</xdr:rowOff>
        </xdr:from>
        <xdr:to>
          <xdr:col>13</xdr:col>
          <xdr:colOff>1581150</xdr:colOff>
          <xdr:row>2</xdr:row>
          <xdr:rowOff>180975</xdr:rowOff>
        </xdr:to>
        <xdr:sp macro="" textlink="">
          <xdr:nvSpPr>
            <xdr:cNvPr id="268302" name="Button 14" hidden="1">
              <a:extLst>
                <a:ext uri="{63B3BB69-23CF-44E3-9099-C40C66FF867C}">
                  <a14:compatExt spid="_x0000_s268302"/>
                </a:ext>
                <a:ext uri="{FF2B5EF4-FFF2-40B4-BE49-F238E27FC236}">
                  <a16:creationId xmlns:a16="http://schemas.microsoft.com/office/drawing/2014/main" id="{00000000-0008-0000-0C00-00000E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3</xdr:row>
          <xdr:rowOff>19050</xdr:rowOff>
        </xdr:from>
        <xdr:to>
          <xdr:col>13</xdr:col>
          <xdr:colOff>1581150</xdr:colOff>
          <xdr:row>3</xdr:row>
          <xdr:rowOff>295275</xdr:rowOff>
        </xdr:to>
        <xdr:sp macro="" textlink="">
          <xdr:nvSpPr>
            <xdr:cNvPr id="268303" name="Button 15" hidden="1">
              <a:extLst>
                <a:ext uri="{63B3BB69-23CF-44E3-9099-C40C66FF867C}">
                  <a14:compatExt spid="_x0000_s268303"/>
                </a:ext>
                <a:ext uri="{FF2B5EF4-FFF2-40B4-BE49-F238E27FC236}">
                  <a16:creationId xmlns:a16="http://schemas.microsoft.com/office/drawing/2014/main" id="{00000000-0008-0000-0C00-00000F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3</xdr:row>
          <xdr:rowOff>323850</xdr:rowOff>
        </xdr:from>
        <xdr:to>
          <xdr:col>13</xdr:col>
          <xdr:colOff>1581150</xdr:colOff>
          <xdr:row>4</xdr:row>
          <xdr:rowOff>133350</xdr:rowOff>
        </xdr:to>
        <xdr:sp macro="" textlink="">
          <xdr:nvSpPr>
            <xdr:cNvPr id="268304" name="Button 16" hidden="1">
              <a:extLst>
                <a:ext uri="{63B3BB69-23CF-44E3-9099-C40C66FF867C}">
                  <a14:compatExt spid="_x0000_s268304"/>
                </a:ext>
                <a:ext uri="{FF2B5EF4-FFF2-40B4-BE49-F238E27FC236}">
                  <a16:creationId xmlns:a16="http://schemas.microsoft.com/office/drawing/2014/main" id="{00000000-0008-0000-0C00-000010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4</xdr:row>
          <xdr:rowOff>171450</xdr:rowOff>
        </xdr:from>
        <xdr:to>
          <xdr:col>13</xdr:col>
          <xdr:colOff>1581150</xdr:colOff>
          <xdr:row>6</xdr:row>
          <xdr:rowOff>76200</xdr:rowOff>
        </xdr:to>
        <xdr:sp macro="" textlink="">
          <xdr:nvSpPr>
            <xdr:cNvPr id="268305" name="Button 17" hidden="1">
              <a:extLst>
                <a:ext uri="{63B3BB69-23CF-44E3-9099-C40C66FF867C}">
                  <a14:compatExt spid="_x0000_s268305"/>
                </a:ext>
                <a:ext uri="{FF2B5EF4-FFF2-40B4-BE49-F238E27FC236}">
                  <a16:creationId xmlns:a16="http://schemas.microsoft.com/office/drawing/2014/main" id="{00000000-0008-0000-0C00-000011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6</xdr:row>
          <xdr:rowOff>114300</xdr:rowOff>
        </xdr:from>
        <xdr:to>
          <xdr:col>13</xdr:col>
          <xdr:colOff>1581150</xdr:colOff>
          <xdr:row>8</xdr:row>
          <xdr:rowOff>19050</xdr:rowOff>
        </xdr:to>
        <xdr:sp macro="" textlink="">
          <xdr:nvSpPr>
            <xdr:cNvPr id="268306" name="Button 18" hidden="1">
              <a:extLst>
                <a:ext uri="{63B3BB69-23CF-44E3-9099-C40C66FF867C}">
                  <a14:compatExt spid="_x0000_s268306"/>
                </a:ext>
                <a:ext uri="{FF2B5EF4-FFF2-40B4-BE49-F238E27FC236}">
                  <a16:creationId xmlns:a16="http://schemas.microsoft.com/office/drawing/2014/main" id="{00000000-0008-0000-0C00-000012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8</xdr:row>
          <xdr:rowOff>28575</xdr:rowOff>
        </xdr:from>
        <xdr:to>
          <xdr:col>13</xdr:col>
          <xdr:colOff>1581150</xdr:colOff>
          <xdr:row>9</xdr:row>
          <xdr:rowOff>95250</xdr:rowOff>
        </xdr:to>
        <xdr:sp macro="" textlink="">
          <xdr:nvSpPr>
            <xdr:cNvPr id="268307" name="Button 19" hidden="1">
              <a:extLst>
                <a:ext uri="{63B3BB69-23CF-44E3-9099-C40C66FF867C}">
                  <a14:compatExt spid="_x0000_s268307"/>
                </a:ext>
                <a:ext uri="{FF2B5EF4-FFF2-40B4-BE49-F238E27FC236}">
                  <a16:creationId xmlns:a16="http://schemas.microsoft.com/office/drawing/2014/main" id="{00000000-0008-0000-0C00-000013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219075</xdr:colOff>
          <xdr:row>9</xdr:row>
          <xdr:rowOff>114300</xdr:rowOff>
        </xdr:from>
        <xdr:to>
          <xdr:col>13</xdr:col>
          <xdr:colOff>1590675</xdr:colOff>
          <xdr:row>11</xdr:row>
          <xdr:rowOff>19050</xdr:rowOff>
        </xdr:to>
        <xdr:sp macro="" textlink="">
          <xdr:nvSpPr>
            <xdr:cNvPr id="268308" name="Button 20" hidden="1">
              <a:extLst>
                <a:ext uri="{63B3BB69-23CF-44E3-9099-C40C66FF867C}">
                  <a14:compatExt spid="_x0000_s268308"/>
                </a:ext>
                <a:ext uri="{FF2B5EF4-FFF2-40B4-BE49-F238E27FC236}">
                  <a16:creationId xmlns:a16="http://schemas.microsoft.com/office/drawing/2014/main" id="{00000000-0008-0000-0C00-0000141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133350</xdr:colOff>
          <xdr:row>3</xdr:row>
          <xdr:rowOff>209550</xdr:rowOff>
        </xdr:from>
        <xdr:to>
          <xdr:col>12</xdr:col>
          <xdr:colOff>1504950</xdr:colOff>
          <xdr:row>3</xdr:row>
          <xdr:rowOff>476250</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5</xdr:col>
          <xdr:colOff>819150</xdr:colOff>
          <xdr:row>61</xdr:row>
          <xdr:rowOff>133350</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Properties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6</xdr:col>
          <xdr:colOff>1371600</xdr:colOff>
          <xdr:row>61</xdr:row>
          <xdr:rowOff>133350</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Co-Owners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5</xdr:row>
          <xdr:rowOff>171450</xdr:rowOff>
        </xdr:from>
        <xdr:to>
          <xdr:col>12</xdr:col>
          <xdr:colOff>1504950</xdr:colOff>
          <xdr:row>5</xdr:row>
          <xdr:rowOff>419100</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2</xdr:row>
          <xdr:rowOff>66675</xdr:rowOff>
        </xdr:from>
        <xdr:to>
          <xdr:col>12</xdr:col>
          <xdr:colOff>1504950</xdr:colOff>
          <xdr:row>3</xdr:row>
          <xdr:rowOff>180975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4</xdr:row>
          <xdr:rowOff>19050</xdr:rowOff>
        </xdr:from>
        <xdr:to>
          <xdr:col>12</xdr:col>
          <xdr:colOff>1504950</xdr:colOff>
          <xdr:row>5</xdr:row>
          <xdr:rowOff>133350</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7</xdr:row>
          <xdr:rowOff>95250</xdr:rowOff>
        </xdr:from>
        <xdr:to>
          <xdr:col>12</xdr:col>
          <xdr:colOff>1504950</xdr:colOff>
          <xdr:row>9</xdr:row>
          <xdr:rowOff>28575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6</xdr:row>
          <xdr:rowOff>257175</xdr:rowOff>
        </xdr:from>
        <xdr:to>
          <xdr:col>12</xdr:col>
          <xdr:colOff>1504950</xdr:colOff>
          <xdr:row>7</xdr:row>
          <xdr:rowOff>57150</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133350</xdr:colOff>
          <xdr:row>5</xdr:row>
          <xdr:rowOff>447675</xdr:rowOff>
        </xdr:from>
        <xdr:to>
          <xdr:col>12</xdr:col>
          <xdr:colOff>1504950</xdr:colOff>
          <xdr:row>6</xdr:row>
          <xdr:rowOff>228600</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0</xdr:rowOff>
        </xdr:from>
        <xdr:to>
          <xdr:col>7</xdr:col>
          <xdr:colOff>552450</xdr:colOff>
          <xdr:row>61</xdr:row>
          <xdr:rowOff>133350</xdr:rowOff>
        </xdr:to>
        <xdr:sp macro="" textlink="">
          <xdr:nvSpPr>
            <xdr:cNvPr id="13387" name="Button 75" hidden="1">
              <a:extLst>
                <a:ext uri="{63B3BB69-23CF-44E3-9099-C40C66FF867C}">
                  <a14:compatExt spid="_x0000_s13387"/>
                </a:ext>
                <a:ext uri="{FF2B5EF4-FFF2-40B4-BE49-F238E27FC236}">
                  <a16:creationId xmlns:a16="http://schemas.microsoft.com/office/drawing/2014/main" id="{00000000-0008-0000-0D00-00004B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Tenant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114300</xdr:colOff>
          <xdr:row>3</xdr:row>
          <xdr:rowOff>38100</xdr:rowOff>
        </xdr:from>
        <xdr:to>
          <xdr:col>12</xdr:col>
          <xdr:colOff>1485900</xdr:colOff>
          <xdr:row>4</xdr:row>
          <xdr:rowOff>28575</xdr:rowOff>
        </xdr:to>
        <xdr:sp macro="" textlink="">
          <xdr:nvSpPr>
            <xdr:cNvPr id="89089" name="Button 1" hidden="1">
              <a:extLst>
                <a:ext uri="{63B3BB69-23CF-44E3-9099-C40C66FF867C}">
                  <a14:compatExt spid="_x0000_s89089"/>
                </a:ext>
                <a:ext uri="{FF2B5EF4-FFF2-40B4-BE49-F238E27FC236}">
                  <a16:creationId xmlns:a16="http://schemas.microsoft.com/office/drawing/2014/main" id="{00000000-0008-0000-0E00-000001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5</xdr:row>
          <xdr:rowOff>28575</xdr:rowOff>
        </xdr:from>
        <xdr:to>
          <xdr:col>12</xdr:col>
          <xdr:colOff>1485900</xdr:colOff>
          <xdr:row>5</xdr:row>
          <xdr:rowOff>304800</xdr:rowOff>
        </xdr:to>
        <xdr:sp macro="" textlink="">
          <xdr:nvSpPr>
            <xdr:cNvPr id="89091" name="Button 3" hidden="1">
              <a:extLst>
                <a:ext uri="{63B3BB69-23CF-44E3-9099-C40C66FF867C}">
                  <a14:compatExt spid="_x0000_s89091"/>
                </a:ext>
                <a:ext uri="{FF2B5EF4-FFF2-40B4-BE49-F238E27FC236}">
                  <a16:creationId xmlns:a16="http://schemas.microsoft.com/office/drawing/2014/main" id="{00000000-0008-0000-0E00-000003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1</xdr:row>
          <xdr:rowOff>66675</xdr:rowOff>
        </xdr:from>
        <xdr:to>
          <xdr:col>12</xdr:col>
          <xdr:colOff>1485900</xdr:colOff>
          <xdr:row>3</xdr:row>
          <xdr:rowOff>19050</xdr:rowOff>
        </xdr:to>
        <xdr:sp macro="" textlink="">
          <xdr:nvSpPr>
            <xdr:cNvPr id="89092" name="Button 4" hidden="1">
              <a:extLst>
                <a:ext uri="{63B3BB69-23CF-44E3-9099-C40C66FF867C}">
                  <a14:compatExt spid="_x0000_s89092"/>
                </a:ext>
                <a:ext uri="{FF2B5EF4-FFF2-40B4-BE49-F238E27FC236}">
                  <a16:creationId xmlns:a16="http://schemas.microsoft.com/office/drawing/2014/main" id="{00000000-0008-0000-0E00-000004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4</xdr:row>
          <xdr:rowOff>57150</xdr:rowOff>
        </xdr:from>
        <xdr:to>
          <xdr:col>12</xdr:col>
          <xdr:colOff>1485900</xdr:colOff>
          <xdr:row>5</xdr:row>
          <xdr:rowOff>0</xdr:rowOff>
        </xdr:to>
        <xdr:sp macro="" textlink="">
          <xdr:nvSpPr>
            <xdr:cNvPr id="89094" name="Button 6" hidden="1">
              <a:extLst>
                <a:ext uri="{63B3BB69-23CF-44E3-9099-C40C66FF867C}">
                  <a14:compatExt spid="_x0000_s89094"/>
                </a:ext>
                <a:ext uri="{FF2B5EF4-FFF2-40B4-BE49-F238E27FC236}">
                  <a16:creationId xmlns:a16="http://schemas.microsoft.com/office/drawing/2014/main" id="{00000000-0008-0000-0E00-000006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7</xdr:row>
          <xdr:rowOff>152400</xdr:rowOff>
        </xdr:from>
        <xdr:to>
          <xdr:col>12</xdr:col>
          <xdr:colOff>1485900</xdr:colOff>
          <xdr:row>8</xdr:row>
          <xdr:rowOff>114300</xdr:rowOff>
        </xdr:to>
        <xdr:sp macro="" textlink="">
          <xdr:nvSpPr>
            <xdr:cNvPr id="89095" name="Button 7" hidden="1">
              <a:extLst>
                <a:ext uri="{63B3BB69-23CF-44E3-9099-C40C66FF867C}">
                  <a14:compatExt spid="_x0000_s89095"/>
                </a:ext>
                <a:ext uri="{FF2B5EF4-FFF2-40B4-BE49-F238E27FC236}">
                  <a16:creationId xmlns:a16="http://schemas.microsoft.com/office/drawing/2014/main" id="{00000000-0008-0000-0E00-00000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6</xdr:row>
          <xdr:rowOff>285750</xdr:rowOff>
        </xdr:from>
        <xdr:to>
          <xdr:col>12</xdr:col>
          <xdr:colOff>1485900</xdr:colOff>
          <xdr:row>7</xdr:row>
          <xdr:rowOff>133350</xdr:rowOff>
        </xdr:to>
        <xdr:sp macro="" textlink="">
          <xdr:nvSpPr>
            <xdr:cNvPr id="89096" name="Button 8" hidden="1">
              <a:extLst>
                <a:ext uri="{63B3BB69-23CF-44E3-9099-C40C66FF867C}">
                  <a14:compatExt spid="_x0000_s89096"/>
                </a:ext>
                <a:ext uri="{FF2B5EF4-FFF2-40B4-BE49-F238E27FC236}">
                  <a16:creationId xmlns:a16="http://schemas.microsoft.com/office/drawing/2014/main" id="{00000000-0008-0000-0E00-000008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5</xdr:row>
          <xdr:rowOff>342900</xdr:rowOff>
        </xdr:from>
        <xdr:to>
          <xdr:col>12</xdr:col>
          <xdr:colOff>1485900</xdr:colOff>
          <xdr:row>6</xdr:row>
          <xdr:rowOff>247650</xdr:rowOff>
        </xdr:to>
        <xdr:sp macro="" textlink="">
          <xdr:nvSpPr>
            <xdr:cNvPr id="89097" name="Button 9" hidden="1">
              <a:extLst>
                <a:ext uri="{63B3BB69-23CF-44E3-9099-C40C66FF867C}">
                  <a14:compatExt spid="_x0000_s89097"/>
                </a:ext>
                <a:ext uri="{FF2B5EF4-FFF2-40B4-BE49-F238E27FC236}">
                  <a16:creationId xmlns:a16="http://schemas.microsoft.com/office/drawing/2014/main" id="{00000000-0008-0000-0E00-000009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38100</xdr:rowOff>
        </xdr:from>
        <xdr:to>
          <xdr:col>6</xdr:col>
          <xdr:colOff>981075</xdr:colOff>
          <xdr:row>146</xdr:row>
          <xdr:rowOff>323850</xdr:rowOff>
        </xdr:to>
        <xdr:sp macro="" textlink="">
          <xdr:nvSpPr>
            <xdr:cNvPr id="89099" name="Button 11" hidden="1">
              <a:extLst>
                <a:ext uri="{63B3BB69-23CF-44E3-9099-C40C66FF867C}">
                  <a14:compatExt spid="_x0000_s89099"/>
                </a:ext>
                <a:ext uri="{FF2B5EF4-FFF2-40B4-BE49-F238E27FC236}">
                  <a16:creationId xmlns:a16="http://schemas.microsoft.com/office/drawing/2014/main" id="{00000000-0008-0000-0E00-00000B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38100</xdr:rowOff>
        </xdr:from>
        <xdr:to>
          <xdr:col>6</xdr:col>
          <xdr:colOff>981075</xdr:colOff>
          <xdr:row>40</xdr:row>
          <xdr:rowOff>323850</xdr:rowOff>
        </xdr:to>
        <xdr:sp macro="" textlink="">
          <xdr:nvSpPr>
            <xdr:cNvPr id="89105" name="Button 17" hidden="1">
              <a:extLst>
                <a:ext uri="{63B3BB69-23CF-44E3-9099-C40C66FF867C}">
                  <a14:compatExt spid="_x0000_s89105"/>
                </a:ext>
                <a:ext uri="{FF2B5EF4-FFF2-40B4-BE49-F238E27FC236}">
                  <a16:creationId xmlns:a16="http://schemas.microsoft.com/office/drawing/2014/main" id="{00000000-0008-0000-0E00-000011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257175</xdr:colOff>
          <xdr:row>3</xdr:row>
          <xdr:rowOff>19050</xdr:rowOff>
        </xdr:from>
        <xdr:to>
          <xdr:col>10</xdr:col>
          <xdr:colOff>28575</xdr:colOff>
          <xdr:row>4</xdr:row>
          <xdr:rowOff>133350</xdr:rowOff>
        </xdr:to>
        <xdr:sp macro="" textlink="">
          <xdr:nvSpPr>
            <xdr:cNvPr id="91137" name="Button 1" hidden="1">
              <a:extLst>
                <a:ext uri="{63B3BB69-23CF-44E3-9099-C40C66FF867C}">
                  <a14:compatExt spid="_x0000_s91137"/>
                </a:ext>
                <a:ext uri="{FF2B5EF4-FFF2-40B4-BE49-F238E27FC236}">
                  <a16:creationId xmlns:a16="http://schemas.microsoft.com/office/drawing/2014/main" id="{00000000-0008-0000-0F00-000001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257175</xdr:colOff>
          <xdr:row>6</xdr:row>
          <xdr:rowOff>104775</xdr:rowOff>
        </xdr:from>
        <xdr:to>
          <xdr:col>10</xdr:col>
          <xdr:colOff>28575</xdr:colOff>
          <xdr:row>6</xdr:row>
          <xdr:rowOff>333375</xdr:rowOff>
        </xdr:to>
        <xdr:sp macro="" textlink="">
          <xdr:nvSpPr>
            <xdr:cNvPr id="91139" name="Button 3" hidden="1">
              <a:extLst>
                <a:ext uri="{63B3BB69-23CF-44E3-9099-C40C66FF867C}">
                  <a14:compatExt spid="_x0000_s91139"/>
                </a:ext>
                <a:ext uri="{FF2B5EF4-FFF2-40B4-BE49-F238E27FC236}">
                  <a16:creationId xmlns:a16="http://schemas.microsoft.com/office/drawing/2014/main" id="{00000000-0008-0000-0F00-000003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257175</xdr:colOff>
          <xdr:row>2</xdr:row>
          <xdr:rowOff>76200</xdr:rowOff>
        </xdr:from>
        <xdr:to>
          <xdr:col>10</xdr:col>
          <xdr:colOff>28575</xdr:colOff>
          <xdr:row>2</xdr:row>
          <xdr:rowOff>361950</xdr:rowOff>
        </xdr:to>
        <xdr:sp macro="" textlink="">
          <xdr:nvSpPr>
            <xdr:cNvPr id="91140" name="Button 4" hidden="1">
              <a:extLst>
                <a:ext uri="{63B3BB69-23CF-44E3-9099-C40C66FF867C}">
                  <a14:compatExt spid="_x0000_s91140"/>
                </a:ext>
                <a:ext uri="{FF2B5EF4-FFF2-40B4-BE49-F238E27FC236}">
                  <a16:creationId xmlns:a16="http://schemas.microsoft.com/office/drawing/2014/main" id="{00000000-0008-0000-0F00-000004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257175</xdr:colOff>
          <xdr:row>4</xdr:row>
          <xdr:rowOff>142875</xdr:rowOff>
        </xdr:from>
        <xdr:to>
          <xdr:col>10</xdr:col>
          <xdr:colOff>28575</xdr:colOff>
          <xdr:row>6</xdr:row>
          <xdr:rowOff>95250</xdr:rowOff>
        </xdr:to>
        <xdr:sp macro="" textlink="">
          <xdr:nvSpPr>
            <xdr:cNvPr id="91142" name="Button 6" hidden="1">
              <a:extLst>
                <a:ext uri="{63B3BB69-23CF-44E3-9099-C40C66FF867C}">
                  <a14:compatExt spid="_x0000_s91142"/>
                </a:ext>
                <a:ext uri="{FF2B5EF4-FFF2-40B4-BE49-F238E27FC236}">
                  <a16:creationId xmlns:a16="http://schemas.microsoft.com/office/drawing/2014/main" id="{00000000-0008-0000-0F00-000006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247650</xdr:colOff>
          <xdr:row>7</xdr:row>
          <xdr:rowOff>0</xdr:rowOff>
        </xdr:from>
        <xdr:to>
          <xdr:col>10</xdr:col>
          <xdr:colOff>19050</xdr:colOff>
          <xdr:row>7</xdr:row>
          <xdr:rowOff>0</xdr:rowOff>
        </xdr:to>
        <xdr:sp macro="" textlink="">
          <xdr:nvSpPr>
            <xdr:cNvPr id="91143" name="Button 7" hidden="1">
              <a:extLst>
                <a:ext uri="{63B3BB69-23CF-44E3-9099-C40C66FF867C}">
                  <a14:compatExt spid="_x0000_s91143"/>
                </a:ext>
                <a:ext uri="{FF2B5EF4-FFF2-40B4-BE49-F238E27FC236}">
                  <a16:creationId xmlns:a16="http://schemas.microsoft.com/office/drawing/2014/main" id="{00000000-0008-0000-0F00-000007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247650</xdr:colOff>
          <xdr:row>7</xdr:row>
          <xdr:rowOff>0</xdr:rowOff>
        </xdr:from>
        <xdr:to>
          <xdr:col>10</xdr:col>
          <xdr:colOff>19050</xdr:colOff>
          <xdr:row>7</xdr:row>
          <xdr:rowOff>0</xdr:rowOff>
        </xdr:to>
        <xdr:sp macro="" textlink="">
          <xdr:nvSpPr>
            <xdr:cNvPr id="91144" name="Button 8" hidden="1">
              <a:extLst>
                <a:ext uri="{63B3BB69-23CF-44E3-9099-C40C66FF867C}">
                  <a14:compatExt spid="_x0000_s91144"/>
                </a:ext>
                <a:ext uri="{FF2B5EF4-FFF2-40B4-BE49-F238E27FC236}">
                  <a16:creationId xmlns:a16="http://schemas.microsoft.com/office/drawing/2014/main" id="{00000000-0008-0000-0F00-000008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257175</xdr:colOff>
          <xdr:row>7</xdr:row>
          <xdr:rowOff>0</xdr:rowOff>
        </xdr:from>
        <xdr:to>
          <xdr:col>10</xdr:col>
          <xdr:colOff>28575</xdr:colOff>
          <xdr:row>7</xdr:row>
          <xdr:rowOff>0</xdr:rowOff>
        </xdr:to>
        <xdr:sp macro="" textlink="">
          <xdr:nvSpPr>
            <xdr:cNvPr id="91145" name="Button 9" hidden="1">
              <a:extLst>
                <a:ext uri="{63B3BB69-23CF-44E3-9099-C40C66FF867C}">
                  <a14:compatExt spid="_x0000_s91145"/>
                </a:ext>
                <a:ext uri="{FF2B5EF4-FFF2-40B4-BE49-F238E27FC236}">
                  <a16:creationId xmlns:a16="http://schemas.microsoft.com/office/drawing/2014/main" id="{00000000-0008-0000-0F00-0000096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219075</xdr:colOff>
          <xdr:row>3</xdr:row>
          <xdr:rowOff>19050</xdr:rowOff>
        </xdr:from>
        <xdr:to>
          <xdr:col>11</xdr:col>
          <xdr:colOff>1590675</xdr:colOff>
          <xdr:row>4</xdr:row>
          <xdr:rowOff>104775</xdr:rowOff>
        </xdr:to>
        <xdr:sp macro="" textlink="">
          <xdr:nvSpPr>
            <xdr:cNvPr id="90113" name="Button 1" hidden="1">
              <a:extLst>
                <a:ext uri="{63B3BB69-23CF-44E3-9099-C40C66FF867C}">
                  <a14:compatExt spid="_x0000_s90113"/>
                </a:ext>
                <a:ext uri="{FF2B5EF4-FFF2-40B4-BE49-F238E27FC236}">
                  <a16:creationId xmlns:a16="http://schemas.microsoft.com/office/drawing/2014/main" id="{00000000-0008-0000-1000-000001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209550</xdr:colOff>
          <xdr:row>6</xdr:row>
          <xdr:rowOff>57150</xdr:rowOff>
        </xdr:from>
        <xdr:to>
          <xdr:col>11</xdr:col>
          <xdr:colOff>1581150</xdr:colOff>
          <xdr:row>11</xdr:row>
          <xdr:rowOff>171450</xdr:rowOff>
        </xdr:to>
        <xdr:sp macro="" textlink="">
          <xdr:nvSpPr>
            <xdr:cNvPr id="90115" name="Button 3" hidden="1">
              <a:extLst>
                <a:ext uri="{63B3BB69-23CF-44E3-9099-C40C66FF867C}">
                  <a14:compatExt spid="_x0000_s90115"/>
                </a:ext>
                <a:ext uri="{FF2B5EF4-FFF2-40B4-BE49-F238E27FC236}">
                  <a16:creationId xmlns:a16="http://schemas.microsoft.com/office/drawing/2014/main" id="{00000000-0008-0000-1000-000003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228600</xdr:colOff>
          <xdr:row>1</xdr:row>
          <xdr:rowOff>57150</xdr:rowOff>
        </xdr:from>
        <xdr:to>
          <xdr:col>11</xdr:col>
          <xdr:colOff>1600200</xdr:colOff>
          <xdr:row>2</xdr:row>
          <xdr:rowOff>171450</xdr:rowOff>
        </xdr:to>
        <xdr:sp macro="" textlink="">
          <xdr:nvSpPr>
            <xdr:cNvPr id="90116" name="Button 4" hidden="1">
              <a:extLst>
                <a:ext uri="{63B3BB69-23CF-44E3-9099-C40C66FF867C}">
                  <a14:compatExt spid="_x0000_s90116"/>
                </a:ext>
                <a:ext uri="{FF2B5EF4-FFF2-40B4-BE49-F238E27FC236}">
                  <a16:creationId xmlns:a16="http://schemas.microsoft.com/office/drawing/2014/main" id="{00000000-0008-0000-1000-000004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209550</xdr:colOff>
          <xdr:row>4</xdr:row>
          <xdr:rowOff>133350</xdr:rowOff>
        </xdr:from>
        <xdr:to>
          <xdr:col>11</xdr:col>
          <xdr:colOff>1581150</xdr:colOff>
          <xdr:row>6</xdr:row>
          <xdr:rowOff>28575</xdr:rowOff>
        </xdr:to>
        <xdr:sp macro="" textlink="">
          <xdr:nvSpPr>
            <xdr:cNvPr id="90118" name="Button 6" hidden="1">
              <a:extLst>
                <a:ext uri="{63B3BB69-23CF-44E3-9099-C40C66FF867C}">
                  <a14:compatExt spid="_x0000_s90118"/>
                </a:ext>
                <a:ext uri="{FF2B5EF4-FFF2-40B4-BE49-F238E27FC236}">
                  <a16:creationId xmlns:a16="http://schemas.microsoft.com/office/drawing/2014/main" id="{00000000-0008-0000-1000-000006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209550</xdr:colOff>
          <xdr:row>14</xdr:row>
          <xdr:rowOff>95250</xdr:rowOff>
        </xdr:from>
        <xdr:to>
          <xdr:col>11</xdr:col>
          <xdr:colOff>1581150</xdr:colOff>
          <xdr:row>16</xdr:row>
          <xdr:rowOff>19050</xdr:rowOff>
        </xdr:to>
        <xdr:sp macro="" textlink="">
          <xdr:nvSpPr>
            <xdr:cNvPr id="90119" name="Button 7" hidden="1">
              <a:extLst>
                <a:ext uri="{63B3BB69-23CF-44E3-9099-C40C66FF867C}">
                  <a14:compatExt spid="_x0000_s90119"/>
                </a:ext>
                <a:ext uri="{FF2B5EF4-FFF2-40B4-BE49-F238E27FC236}">
                  <a16:creationId xmlns:a16="http://schemas.microsoft.com/office/drawing/2014/main" id="{00000000-0008-0000-1000-000007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190500</xdr:colOff>
          <xdr:row>12</xdr:row>
          <xdr:rowOff>152400</xdr:rowOff>
        </xdr:from>
        <xdr:to>
          <xdr:col>11</xdr:col>
          <xdr:colOff>1562100</xdr:colOff>
          <xdr:row>14</xdr:row>
          <xdr:rowOff>66675</xdr:rowOff>
        </xdr:to>
        <xdr:sp macro="" textlink="">
          <xdr:nvSpPr>
            <xdr:cNvPr id="90120" name="Button 8" hidden="1">
              <a:extLst>
                <a:ext uri="{63B3BB69-23CF-44E3-9099-C40C66FF867C}">
                  <a14:compatExt spid="_x0000_s90120"/>
                </a:ext>
                <a:ext uri="{FF2B5EF4-FFF2-40B4-BE49-F238E27FC236}">
                  <a16:creationId xmlns:a16="http://schemas.microsoft.com/office/drawing/2014/main" id="{00000000-0008-0000-1000-000008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209550</xdr:colOff>
          <xdr:row>11</xdr:row>
          <xdr:rowOff>190500</xdr:rowOff>
        </xdr:from>
        <xdr:to>
          <xdr:col>11</xdr:col>
          <xdr:colOff>1581150</xdr:colOff>
          <xdr:row>12</xdr:row>
          <xdr:rowOff>133350</xdr:rowOff>
        </xdr:to>
        <xdr:sp macro="" textlink="">
          <xdr:nvSpPr>
            <xdr:cNvPr id="90121" name="Button 9" hidden="1">
              <a:extLst>
                <a:ext uri="{63B3BB69-23CF-44E3-9099-C40C66FF867C}">
                  <a14:compatExt spid="_x0000_s90121"/>
                </a:ext>
                <a:ext uri="{FF2B5EF4-FFF2-40B4-BE49-F238E27FC236}">
                  <a16:creationId xmlns:a16="http://schemas.microsoft.com/office/drawing/2014/main" id="{00000000-0008-0000-1000-0000096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76200</xdr:colOff>
          <xdr:row>2</xdr:row>
          <xdr:rowOff>114300</xdr:rowOff>
        </xdr:from>
        <xdr:to>
          <xdr:col>8</xdr:col>
          <xdr:colOff>1447800</xdr:colOff>
          <xdr:row>3</xdr:row>
          <xdr:rowOff>247650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1100-000001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xdr:row>
          <xdr:rowOff>552450</xdr:rowOff>
        </xdr:from>
        <xdr:to>
          <xdr:col>8</xdr:col>
          <xdr:colOff>1447800</xdr:colOff>
          <xdr:row>5</xdr:row>
          <xdr:rowOff>95250</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1100-000003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0</xdr:row>
          <xdr:rowOff>171450</xdr:rowOff>
        </xdr:from>
        <xdr:to>
          <xdr:col>8</xdr:col>
          <xdr:colOff>1447800</xdr:colOff>
          <xdr:row>2</xdr:row>
          <xdr:rowOff>95250</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1100-000004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3</xdr:row>
          <xdr:rowOff>257175</xdr:rowOff>
        </xdr:from>
        <xdr:to>
          <xdr:col>8</xdr:col>
          <xdr:colOff>1447800</xdr:colOff>
          <xdr:row>3</xdr:row>
          <xdr:rowOff>523875</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1100-000006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9</xdr:row>
          <xdr:rowOff>66675</xdr:rowOff>
        </xdr:from>
        <xdr:to>
          <xdr:col>8</xdr:col>
          <xdr:colOff>1447800</xdr:colOff>
          <xdr:row>11</xdr:row>
          <xdr:rowOff>28575</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1100-000007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7</xdr:row>
          <xdr:rowOff>95250</xdr:rowOff>
        </xdr:from>
        <xdr:to>
          <xdr:col>8</xdr:col>
          <xdr:colOff>1447800</xdr:colOff>
          <xdr:row>9</xdr:row>
          <xdr:rowOff>57150</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1100-000008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76200</xdr:colOff>
          <xdr:row>5</xdr:row>
          <xdr:rowOff>133350</xdr:rowOff>
        </xdr:from>
        <xdr:to>
          <xdr:col>8</xdr:col>
          <xdr:colOff>1447800</xdr:colOff>
          <xdr:row>7</xdr:row>
          <xdr:rowOff>66675</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1100-0000097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20</xdr:col>
          <xdr:colOff>209550</xdr:colOff>
          <xdr:row>3</xdr:row>
          <xdr:rowOff>76200</xdr:rowOff>
        </xdr:from>
        <xdr:to>
          <xdr:col>20</xdr:col>
          <xdr:colOff>1581150</xdr:colOff>
          <xdr:row>4</xdr:row>
          <xdr:rowOff>57150</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1200-00000B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9</xdr:row>
          <xdr:rowOff>190500</xdr:rowOff>
        </xdr:from>
        <xdr:to>
          <xdr:col>20</xdr:col>
          <xdr:colOff>1581150</xdr:colOff>
          <xdr:row>10</xdr:row>
          <xdr:rowOff>152400</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1200-00000C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Set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6</xdr:row>
          <xdr:rowOff>19050</xdr:rowOff>
        </xdr:from>
        <xdr:to>
          <xdr:col>20</xdr:col>
          <xdr:colOff>1581150</xdr:colOff>
          <xdr:row>8</xdr:row>
          <xdr:rowOff>19050</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1200-00001D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1</xdr:row>
          <xdr:rowOff>114300</xdr:rowOff>
        </xdr:from>
        <xdr:to>
          <xdr:col>20</xdr:col>
          <xdr:colOff>1581150</xdr:colOff>
          <xdr:row>3</xdr:row>
          <xdr:rowOff>57150</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1200-00001E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4</xdr:row>
          <xdr:rowOff>95250</xdr:rowOff>
        </xdr:from>
        <xdr:to>
          <xdr:col>20</xdr:col>
          <xdr:colOff>1581150</xdr:colOff>
          <xdr:row>5</xdr:row>
          <xdr:rowOff>171450</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1200-000020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13</xdr:row>
          <xdr:rowOff>76200</xdr:rowOff>
        </xdr:from>
        <xdr:to>
          <xdr:col>20</xdr:col>
          <xdr:colOff>1581150</xdr:colOff>
          <xdr:row>14</xdr:row>
          <xdr:rowOff>57150</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1200-00002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11</xdr:row>
          <xdr:rowOff>28575</xdr:rowOff>
        </xdr:from>
        <xdr:to>
          <xdr:col>20</xdr:col>
          <xdr:colOff>1581150</xdr:colOff>
          <xdr:row>13</xdr:row>
          <xdr:rowOff>28575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1200-00002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209550</xdr:colOff>
          <xdr:row>8</xdr:row>
          <xdr:rowOff>38100</xdr:rowOff>
        </xdr:from>
        <xdr:to>
          <xdr:col>20</xdr:col>
          <xdr:colOff>1581150</xdr:colOff>
          <xdr:row>9</xdr:row>
          <xdr:rowOff>152400</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1200-00002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100</xdr:row>
          <xdr:rowOff>76200</xdr:rowOff>
        </xdr:from>
        <xdr:to>
          <xdr:col>7</xdr:col>
          <xdr:colOff>876300</xdr:colOff>
          <xdr:row>101</xdr:row>
          <xdr:rowOff>19050</xdr:rowOff>
        </xdr:to>
        <xdr:sp macro="" textlink="">
          <xdr:nvSpPr>
            <xdr:cNvPr id="14423" name="Button 87" hidden="1">
              <a:extLst>
                <a:ext uri="{63B3BB69-23CF-44E3-9099-C40C66FF867C}">
                  <a14:compatExt spid="_x0000_s14423"/>
                </a:ext>
                <a:ext uri="{FF2B5EF4-FFF2-40B4-BE49-F238E27FC236}">
                  <a16:creationId xmlns:a16="http://schemas.microsoft.com/office/drawing/2014/main" id="{00000000-0008-0000-1200-000057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113</xdr:row>
          <xdr:rowOff>76200</xdr:rowOff>
        </xdr:from>
        <xdr:to>
          <xdr:col>7</xdr:col>
          <xdr:colOff>876300</xdr:colOff>
          <xdr:row>115</xdr:row>
          <xdr:rowOff>57150</xdr:rowOff>
        </xdr:to>
        <xdr:sp macro="" textlink="">
          <xdr:nvSpPr>
            <xdr:cNvPr id="14425" name="Button 89" hidden="1">
              <a:extLst>
                <a:ext uri="{63B3BB69-23CF-44E3-9099-C40C66FF867C}">
                  <a14:compatExt spid="_x0000_s14425"/>
                </a:ext>
                <a:ext uri="{FF2B5EF4-FFF2-40B4-BE49-F238E27FC236}">
                  <a16:creationId xmlns:a16="http://schemas.microsoft.com/office/drawing/2014/main" id="{00000000-0008-0000-1200-000059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319</xdr:row>
          <xdr:rowOff>76200</xdr:rowOff>
        </xdr:from>
        <xdr:to>
          <xdr:col>7</xdr:col>
          <xdr:colOff>876300</xdr:colOff>
          <xdr:row>320</xdr:row>
          <xdr:rowOff>0</xdr:rowOff>
        </xdr:to>
        <xdr:sp macro="" textlink="">
          <xdr:nvSpPr>
            <xdr:cNvPr id="14495" name="Button 159" hidden="1">
              <a:extLst>
                <a:ext uri="{63B3BB69-23CF-44E3-9099-C40C66FF867C}">
                  <a14:compatExt spid="_x0000_s14495"/>
                </a:ext>
                <a:ext uri="{FF2B5EF4-FFF2-40B4-BE49-F238E27FC236}">
                  <a16:creationId xmlns:a16="http://schemas.microsoft.com/office/drawing/2014/main" id="{00000000-0008-0000-1200-00009F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330</xdr:row>
          <xdr:rowOff>76200</xdr:rowOff>
        </xdr:from>
        <xdr:to>
          <xdr:col>7</xdr:col>
          <xdr:colOff>876300</xdr:colOff>
          <xdr:row>332</xdr:row>
          <xdr:rowOff>0</xdr:rowOff>
        </xdr:to>
        <xdr:sp macro="" textlink="">
          <xdr:nvSpPr>
            <xdr:cNvPr id="14496" name="Button 160" hidden="1">
              <a:extLst>
                <a:ext uri="{63B3BB69-23CF-44E3-9099-C40C66FF867C}">
                  <a14:compatExt spid="_x0000_s14496"/>
                </a:ext>
                <a:ext uri="{FF2B5EF4-FFF2-40B4-BE49-F238E27FC236}">
                  <a16:creationId xmlns:a16="http://schemas.microsoft.com/office/drawing/2014/main" id="{00000000-0008-0000-1200-0000A0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348</xdr:row>
          <xdr:rowOff>38100</xdr:rowOff>
        </xdr:from>
        <xdr:to>
          <xdr:col>8</xdr:col>
          <xdr:colOff>19050</xdr:colOff>
          <xdr:row>348</xdr:row>
          <xdr:rowOff>323850</xdr:rowOff>
        </xdr:to>
        <xdr:sp macro="" textlink="">
          <xdr:nvSpPr>
            <xdr:cNvPr id="14603" name="Button 267" hidden="1">
              <a:extLst>
                <a:ext uri="{63B3BB69-23CF-44E3-9099-C40C66FF867C}">
                  <a14:compatExt spid="_x0000_s14603"/>
                </a:ext>
                <a:ext uri="{FF2B5EF4-FFF2-40B4-BE49-F238E27FC236}">
                  <a16:creationId xmlns:a16="http://schemas.microsoft.com/office/drawing/2014/main" id="{00000000-0008-0000-1200-00000B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353</xdr:row>
          <xdr:rowOff>38100</xdr:rowOff>
        </xdr:from>
        <xdr:to>
          <xdr:col>8</xdr:col>
          <xdr:colOff>19050</xdr:colOff>
          <xdr:row>353</xdr:row>
          <xdr:rowOff>323850</xdr:rowOff>
        </xdr:to>
        <xdr:sp macro="" textlink="">
          <xdr:nvSpPr>
            <xdr:cNvPr id="14605" name="Button 269" hidden="1">
              <a:extLst>
                <a:ext uri="{63B3BB69-23CF-44E3-9099-C40C66FF867C}">
                  <a14:compatExt spid="_x0000_s14605"/>
                </a:ext>
                <a:ext uri="{FF2B5EF4-FFF2-40B4-BE49-F238E27FC236}">
                  <a16:creationId xmlns:a16="http://schemas.microsoft.com/office/drawing/2014/main" id="{00000000-0008-0000-1200-00000D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358</xdr:row>
          <xdr:rowOff>38100</xdr:rowOff>
        </xdr:from>
        <xdr:to>
          <xdr:col>8</xdr:col>
          <xdr:colOff>19050</xdr:colOff>
          <xdr:row>358</xdr:row>
          <xdr:rowOff>323850</xdr:rowOff>
        </xdr:to>
        <xdr:sp macro="" textlink="">
          <xdr:nvSpPr>
            <xdr:cNvPr id="14606" name="Button 270" hidden="1">
              <a:extLst>
                <a:ext uri="{63B3BB69-23CF-44E3-9099-C40C66FF867C}">
                  <a14:compatExt spid="_x0000_s14606"/>
                </a:ext>
                <a:ext uri="{FF2B5EF4-FFF2-40B4-BE49-F238E27FC236}">
                  <a16:creationId xmlns:a16="http://schemas.microsoft.com/office/drawing/2014/main" id="{00000000-0008-0000-1200-00000E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363</xdr:row>
          <xdr:rowOff>38100</xdr:rowOff>
        </xdr:from>
        <xdr:to>
          <xdr:col>8</xdr:col>
          <xdr:colOff>19050</xdr:colOff>
          <xdr:row>363</xdr:row>
          <xdr:rowOff>323850</xdr:rowOff>
        </xdr:to>
        <xdr:sp macro="" textlink="">
          <xdr:nvSpPr>
            <xdr:cNvPr id="14607" name="Button 271" hidden="1">
              <a:extLst>
                <a:ext uri="{63B3BB69-23CF-44E3-9099-C40C66FF867C}">
                  <a14:compatExt spid="_x0000_s14607"/>
                </a:ext>
                <a:ext uri="{FF2B5EF4-FFF2-40B4-BE49-F238E27FC236}">
                  <a16:creationId xmlns:a16="http://schemas.microsoft.com/office/drawing/2014/main" id="{00000000-0008-0000-1200-00000F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373</xdr:row>
          <xdr:rowOff>38100</xdr:rowOff>
        </xdr:from>
        <xdr:to>
          <xdr:col>8</xdr:col>
          <xdr:colOff>19050</xdr:colOff>
          <xdr:row>373</xdr:row>
          <xdr:rowOff>323850</xdr:rowOff>
        </xdr:to>
        <xdr:sp macro="" textlink="">
          <xdr:nvSpPr>
            <xdr:cNvPr id="14608" name="Button 272" hidden="1">
              <a:extLst>
                <a:ext uri="{63B3BB69-23CF-44E3-9099-C40C66FF867C}">
                  <a14:compatExt spid="_x0000_s14608"/>
                </a:ext>
                <a:ext uri="{FF2B5EF4-FFF2-40B4-BE49-F238E27FC236}">
                  <a16:creationId xmlns:a16="http://schemas.microsoft.com/office/drawing/2014/main" id="{00000000-0008-0000-1200-000010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378</xdr:row>
          <xdr:rowOff>38100</xdr:rowOff>
        </xdr:from>
        <xdr:to>
          <xdr:col>8</xdr:col>
          <xdr:colOff>19050</xdr:colOff>
          <xdr:row>378</xdr:row>
          <xdr:rowOff>323850</xdr:rowOff>
        </xdr:to>
        <xdr:sp macro="" textlink="">
          <xdr:nvSpPr>
            <xdr:cNvPr id="14609" name="Button 273" hidden="1">
              <a:extLst>
                <a:ext uri="{63B3BB69-23CF-44E3-9099-C40C66FF867C}">
                  <a14:compatExt spid="_x0000_s14609"/>
                </a:ext>
                <a:ext uri="{FF2B5EF4-FFF2-40B4-BE49-F238E27FC236}">
                  <a16:creationId xmlns:a16="http://schemas.microsoft.com/office/drawing/2014/main" id="{00000000-0008-0000-1200-000011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383</xdr:row>
          <xdr:rowOff>38100</xdr:rowOff>
        </xdr:from>
        <xdr:to>
          <xdr:col>8</xdr:col>
          <xdr:colOff>19050</xdr:colOff>
          <xdr:row>383</xdr:row>
          <xdr:rowOff>323850</xdr:rowOff>
        </xdr:to>
        <xdr:sp macro="" textlink="">
          <xdr:nvSpPr>
            <xdr:cNvPr id="14610" name="Button 274" hidden="1">
              <a:extLst>
                <a:ext uri="{63B3BB69-23CF-44E3-9099-C40C66FF867C}">
                  <a14:compatExt spid="_x0000_s14610"/>
                </a:ext>
                <a:ext uri="{FF2B5EF4-FFF2-40B4-BE49-F238E27FC236}">
                  <a16:creationId xmlns:a16="http://schemas.microsoft.com/office/drawing/2014/main" id="{00000000-0008-0000-1200-000012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38100</xdr:colOff>
          <xdr:row>388</xdr:row>
          <xdr:rowOff>38100</xdr:rowOff>
        </xdr:from>
        <xdr:to>
          <xdr:col>8</xdr:col>
          <xdr:colOff>19050</xdr:colOff>
          <xdr:row>388</xdr:row>
          <xdr:rowOff>323850</xdr:rowOff>
        </xdr:to>
        <xdr:sp macro="" textlink="">
          <xdr:nvSpPr>
            <xdr:cNvPr id="14611" name="Button 275" hidden="1">
              <a:extLst>
                <a:ext uri="{63B3BB69-23CF-44E3-9099-C40C66FF867C}">
                  <a14:compatExt spid="_x0000_s14611"/>
                </a:ext>
                <a:ext uri="{FF2B5EF4-FFF2-40B4-BE49-F238E27FC236}">
                  <a16:creationId xmlns:a16="http://schemas.microsoft.com/office/drawing/2014/main" id="{00000000-0008-0000-1200-000013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38100</xdr:rowOff>
        </xdr:from>
        <xdr:to>
          <xdr:col>7</xdr:col>
          <xdr:colOff>552450</xdr:colOff>
          <xdr:row>28</xdr:row>
          <xdr:rowOff>323850</xdr:rowOff>
        </xdr:to>
        <xdr:sp macro="" textlink="">
          <xdr:nvSpPr>
            <xdr:cNvPr id="14738" name="Button 402" hidden="1">
              <a:extLst>
                <a:ext uri="{63B3BB69-23CF-44E3-9099-C40C66FF867C}">
                  <a14:compatExt spid="_x0000_s14738"/>
                </a:ext>
                <a:ext uri="{FF2B5EF4-FFF2-40B4-BE49-F238E27FC236}">
                  <a16:creationId xmlns:a16="http://schemas.microsoft.com/office/drawing/2014/main" id="{00000000-0008-0000-1200-000092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Block</a:t>
              </a:r>
            </a:p>
            <a:p>
              <a:pPr algn="ctr" rtl="0">
                <a:defRPr sz="1000"/>
              </a:pPr>
              <a:r>
                <a:rPr lang="en-IN" sz="1100" b="1" i="0" u="none" strike="noStrike" baseline="0">
                  <a:solidFill>
                    <a:srgbClr val="000000"/>
                  </a:solidFill>
                  <a:latin typeface="Calibri"/>
                  <a:cs typeface="Calibri"/>
                </a:rPr>
                <a:t>Add Block A1</a:t>
              </a:r>
            </a:p>
            <a:p>
              <a:pPr algn="ctr" rtl="0">
                <a:defRPr sz="1000"/>
              </a:pPr>
              <a:r>
                <a:rPr lang="en-IN" sz="1100" b="1" i="0" u="none" strike="noStrike" baseline="0">
                  <a:solidFill>
                    <a:srgbClr val="000000"/>
                  </a:solidFill>
                  <a:latin typeface="Calibri"/>
                  <a:cs typeface="Calibri"/>
                </a:rPr>
                <a:t>Add Block A1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28</xdr:row>
          <xdr:rowOff>38100</xdr:rowOff>
        </xdr:from>
        <xdr:to>
          <xdr:col>8</xdr:col>
          <xdr:colOff>1304925</xdr:colOff>
          <xdr:row>28</xdr:row>
          <xdr:rowOff>323850</xdr:rowOff>
        </xdr:to>
        <xdr:sp macro="" textlink="">
          <xdr:nvSpPr>
            <xdr:cNvPr id="14739" name="Button 403" hidden="1">
              <a:extLst>
                <a:ext uri="{63B3BB69-23CF-44E3-9099-C40C66FF867C}">
                  <a14:compatExt spid="_x0000_s14739"/>
                </a:ext>
                <a:ext uri="{FF2B5EF4-FFF2-40B4-BE49-F238E27FC236}">
                  <a16:creationId xmlns:a16="http://schemas.microsoft.com/office/drawing/2014/main" id="{00000000-0008-0000-1200-000093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167</xdr:row>
          <xdr:rowOff>38100</xdr:rowOff>
        </xdr:from>
        <xdr:to>
          <xdr:col>7</xdr:col>
          <xdr:colOff>552450</xdr:colOff>
          <xdr:row>167</xdr:row>
          <xdr:rowOff>323850</xdr:rowOff>
        </xdr:to>
        <xdr:sp macro="" textlink="">
          <xdr:nvSpPr>
            <xdr:cNvPr id="14741" name="Button 405" hidden="1">
              <a:extLst>
                <a:ext uri="{63B3BB69-23CF-44E3-9099-C40C66FF867C}">
                  <a14:compatExt spid="_x0000_s14741"/>
                </a:ext>
                <a:ext uri="{FF2B5EF4-FFF2-40B4-BE49-F238E27FC236}">
                  <a16:creationId xmlns:a16="http://schemas.microsoft.com/office/drawing/2014/main" id="{00000000-0008-0000-1200-000095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Block</a:t>
              </a:r>
            </a:p>
            <a:p>
              <a:pPr algn="ctr" rtl="0">
                <a:defRPr sz="1000"/>
              </a:pPr>
              <a:r>
                <a:rPr lang="en-IN" sz="1100" b="1" i="0" u="none" strike="noStrike" baseline="0">
                  <a:solidFill>
                    <a:srgbClr val="000000"/>
                  </a:solidFill>
                  <a:latin typeface="Calibri"/>
                  <a:cs typeface="Calibri"/>
                </a:rPr>
                <a:t>Add Block A1</a:t>
              </a:r>
            </a:p>
            <a:p>
              <a:pPr algn="ctr" rtl="0">
                <a:defRPr sz="1000"/>
              </a:pPr>
              <a:r>
                <a:rPr lang="en-IN" sz="1100" b="1" i="0" u="none" strike="noStrike" baseline="0">
                  <a:solidFill>
                    <a:srgbClr val="000000"/>
                  </a:solidFill>
                  <a:latin typeface="Calibri"/>
                  <a:cs typeface="Calibri"/>
                </a:rPr>
                <a:t>Add Block A1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1038225</xdr:colOff>
          <xdr:row>167</xdr:row>
          <xdr:rowOff>38100</xdr:rowOff>
        </xdr:from>
        <xdr:to>
          <xdr:col>8</xdr:col>
          <xdr:colOff>1304925</xdr:colOff>
          <xdr:row>167</xdr:row>
          <xdr:rowOff>323850</xdr:rowOff>
        </xdr:to>
        <xdr:sp macro="" textlink="">
          <xdr:nvSpPr>
            <xdr:cNvPr id="14742" name="Button 406" hidden="1">
              <a:extLst>
                <a:ext uri="{63B3BB69-23CF-44E3-9099-C40C66FF867C}">
                  <a14:compatExt spid="_x0000_s14742"/>
                </a:ext>
                <a:ext uri="{FF2B5EF4-FFF2-40B4-BE49-F238E27FC236}">
                  <a16:creationId xmlns:a16="http://schemas.microsoft.com/office/drawing/2014/main" id="{00000000-0008-0000-1200-000096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Transfers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167</xdr:row>
          <xdr:rowOff>57150</xdr:rowOff>
        </xdr:from>
        <xdr:to>
          <xdr:col>10</xdr:col>
          <xdr:colOff>514350</xdr:colOff>
          <xdr:row>167</xdr:row>
          <xdr:rowOff>323850</xdr:rowOff>
        </xdr:to>
        <xdr:sp macro="" textlink="">
          <xdr:nvSpPr>
            <xdr:cNvPr id="14824" name="Button 488" hidden="1">
              <a:extLst>
                <a:ext uri="{63B3BB69-23CF-44E3-9099-C40C66FF867C}">
                  <a14:compatExt spid="_x0000_s14824"/>
                </a:ext>
                <a:ext uri="{FF2B5EF4-FFF2-40B4-BE49-F238E27FC236}">
                  <a16:creationId xmlns:a16="http://schemas.microsoft.com/office/drawing/2014/main" id="{00000000-0008-0000-1200-0000E839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Improvement</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66675</xdr:rowOff>
        </xdr:from>
        <xdr:to>
          <xdr:col>4</xdr:col>
          <xdr:colOff>762000</xdr:colOff>
          <xdr:row>11</xdr:row>
          <xdr:rowOff>371475</xdr:rowOff>
        </xdr:to>
        <xdr:sp macro="" textlink="">
          <xdr:nvSpPr>
            <xdr:cNvPr id="204801" name="Button 1" hidden="1">
              <a:extLst>
                <a:ext uri="{63B3BB69-23CF-44E3-9099-C40C66FF867C}">
                  <a14:compatExt spid="_x0000_s204801"/>
                </a:ext>
                <a:ext uri="{FF2B5EF4-FFF2-40B4-BE49-F238E27FC236}">
                  <a16:creationId xmlns:a16="http://schemas.microsoft.com/office/drawing/2014/main" id="{00000000-0008-0000-1300-000001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3</xdr:row>
          <xdr:rowOff>285750</xdr:rowOff>
        </xdr:from>
        <xdr:to>
          <xdr:col>21</xdr:col>
          <xdr:colOff>1847850</xdr:colOff>
          <xdr:row>3</xdr:row>
          <xdr:rowOff>561975</xdr:rowOff>
        </xdr:to>
        <xdr:sp macro="" textlink="">
          <xdr:nvSpPr>
            <xdr:cNvPr id="204802" name="Button 2" hidden="1">
              <a:extLst>
                <a:ext uri="{63B3BB69-23CF-44E3-9099-C40C66FF867C}">
                  <a14:compatExt spid="_x0000_s204802"/>
                </a:ext>
                <a:ext uri="{FF2B5EF4-FFF2-40B4-BE49-F238E27FC236}">
                  <a16:creationId xmlns:a16="http://schemas.microsoft.com/office/drawing/2014/main" id="{00000000-0008-0000-1300-000002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3</xdr:row>
          <xdr:rowOff>895350</xdr:rowOff>
        </xdr:from>
        <xdr:to>
          <xdr:col>21</xdr:col>
          <xdr:colOff>1847850</xdr:colOff>
          <xdr:row>5</xdr:row>
          <xdr:rowOff>19050</xdr:rowOff>
        </xdr:to>
        <xdr:sp macro="" textlink="">
          <xdr:nvSpPr>
            <xdr:cNvPr id="204803" name="Button 3" hidden="1">
              <a:extLst>
                <a:ext uri="{63B3BB69-23CF-44E3-9099-C40C66FF867C}">
                  <a14:compatExt spid="_x0000_s204803"/>
                </a:ext>
                <a:ext uri="{FF2B5EF4-FFF2-40B4-BE49-F238E27FC236}">
                  <a16:creationId xmlns:a16="http://schemas.microsoft.com/office/drawing/2014/main" id="{00000000-0008-0000-1300-000003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2</xdr:row>
          <xdr:rowOff>171450</xdr:rowOff>
        </xdr:from>
        <xdr:to>
          <xdr:col>21</xdr:col>
          <xdr:colOff>1847850</xdr:colOff>
          <xdr:row>3</xdr:row>
          <xdr:rowOff>247650</xdr:rowOff>
        </xdr:to>
        <xdr:sp macro="" textlink="">
          <xdr:nvSpPr>
            <xdr:cNvPr id="204804" name="Button 4" hidden="1">
              <a:extLst>
                <a:ext uri="{63B3BB69-23CF-44E3-9099-C40C66FF867C}">
                  <a14:compatExt spid="_x0000_s204804"/>
                </a:ext>
                <a:ext uri="{FF2B5EF4-FFF2-40B4-BE49-F238E27FC236}">
                  <a16:creationId xmlns:a16="http://schemas.microsoft.com/office/drawing/2014/main" id="{00000000-0008-0000-1300-000004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8</xdr:row>
          <xdr:rowOff>104775</xdr:rowOff>
        </xdr:from>
        <xdr:to>
          <xdr:col>21</xdr:col>
          <xdr:colOff>1847850</xdr:colOff>
          <xdr:row>10</xdr:row>
          <xdr:rowOff>0</xdr:rowOff>
        </xdr:to>
        <xdr:sp macro="" textlink="">
          <xdr:nvSpPr>
            <xdr:cNvPr id="204805" name="Button 5" hidden="1">
              <a:extLst>
                <a:ext uri="{63B3BB69-23CF-44E3-9099-C40C66FF867C}">
                  <a14:compatExt spid="_x0000_s204805"/>
                </a:ext>
                <a:ext uri="{FF2B5EF4-FFF2-40B4-BE49-F238E27FC236}">
                  <a16:creationId xmlns:a16="http://schemas.microsoft.com/office/drawing/2014/main" id="{00000000-0008-0000-1300-000005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HelpCSV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6</xdr:row>
          <xdr:rowOff>171450</xdr:rowOff>
        </xdr:from>
        <xdr:to>
          <xdr:col>21</xdr:col>
          <xdr:colOff>1847850</xdr:colOff>
          <xdr:row>8</xdr:row>
          <xdr:rowOff>57150</xdr:rowOff>
        </xdr:to>
        <xdr:sp macro="" textlink="">
          <xdr:nvSpPr>
            <xdr:cNvPr id="204806" name="Button 6" hidden="1">
              <a:extLst>
                <a:ext uri="{63B3BB69-23CF-44E3-9099-C40C66FF867C}">
                  <a14:compatExt spid="_x0000_s204806"/>
                </a:ext>
                <a:ext uri="{FF2B5EF4-FFF2-40B4-BE49-F238E27FC236}">
                  <a16:creationId xmlns:a16="http://schemas.microsoft.com/office/drawing/2014/main" id="{00000000-0008-0000-1300-000006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5</xdr:row>
          <xdr:rowOff>57150</xdr:rowOff>
        </xdr:from>
        <xdr:to>
          <xdr:col>21</xdr:col>
          <xdr:colOff>1847850</xdr:colOff>
          <xdr:row>6</xdr:row>
          <xdr:rowOff>133350</xdr:rowOff>
        </xdr:to>
        <xdr:sp macro="" textlink="">
          <xdr:nvSpPr>
            <xdr:cNvPr id="204807" name="Button 7" hidden="1">
              <a:extLst>
                <a:ext uri="{63B3BB69-23CF-44E3-9099-C40C66FF867C}">
                  <a14:compatExt spid="_x0000_s204807"/>
                </a:ext>
                <a:ext uri="{FF2B5EF4-FFF2-40B4-BE49-F238E27FC236}">
                  <a16:creationId xmlns:a16="http://schemas.microsoft.com/office/drawing/2014/main" id="{00000000-0008-0000-1300-000007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3</xdr:row>
          <xdr:rowOff>590550</xdr:rowOff>
        </xdr:from>
        <xdr:to>
          <xdr:col>21</xdr:col>
          <xdr:colOff>1847850</xdr:colOff>
          <xdr:row>3</xdr:row>
          <xdr:rowOff>876300</xdr:rowOff>
        </xdr:to>
        <xdr:sp macro="" textlink="">
          <xdr:nvSpPr>
            <xdr:cNvPr id="204808" name="Button 8" hidden="1">
              <a:extLst>
                <a:ext uri="{63B3BB69-23CF-44E3-9099-C40C66FF867C}">
                  <a14:compatExt spid="_x0000_s204808"/>
                </a:ext>
                <a:ext uri="{FF2B5EF4-FFF2-40B4-BE49-F238E27FC236}">
                  <a16:creationId xmlns:a16="http://schemas.microsoft.com/office/drawing/2014/main" id="{00000000-0008-0000-1300-00000820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10</xdr:row>
          <xdr:rowOff>28575</xdr:rowOff>
        </xdr:from>
        <xdr:to>
          <xdr:col>21</xdr:col>
          <xdr:colOff>1847850</xdr:colOff>
          <xdr:row>11</xdr:row>
          <xdr:rowOff>104775</xdr:rowOff>
        </xdr:to>
        <xdr:sp macro="" textlink="">
          <xdr:nvSpPr>
            <xdr:cNvPr id="204811" name="Button 11" hidden="1">
              <a:extLst>
                <a:ext uri="{63B3BB69-23CF-44E3-9099-C40C66FF867C}">
                  <a14:compatExt spid="_x0000_s204811"/>
                </a:ext>
                <a:ext uri="{FF2B5EF4-FFF2-40B4-BE49-F238E27FC236}">
                  <a16:creationId xmlns:a16="http://schemas.microsoft.com/office/drawing/2014/main" id="{00000000-0008-0000-1300-00000B2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ImportCSV</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66675</xdr:rowOff>
        </xdr:from>
        <xdr:to>
          <xdr:col>4</xdr:col>
          <xdr:colOff>1095375</xdr:colOff>
          <xdr:row>11</xdr:row>
          <xdr:rowOff>371475</xdr:rowOff>
        </xdr:to>
        <xdr:sp macro="" textlink="">
          <xdr:nvSpPr>
            <xdr:cNvPr id="205825" name="Button 1" hidden="1">
              <a:extLst>
                <a:ext uri="{63B3BB69-23CF-44E3-9099-C40C66FF867C}">
                  <a14:compatExt spid="_x0000_s205825"/>
                </a:ext>
                <a:ext uri="{FF2B5EF4-FFF2-40B4-BE49-F238E27FC236}">
                  <a16:creationId xmlns:a16="http://schemas.microsoft.com/office/drawing/2014/main" id="{00000000-0008-0000-1500-000001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485775</xdr:colOff>
          <xdr:row>3</xdr:row>
          <xdr:rowOff>247650</xdr:rowOff>
        </xdr:from>
        <xdr:to>
          <xdr:col>21</xdr:col>
          <xdr:colOff>1857375</xdr:colOff>
          <xdr:row>3</xdr:row>
          <xdr:rowOff>523875</xdr:rowOff>
        </xdr:to>
        <xdr:sp macro="" textlink="">
          <xdr:nvSpPr>
            <xdr:cNvPr id="205826" name="Button 2" hidden="1">
              <a:extLst>
                <a:ext uri="{63B3BB69-23CF-44E3-9099-C40C66FF867C}">
                  <a14:compatExt spid="_x0000_s205826"/>
                </a:ext>
                <a:ext uri="{FF2B5EF4-FFF2-40B4-BE49-F238E27FC236}">
                  <a16:creationId xmlns:a16="http://schemas.microsoft.com/office/drawing/2014/main" id="{00000000-0008-0000-1500-000002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4</xdr:row>
          <xdr:rowOff>19050</xdr:rowOff>
        </xdr:from>
        <xdr:to>
          <xdr:col>21</xdr:col>
          <xdr:colOff>1847850</xdr:colOff>
          <xdr:row>5</xdr:row>
          <xdr:rowOff>133350</xdr:rowOff>
        </xdr:to>
        <xdr:sp macro="" textlink="">
          <xdr:nvSpPr>
            <xdr:cNvPr id="205827" name="Button 3" hidden="1">
              <a:extLst>
                <a:ext uri="{63B3BB69-23CF-44E3-9099-C40C66FF867C}">
                  <a14:compatExt spid="_x0000_s205827"/>
                </a:ext>
                <a:ext uri="{FF2B5EF4-FFF2-40B4-BE49-F238E27FC236}">
                  <a16:creationId xmlns:a16="http://schemas.microsoft.com/office/drawing/2014/main" id="{00000000-0008-0000-1500-000003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485775</xdr:colOff>
          <xdr:row>2</xdr:row>
          <xdr:rowOff>114300</xdr:rowOff>
        </xdr:from>
        <xdr:to>
          <xdr:col>21</xdr:col>
          <xdr:colOff>1857375</xdr:colOff>
          <xdr:row>3</xdr:row>
          <xdr:rowOff>209550</xdr:rowOff>
        </xdr:to>
        <xdr:sp macro="" textlink="">
          <xdr:nvSpPr>
            <xdr:cNvPr id="205828" name="Button 4" hidden="1">
              <a:extLst>
                <a:ext uri="{63B3BB69-23CF-44E3-9099-C40C66FF867C}">
                  <a14:compatExt spid="_x0000_s205828"/>
                </a:ext>
                <a:ext uri="{FF2B5EF4-FFF2-40B4-BE49-F238E27FC236}">
                  <a16:creationId xmlns:a16="http://schemas.microsoft.com/office/drawing/2014/main" id="{00000000-0008-0000-1500-000004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9</xdr:row>
          <xdr:rowOff>38100</xdr:rowOff>
        </xdr:from>
        <xdr:to>
          <xdr:col>21</xdr:col>
          <xdr:colOff>1847850</xdr:colOff>
          <xdr:row>10</xdr:row>
          <xdr:rowOff>133350</xdr:rowOff>
        </xdr:to>
        <xdr:sp macro="" textlink="">
          <xdr:nvSpPr>
            <xdr:cNvPr id="205829" name="Button 5" hidden="1">
              <a:extLst>
                <a:ext uri="{63B3BB69-23CF-44E3-9099-C40C66FF867C}">
                  <a14:compatExt spid="_x0000_s205829"/>
                </a:ext>
                <a:ext uri="{FF2B5EF4-FFF2-40B4-BE49-F238E27FC236}">
                  <a16:creationId xmlns:a16="http://schemas.microsoft.com/office/drawing/2014/main" id="{00000000-0008-0000-1500-000005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HelpCSV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7</xdr:row>
          <xdr:rowOff>104775</xdr:rowOff>
        </xdr:from>
        <xdr:to>
          <xdr:col>21</xdr:col>
          <xdr:colOff>1847850</xdr:colOff>
          <xdr:row>9</xdr:row>
          <xdr:rowOff>0</xdr:rowOff>
        </xdr:to>
        <xdr:sp macro="" textlink="">
          <xdr:nvSpPr>
            <xdr:cNvPr id="205830" name="Button 6" hidden="1">
              <a:extLst>
                <a:ext uri="{63B3BB69-23CF-44E3-9099-C40C66FF867C}">
                  <a14:compatExt spid="_x0000_s205830"/>
                </a:ext>
                <a:ext uri="{FF2B5EF4-FFF2-40B4-BE49-F238E27FC236}">
                  <a16:creationId xmlns:a16="http://schemas.microsoft.com/office/drawing/2014/main" id="{00000000-0008-0000-1500-000006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5</xdr:row>
          <xdr:rowOff>171450</xdr:rowOff>
        </xdr:from>
        <xdr:to>
          <xdr:col>21</xdr:col>
          <xdr:colOff>1847850</xdr:colOff>
          <xdr:row>7</xdr:row>
          <xdr:rowOff>57150</xdr:rowOff>
        </xdr:to>
        <xdr:sp macro="" textlink="">
          <xdr:nvSpPr>
            <xdr:cNvPr id="205831" name="Button 7" hidden="1">
              <a:extLst>
                <a:ext uri="{63B3BB69-23CF-44E3-9099-C40C66FF867C}">
                  <a14:compatExt spid="_x0000_s205831"/>
                </a:ext>
                <a:ext uri="{FF2B5EF4-FFF2-40B4-BE49-F238E27FC236}">
                  <a16:creationId xmlns:a16="http://schemas.microsoft.com/office/drawing/2014/main" id="{00000000-0008-0000-1500-000007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3</xdr:row>
          <xdr:rowOff>561975</xdr:rowOff>
        </xdr:from>
        <xdr:to>
          <xdr:col>21</xdr:col>
          <xdr:colOff>1847850</xdr:colOff>
          <xdr:row>3</xdr:row>
          <xdr:rowOff>838200</xdr:rowOff>
        </xdr:to>
        <xdr:sp macro="" textlink="">
          <xdr:nvSpPr>
            <xdr:cNvPr id="205832" name="Button 8" hidden="1">
              <a:extLst>
                <a:ext uri="{63B3BB69-23CF-44E3-9099-C40C66FF867C}">
                  <a14:compatExt spid="_x0000_s205832"/>
                </a:ext>
                <a:ext uri="{FF2B5EF4-FFF2-40B4-BE49-F238E27FC236}">
                  <a16:creationId xmlns:a16="http://schemas.microsoft.com/office/drawing/2014/main" id="{00000000-0008-0000-1500-0000082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21</xdr:col>
          <xdr:colOff>476250</xdr:colOff>
          <xdr:row>10</xdr:row>
          <xdr:rowOff>152400</xdr:rowOff>
        </xdr:from>
        <xdr:to>
          <xdr:col>21</xdr:col>
          <xdr:colOff>1847850</xdr:colOff>
          <xdr:row>11</xdr:row>
          <xdr:rowOff>247650</xdr:rowOff>
        </xdr:to>
        <xdr:sp macro="" textlink="">
          <xdr:nvSpPr>
            <xdr:cNvPr id="205835" name="Button 11" hidden="1">
              <a:extLst>
                <a:ext uri="{63B3BB69-23CF-44E3-9099-C40C66FF867C}">
                  <a14:compatExt spid="_x0000_s205835"/>
                </a:ext>
                <a:ext uri="{FF2B5EF4-FFF2-40B4-BE49-F238E27FC236}">
                  <a16:creationId xmlns:a16="http://schemas.microsoft.com/office/drawing/2014/main" id="{00000000-0008-0000-1500-00000B2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ImportCSV</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1019175</xdr:colOff>
          <xdr:row>59</xdr:row>
          <xdr:rowOff>295275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600-00000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6</xdr:row>
          <xdr:rowOff>0</xdr:rowOff>
        </xdr:from>
        <xdr:to>
          <xdr:col>18</xdr:col>
          <xdr:colOff>561975</xdr:colOff>
          <xdr:row>7</xdr:row>
          <xdr:rowOff>133350</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600-00000E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9</xdr:row>
          <xdr:rowOff>104775</xdr:rowOff>
        </xdr:from>
        <xdr:to>
          <xdr:col>18</xdr:col>
          <xdr:colOff>561975</xdr:colOff>
          <xdr:row>11</xdr:row>
          <xdr:rowOff>57150</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600-00001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4</xdr:row>
          <xdr:rowOff>38100</xdr:rowOff>
        </xdr:from>
        <xdr:to>
          <xdr:col>18</xdr:col>
          <xdr:colOff>561975</xdr:colOff>
          <xdr:row>5</xdr:row>
          <xdr:rowOff>152400</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600-00001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7</xdr:row>
          <xdr:rowOff>152400</xdr:rowOff>
        </xdr:from>
        <xdr:to>
          <xdr:col>18</xdr:col>
          <xdr:colOff>561975</xdr:colOff>
          <xdr:row>9</xdr:row>
          <xdr:rowOff>76200</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600-000015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13</xdr:row>
          <xdr:rowOff>171450</xdr:rowOff>
        </xdr:from>
        <xdr:to>
          <xdr:col>18</xdr:col>
          <xdr:colOff>561975</xdr:colOff>
          <xdr:row>14</xdr:row>
          <xdr:rowOff>114300</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600-000016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12</xdr:row>
          <xdr:rowOff>219075</xdr:rowOff>
        </xdr:from>
        <xdr:to>
          <xdr:col>18</xdr:col>
          <xdr:colOff>561975</xdr:colOff>
          <xdr:row>13</xdr:row>
          <xdr:rowOff>152400</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600-000017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11</xdr:row>
          <xdr:rowOff>76200</xdr:rowOff>
        </xdr:from>
        <xdr:to>
          <xdr:col>18</xdr:col>
          <xdr:colOff>561975</xdr:colOff>
          <xdr:row>12</xdr:row>
          <xdr:rowOff>190500</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600-00001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74</xdr:row>
          <xdr:rowOff>76200</xdr:rowOff>
        </xdr:from>
        <xdr:to>
          <xdr:col>6</xdr:col>
          <xdr:colOff>1400175</xdr:colOff>
          <xdr:row>74</xdr:row>
          <xdr:rowOff>361950</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600-000028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a:p>
              <a:pPr algn="ctr" rtl="0">
                <a:defRPr sz="1000"/>
              </a:pPr>
              <a:endParaRPr lang="en-IN" sz="1100" b="1"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1400175</xdr:colOff>
          <xdr:row>34</xdr:row>
          <xdr:rowOff>295275</xdr:rowOff>
        </xdr:to>
        <xdr:sp macro="" textlink="">
          <xdr:nvSpPr>
            <xdr:cNvPr id="20548" name="Button 68" hidden="1">
              <a:extLst>
                <a:ext uri="{63B3BB69-23CF-44E3-9099-C40C66FF867C}">
                  <a14:compatExt spid="_x0000_s20548"/>
                </a:ext>
                <a:ext uri="{FF2B5EF4-FFF2-40B4-BE49-F238E27FC236}">
                  <a16:creationId xmlns:a16="http://schemas.microsoft.com/office/drawing/2014/main" id="{00000000-0008-0000-1600-00004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28575</xdr:rowOff>
        </xdr:from>
        <xdr:to>
          <xdr:col>6</xdr:col>
          <xdr:colOff>1019175</xdr:colOff>
          <xdr:row>49</xdr:row>
          <xdr:rowOff>295275</xdr:rowOff>
        </xdr:to>
        <xdr:sp macro="" textlink="">
          <xdr:nvSpPr>
            <xdr:cNvPr id="20577" name="Button 97" hidden="1">
              <a:extLst>
                <a:ext uri="{63B3BB69-23CF-44E3-9099-C40C66FF867C}">
                  <a14:compatExt spid="_x0000_s20577"/>
                </a:ext>
                <a:ext uri="{FF2B5EF4-FFF2-40B4-BE49-F238E27FC236}">
                  <a16:creationId xmlns:a16="http://schemas.microsoft.com/office/drawing/2014/main" id="{00000000-0008-0000-1600-00006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28575</xdr:rowOff>
        </xdr:from>
        <xdr:to>
          <xdr:col>6</xdr:col>
          <xdr:colOff>1019175</xdr:colOff>
          <xdr:row>66</xdr:row>
          <xdr:rowOff>295275</xdr:rowOff>
        </xdr:to>
        <xdr:sp macro="" textlink="">
          <xdr:nvSpPr>
            <xdr:cNvPr id="20643" name="Button 163" hidden="1">
              <a:extLst>
                <a:ext uri="{63B3BB69-23CF-44E3-9099-C40C66FF867C}">
                  <a14:compatExt spid="_x0000_s20643"/>
                </a:ext>
                <a:ext uri="{FF2B5EF4-FFF2-40B4-BE49-F238E27FC236}">
                  <a16:creationId xmlns:a16="http://schemas.microsoft.com/office/drawing/2014/main" id="{00000000-0008-0000-1600-0000A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104775</xdr:colOff>
          <xdr:row>3</xdr:row>
          <xdr:rowOff>104775</xdr:rowOff>
        </xdr:from>
        <xdr:to>
          <xdr:col>11</xdr:col>
          <xdr:colOff>1476375</xdr:colOff>
          <xdr:row>3</xdr:row>
          <xdr:rowOff>381000</xdr:rowOff>
        </xdr:to>
        <xdr:sp macro="" textlink="">
          <xdr:nvSpPr>
            <xdr:cNvPr id="21527" name="Button 23" hidden="1">
              <a:extLst>
                <a:ext uri="{63B3BB69-23CF-44E3-9099-C40C66FF867C}">
                  <a14:compatExt spid="_x0000_s21527"/>
                </a:ext>
                <a:ext uri="{FF2B5EF4-FFF2-40B4-BE49-F238E27FC236}">
                  <a16:creationId xmlns:a16="http://schemas.microsoft.com/office/drawing/2014/main" id="{00000000-0008-0000-1700-000017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3</xdr:row>
          <xdr:rowOff>704850</xdr:rowOff>
        </xdr:from>
        <xdr:to>
          <xdr:col>11</xdr:col>
          <xdr:colOff>1476375</xdr:colOff>
          <xdr:row>4</xdr:row>
          <xdr:rowOff>19050</xdr:rowOff>
        </xdr:to>
        <xdr:sp macro="" textlink="">
          <xdr:nvSpPr>
            <xdr:cNvPr id="21528" name="Button 24" hidden="1">
              <a:extLst>
                <a:ext uri="{63B3BB69-23CF-44E3-9099-C40C66FF867C}">
                  <a14:compatExt spid="_x0000_s21528"/>
                </a:ext>
                <a:ext uri="{FF2B5EF4-FFF2-40B4-BE49-F238E27FC236}">
                  <a16:creationId xmlns:a16="http://schemas.microsoft.com/office/drawing/2014/main" id="{00000000-0008-0000-1700-000018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1</xdr:row>
          <xdr:rowOff>171450</xdr:rowOff>
        </xdr:from>
        <xdr:to>
          <xdr:col>11</xdr:col>
          <xdr:colOff>1476375</xdr:colOff>
          <xdr:row>3</xdr:row>
          <xdr:rowOff>95250</xdr:rowOff>
        </xdr:to>
        <xdr:sp macro="" textlink="">
          <xdr:nvSpPr>
            <xdr:cNvPr id="21529" name="Button 25" hidden="1">
              <a:extLst>
                <a:ext uri="{63B3BB69-23CF-44E3-9099-C40C66FF867C}">
                  <a14:compatExt spid="_x0000_s21529"/>
                </a:ext>
                <a:ext uri="{FF2B5EF4-FFF2-40B4-BE49-F238E27FC236}">
                  <a16:creationId xmlns:a16="http://schemas.microsoft.com/office/drawing/2014/main" id="{00000000-0008-0000-1700-000019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3</xdr:row>
          <xdr:rowOff>400050</xdr:rowOff>
        </xdr:from>
        <xdr:to>
          <xdr:col>11</xdr:col>
          <xdr:colOff>1476375</xdr:colOff>
          <xdr:row>3</xdr:row>
          <xdr:rowOff>676275</xdr:rowOff>
        </xdr:to>
        <xdr:sp macro="" textlink="">
          <xdr:nvSpPr>
            <xdr:cNvPr id="21531" name="Button 27" hidden="1">
              <a:extLst>
                <a:ext uri="{63B3BB69-23CF-44E3-9099-C40C66FF867C}">
                  <a14:compatExt spid="_x0000_s21531"/>
                </a:ext>
                <a:ext uri="{FF2B5EF4-FFF2-40B4-BE49-F238E27FC236}">
                  <a16:creationId xmlns:a16="http://schemas.microsoft.com/office/drawing/2014/main" id="{00000000-0008-0000-1700-00001B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5</xdr:row>
          <xdr:rowOff>66675</xdr:rowOff>
        </xdr:from>
        <xdr:to>
          <xdr:col>11</xdr:col>
          <xdr:colOff>1476375</xdr:colOff>
          <xdr:row>7</xdr:row>
          <xdr:rowOff>19050</xdr:rowOff>
        </xdr:to>
        <xdr:sp macro="" textlink="">
          <xdr:nvSpPr>
            <xdr:cNvPr id="21532" name="Button 28" hidden="1">
              <a:extLst>
                <a:ext uri="{63B3BB69-23CF-44E3-9099-C40C66FF867C}">
                  <a14:compatExt spid="_x0000_s21532"/>
                </a:ext>
                <a:ext uri="{FF2B5EF4-FFF2-40B4-BE49-F238E27FC236}">
                  <a16:creationId xmlns:a16="http://schemas.microsoft.com/office/drawing/2014/main" id="{00000000-0008-0000-1700-00001C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4</xdr:row>
          <xdr:rowOff>342900</xdr:rowOff>
        </xdr:from>
        <xdr:to>
          <xdr:col>11</xdr:col>
          <xdr:colOff>1476375</xdr:colOff>
          <xdr:row>5</xdr:row>
          <xdr:rowOff>57150</xdr:rowOff>
        </xdr:to>
        <xdr:sp macro="" textlink="">
          <xdr:nvSpPr>
            <xdr:cNvPr id="21533" name="Button 29" hidden="1">
              <a:extLst>
                <a:ext uri="{63B3BB69-23CF-44E3-9099-C40C66FF867C}">
                  <a14:compatExt spid="_x0000_s21533"/>
                </a:ext>
                <a:ext uri="{FF2B5EF4-FFF2-40B4-BE49-F238E27FC236}">
                  <a16:creationId xmlns:a16="http://schemas.microsoft.com/office/drawing/2014/main" id="{00000000-0008-0000-1700-00001D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4</xdr:row>
          <xdr:rowOff>57150</xdr:rowOff>
        </xdr:from>
        <xdr:to>
          <xdr:col>11</xdr:col>
          <xdr:colOff>1476375</xdr:colOff>
          <xdr:row>4</xdr:row>
          <xdr:rowOff>323850</xdr:rowOff>
        </xdr:to>
        <xdr:sp macro="" textlink="">
          <xdr:nvSpPr>
            <xdr:cNvPr id="21534" name="Button 30" hidden="1">
              <a:extLst>
                <a:ext uri="{63B3BB69-23CF-44E3-9099-C40C66FF867C}">
                  <a14:compatExt spid="_x0000_s21534"/>
                </a:ext>
                <a:ext uri="{FF2B5EF4-FFF2-40B4-BE49-F238E27FC236}">
                  <a16:creationId xmlns:a16="http://schemas.microsoft.com/office/drawing/2014/main" id="{00000000-0008-0000-1700-00001E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104775</xdr:colOff>
          <xdr:row>7</xdr:row>
          <xdr:rowOff>38100</xdr:rowOff>
        </xdr:from>
        <xdr:to>
          <xdr:col>11</xdr:col>
          <xdr:colOff>1476375</xdr:colOff>
          <xdr:row>8</xdr:row>
          <xdr:rowOff>152400</xdr:rowOff>
        </xdr:to>
        <xdr:sp macro="" textlink="">
          <xdr:nvSpPr>
            <xdr:cNvPr id="21535" name="Button 31" hidden="1">
              <a:extLst>
                <a:ext uri="{63B3BB69-23CF-44E3-9099-C40C66FF867C}">
                  <a14:compatExt spid="_x0000_s21535"/>
                </a:ext>
                <a:ext uri="{FF2B5EF4-FFF2-40B4-BE49-F238E27FC236}">
                  <a16:creationId xmlns:a16="http://schemas.microsoft.com/office/drawing/2014/main" id="{00000000-0008-0000-1700-00001F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0" anchor="t" upright="1"/>
            <a:lstStyle/>
            <a:p>
              <a:pPr algn="ctr" rtl="0">
                <a:defRPr sz="1000"/>
              </a:pPr>
              <a:r>
                <a:rPr lang="en-IN" sz="1100" b="1" i="0" u="none" strike="noStrike" baseline="0">
                  <a:solidFill>
                    <a:srgbClr val="000000"/>
                  </a:solidFill>
                  <a:latin typeface="Calibri"/>
                  <a:cs typeface="Calibri"/>
                </a:rPr>
                <a:t>Calculate setoff</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22</xdr:col>
          <xdr:colOff>57150</xdr:colOff>
          <xdr:row>2</xdr:row>
          <xdr:rowOff>142875</xdr:rowOff>
        </xdr:from>
        <xdr:to>
          <xdr:col>22</xdr:col>
          <xdr:colOff>1428750</xdr:colOff>
          <xdr:row>3</xdr:row>
          <xdr:rowOff>247650</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1800-000003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8</xdr:row>
          <xdr:rowOff>66675</xdr:rowOff>
        </xdr:from>
        <xdr:to>
          <xdr:col>22</xdr:col>
          <xdr:colOff>1409700</xdr:colOff>
          <xdr:row>10</xdr:row>
          <xdr:rowOff>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1800-000005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0" anchor="t" upright="1"/>
            <a:lstStyle/>
            <a:p>
              <a:pPr algn="ctr" rtl="0">
                <a:defRPr sz="1000"/>
              </a:pPr>
              <a:r>
                <a:rPr lang="en-IN" sz="1100" b="1" i="0" u="none" strike="noStrike" baseline="0">
                  <a:solidFill>
                    <a:srgbClr val="000000"/>
                  </a:solidFill>
                  <a:latin typeface="Calibri"/>
                  <a:cs typeface="Calibri"/>
                </a:rPr>
                <a:t>Compute Set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xdr:row>
          <xdr:rowOff>19050</xdr:rowOff>
        </xdr:from>
        <xdr:to>
          <xdr:col>22</xdr:col>
          <xdr:colOff>1409700</xdr:colOff>
          <xdr:row>4</xdr:row>
          <xdr:rowOff>266700</xdr:rowOff>
        </xdr:to>
        <xdr:sp macro="" textlink="">
          <xdr:nvSpPr>
            <xdr:cNvPr id="72711" name="Button 7" hidden="1">
              <a:extLst>
                <a:ext uri="{63B3BB69-23CF-44E3-9099-C40C66FF867C}">
                  <a14:compatExt spid="_x0000_s72711"/>
                </a:ext>
                <a:ext uri="{FF2B5EF4-FFF2-40B4-BE49-F238E27FC236}">
                  <a16:creationId xmlns:a16="http://schemas.microsoft.com/office/drawing/2014/main" id="{00000000-0008-0000-1800-000007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10</xdr:row>
          <xdr:rowOff>57150</xdr:rowOff>
        </xdr:from>
        <xdr:to>
          <xdr:col>22</xdr:col>
          <xdr:colOff>1428750</xdr:colOff>
          <xdr:row>11</xdr:row>
          <xdr:rowOff>152400</xdr:rowOff>
        </xdr:to>
        <xdr:sp macro="" textlink="">
          <xdr:nvSpPr>
            <xdr:cNvPr id="72712" name="Button 8" hidden="1">
              <a:extLst>
                <a:ext uri="{63B3BB69-23CF-44E3-9099-C40C66FF867C}">
                  <a14:compatExt spid="_x0000_s72712"/>
                </a:ext>
                <a:ext uri="{FF2B5EF4-FFF2-40B4-BE49-F238E27FC236}">
                  <a16:creationId xmlns:a16="http://schemas.microsoft.com/office/drawing/2014/main" id="{00000000-0008-0000-1800-000008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3</xdr:row>
          <xdr:rowOff>285750</xdr:rowOff>
        </xdr:from>
        <xdr:to>
          <xdr:col>22</xdr:col>
          <xdr:colOff>1409700</xdr:colOff>
          <xdr:row>3</xdr:row>
          <xdr:rowOff>533400</xdr:rowOff>
        </xdr:to>
        <xdr:sp macro="" textlink="">
          <xdr:nvSpPr>
            <xdr:cNvPr id="72714" name="Button 10" hidden="1">
              <a:extLst>
                <a:ext uri="{63B3BB69-23CF-44E3-9099-C40C66FF867C}">
                  <a14:compatExt spid="_x0000_s72714"/>
                </a:ext>
                <a:ext uri="{FF2B5EF4-FFF2-40B4-BE49-F238E27FC236}">
                  <a16:creationId xmlns:a16="http://schemas.microsoft.com/office/drawing/2014/main" id="{00000000-0008-0000-1800-00000A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6</xdr:row>
          <xdr:rowOff>95250</xdr:rowOff>
        </xdr:from>
        <xdr:to>
          <xdr:col>22</xdr:col>
          <xdr:colOff>1409700</xdr:colOff>
          <xdr:row>8</xdr:row>
          <xdr:rowOff>19050</xdr:rowOff>
        </xdr:to>
        <xdr:sp macro="" textlink="">
          <xdr:nvSpPr>
            <xdr:cNvPr id="72715" name="Button 11" hidden="1">
              <a:extLst>
                <a:ext uri="{63B3BB69-23CF-44E3-9099-C40C66FF867C}">
                  <a14:compatExt spid="_x0000_s72715"/>
                </a:ext>
                <a:ext uri="{FF2B5EF4-FFF2-40B4-BE49-F238E27FC236}">
                  <a16:creationId xmlns:a16="http://schemas.microsoft.com/office/drawing/2014/main" id="{00000000-0008-0000-1800-00000B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xdr:row>
          <xdr:rowOff>628650</xdr:rowOff>
        </xdr:from>
        <xdr:to>
          <xdr:col>22</xdr:col>
          <xdr:colOff>1409700</xdr:colOff>
          <xdr:row>6</xdr:row>
          <xdr:rowOff>57150</xdr:rowOff>
        </xdr:to>
        <xdr:sp macro="" textlink="">
          <xdr:nvSpPr>
            <xdr:cNvPr id="72716" name="Button 12" hidden="1">
              <a:extLst>
                <a:ext uri="{63B3BB69-23CF-44E3-9099-C40C66FF867C}">
                  <a14:compatExt spid="_x0000_s72716"/>
                </a:ext>
                <a:ext uri="{FF2B5EF4-FFF2-40B4-BE49-F238E27FC236}">
                  <a16:creationId xmlns:a16="http://schemas.microsoft.com/office/drawing/2014/main" id="{00000000-0008-0000-1800-00000C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4</xdr:row>
          <xdr:rowOff>323850</xdr:rowOff>
        </xdr:from>
        <xdr:to>
          <xdr:col>22</xdr:col>
          <xdr:colOff>1409700</xdr:colOff>
          <xdr:row>4</xdr:row>
          <xdr:rowOff>571500</xdr:rowOff>
        </xdr:to>
        <xdr:sp macro="" textlink="">
          <xdr:nvSpPr>
            <xdr:cNvPr id="72717" name="Button 13" hidden="1">
              <a:extLst>
                <a:ext uri="{63B3BB69-23CF-44E3-9099-C40C66FF867C}">
                  <a14:compatExt spid="_x0000_s72717"/>
                </a:ext>
                <a:ext uri="{FF2B5EF4-FFF2-40B4-BE49-F238E27FC236}">
                  <a16:creationId xmlns:a16="http://schemas.microsoft.com/office/drawing/2014/main" id="{00000000-0008-0000-1800-00000D1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171450</xdr:colOff>
          <xdr:row>3</xdr:row>
          <xdr:rowOff>76200</xdr:rowOff>
        </xdr:from>
        <xdr:to>
          <xdr:col>12</xdr:col>
          <xdr:colOff>1543050</xdr:colOff>
          <xdr:row>5</xdr:row>
          <xdr:rowOff>28575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900-000003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266700</xdr:colOff>
          <xdr:row>21</xdr:row>
          <xdr:rowOff>152400</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900-000004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5</xdr:row>
          <xdr:rowOff>342900</xdr:rowOff>
        </xdr:from>
        <xdr:to>
          <xdr:col>12</xdr:col>
          <xdr:colOff>1543050</xdr:colOff>
          <xdr:row>5</xdr:row>
          <xdr:rowOff>609600</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900-000006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1</xdr:row>
          <xdr:rowOff>104775</xdr:rowOff>
        </xdr:from>
        <xdr:to>
          <xdr:col>12</xdr:col>
          <xdr:colOff>1543050</xdr:colOff>
          <xdr:row>3</xdr:row>
          <xdr:rowOff>57150</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900-000007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5</xdr:row>
          <xdr:rowOff>57150</xdr:rowOff>
        </xdr:from>
        <xdr:to>
          <xdr:col>12</xdr:col>
          <xdr:colOff>1543050</xdr:colOff>
          <xdr:row>5</xdr:row>
          <xdr:rowOff>323850</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900-000009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8</xdr:row>
          <xdr:rowOff>152400</xdr:rowOff>
        </xdr:from>
        <xdr:to>
          <xdr:col>12</xdr:col>
          <xdr:colOff>1543050</xdr:colOff>
          <xdr:row>10</xdr:row>
          <xdr:rowOff>104775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900-00000A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7</xdr:row>
          <xdr:rowOff>19050</xdr:rowOff>
        </xdr:from>
        <xdr:to>
          <xdr:col>12</xdr:col>
          <xdr:colOff>1543050</xdr:colOff>
          <xdr:row>8</xdr:row>
          <xdr:rowOff>133350</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900-00000B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5</xdr:row>
          <xdr:rowOff>628650</xdr:rowOff>
        </xdr:from>
        <xdr:to>
          <xdr:col>12</xdr:col>
          <xdr:colOff>1543050</xdr:colOff>
          <xdr:row>7</xdr:row>
          <xdr:rowOff>0</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900-00000C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133350</xdr:colOff>
          <xdr:row>2</xdr:row>
          <xdr:rowOff>266700</xdr:rowOff>
        </xdr:from>
        <xdr:to>
          <xdr:col>7</xdr:col>
          <xdr:colOff>1504950</xdr:colOff>
          <xdr:row>4</xdr:row>
          <xdr:rowOff>95250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1A00-000001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6</xdr:row>
          <xdr:rowOff>28575</xdr:rowOff>
        </xdr:from>
        <xdr:to>
          <xdr:col>7</xdr:col>
          <xdr:colOff>1504950</xdr:colOff>
          <xdr:row>6</xdr:row>
          <xdr:rowOff>304800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1A00-000002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1</xdr:row>
          <xdr:rowOff>142875</xdr:rowOff>
        </xdr:from>
        <xdr:to>
          <xdr:col>7</xdr:col>
          <xdr:colOff>1504950</xdr:colOff>
          <xdr:row>2</xdr:row>
          <xdr:rowOff>247650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1A00-000003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4</xdr:row>
          <xdr:rowOff>133350</xdr:rowOff>
        </xdr:from>
        <xdr:to>
          <xdr:col>7</xdr:col>
          <xdr:colOff>1504950</xdr:colOff>
          <xdr:row>6</xdr:row>
          <xdr:rowOff>19050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1A00-000004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7</xdr:row>
          <xdr:rowOff>209550</xdr:rowOff>
        </xdr:from>
        <xdr:to>
          <xdr:col>7</xdr:col>
          <xdr:colOff>1504950</xdr:colOff>
          <xdr:row>9</xdr:row>
          <xdr:rowOff>57150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1A00-000005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6</xdr:row>
          <xdr:rowOff>628650</xdr:rowOff>
        </xdr:from>
        <xdr:to>
          <xdr:col>7</xdr:col>
          <xdr:colOff>1504950</xdr:colOff>
          <xdr:row>7</xdr:row>
          <xdr:rowOff>180975</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1A00-000006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133350</xdr:colOff>
          <xdr:row>6</xdr:row>
          <xdr:rowOff>323850</xdr:rowOff>
        </xdr:from>
        <xdr:to>
          <xdr:col>7</xdr:col>
          <xdr:colOff>1504950</xdr:colOff>
          <xdr:row>6</xdr:row>
          <xdr:rowOff>600075</xdr:rowOff>
        </xdr:to>
        <xdr:sp macro="" textlink="">
          <xdr:nvSpPr>
            <xdr:cNvPr id="167943" name="Button 7" hidden="1">
              <a:extLst>
                <a:ext uri="{63B3BB69-23CF-44E3-9099-C40C66FF867C}">
                  <a14:compatExt spid="_x0000_s167943"/>
                </a:ext>
                <a:ext uri="{FF2B5EF4-FFF2-40B4-BE49-F238E27FC236}">
                  <a16:creationId xmlns:a16="http://schemas.microsoft.com/office/drawing/2014/main" id="{00000000-0008-0000-1A00-00000790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15</xdr:row>
          <xdr:rowOff>28575</xdr:rowOff>
        </xdr:from>
        <xdr:to>
          <xdr:col>5</xdr:col>
          <xdr:colOff>295275</xdr:colOff>
          <xdr:row>15</xdr:row>
          <xdr:rowOff>295275</xdr:rowOff>
        </xdr:to>
        <xdr:sp macro="" textlink="">
          <xdr:nvSpPr>
            <xdr:cNvPr id="29708" name="Button 12" hidden="1">
              <a:extLst>
                <a:ext uri="{63B3BB69-23CF-44E3-9099-C40C66FF867C}">
                  <a14:compatExt spid="_x0000_s29708"/>
                </a:ext>
                <a:ext uri="{FF2B5EF4-FFF2-40B4-BE49-F238E27FC236}">
                  <a16:creationId xmlns:a16="http://schemas.microsoft.com/office/drawing/2014/main" id="{00000000-0008-0000-1B00-00000C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7</xdr:row>
          <xdr:rowOff>133350</xdr:rowOff>
        </xdr:from>
        <xdr:to>
          <xdr:col>10</xdr:col>
          <xdr:colOff>1504950</xdr:colOff>
          <xdr:row>8</xdr:row>
          <xdr:rowOff>219075</xdr:rowOff>
        </xdr:to>
        <xdr:sp macro="" textlink="">
          <xdr:nvSpPr>
            <xdr:cNvPr id="29712" name="Button 16" hidden="1">
              <a:extLst>
                <a:ext uri="{63B3BB69-23CF-44E3-9099-C40C66FF867C}">
                  <a14:compatExt spid="_x0000_s29712"/>
                </a:ext>
                <a:ext uri="{FF2B5EF4-FFF2-40B4-BE49-F238E27FC236}">
                  <a16:creationId xmlns:a16="http://schemas.microsoft.com/office/drawing/2014/main" id="{00000000-0008-0000-1B00-000010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9</xdr:row>
          <xdr:rowOff>285750</xdr:rowOff>
        </xdr:from>
        <xdr:to>
          <xdr:col>10</xdr:col>
          <xdr:colOff>1504950</xdr:colOff>
          <xdr:row>10</xdr:row>
          <xdr:rowOff>114300</xdr:rowOff>
        </xdr:to>
        <xdr:sp macro="" textlink="">
          <xdr:nvSpPr>
            <xdr:cNvPr id="29714" name="Button 18" hidden="1">
              <a:extLst>
                <a:ext uri="{63B3BB69-23CF-44E3-9099-C40C66FF867C}">
                  <a14:compatExt spid="_x0000_s29714"/>
                </a:ext>
                <a:ext uri="{FF2B5EF4-FFF2-40B4-BE49-F238E27FC236}">
                  <a16:creationId xmlns:a16="http://schemas.microsoft.com/office/drawing/2014/main" id="{00000000-0008-0000-1B00-000012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6</xdr:row>
          <xdr:rowOff>28575</xdr:rowOff>
        </xdr:from>
        <xdr:to>
          <xdr:col>10</xdr:col>
          <xdr:colOff>1504950</xdr:colOff>
          <xdr:row>7</xdr:row>
          <xdr:rowOff>114300</xdr:rowOff>
        </xdr:to>
        <xdr:sp macro="" textlink="">
          <xdr:nvSpPr>
            <xdr:cNvPr id="29715" name="Button 19" hidden="1">
              <a:extLst>
                <a:ext uri="{63B3BB69-23CF-44E3-9099-C40C66FF867C}">
                  <a14:compatExt spid="_x0000_s29715"/>
                </a:ext>
                <a:ext uri="{FF2B5EF4-FFF2-40B4-BE49-F238E27FC236}">
                  <a16:creationId xmlns:a16="http://schemas.microsoft.com/office/drawing/2014/main" id="{00000000-0008-0000-1B00-000013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8</xdr:row>
          <xdr:rowOff>247650</xdr:rowOff>
        </xdr:from>
        <xdr:to>
          <xdr:col>10</xdr:col>
          <xdr:colOff>1504950</xdr:colOff>
          <xdr:row>9</xdr:row>
          <xdr:rowOff>257175</xdr:rowOff>
        </xdr:to>
        <xdr:sp macro="" textlink="">
          <xdr:nvSpPr>
            <xdr:cNvPr id="29717" name="Button 21" hidden="1">
              <a:extLst>
                <a:ext uri="{63B3BB69-23CF-44E3-9099-C40C66FF867C}">
                  <a14:compatExt spid="_x0000_s29717"/>
                </a:ext>
                <a:ext uri="{FF2B5EF4-FFF2-40B4-BE49-F238E27FC236}">
                  <a16:creationId xmlns:a16="http://schemas.microsoft.com/office/drawing/2014/main" id="{00000000-0008-0000-1B00-000015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14</xdr:row>
          <xdr:rowOff>38100</xdr:rowOff>
        </xdr:from>
        <xdr:to>
          <xdr:col>10</xdr:col>
          <xdr:colOff>1504950</xdr:colOff>
          <xdr:row>15</xdr:row>
          <xdr:rowOff>114300</xdr:rowOff>
        </xdr:to>
        <xdr:sp macro="" textlink="">
          <xdr:nvSpPr>
            <xdr:cNvPr id="29718" name="Button 22" hidden="1">
              <a:extLst>
                <a:ext uri="{63B3BB69-23CF-44E3-9099-C40C66FF867C}">
                  <a14:compatExt spid="_x0000_s29718"/>
                </a:ext>
                <a:ext uri="{FF2B5EF4-FFF2-40B4-BE49-F238E27FC236}">
                  <a16:creationId xmlns:a16="http://schemas.microsoft.com/office/drawing/2014/main" id="{00000000-0008-0000-1B00-000016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12</xdr:row>
          <xdr:rowOff>95250</xdr:rowOff>
        </xdr:from>
        <xdr:to>
          <xdr:col>10</xdr:col>
          <xdr:colOff>1504950</xdr:colOff>
          <xdr:row>14</xdr:row>
          <xdr:rowOff>19050</xdr:rowOff>
        </xdr:to>
        <xdr:sp macro="" textlink="">
          <xdr:nvSpPr>
            <xdr:cNvPr id="29719" name="Button 23" hidden="1">
              <a:extLst>
                <a:ext uri="{63B3BB69-23CF-44E3-9099-C40C66FF867C}">
                  <a14:compatExt spid="_x0000_s29719"/>
                </a:ext>
                <a:ext uri="{FF2B5EF4-FFF2-40B4-BE49-F238E27FC236}">
                  <a16:creationId xmlns:a16="http://schemas.microsoft.com/office/drawing/2014/main" id="{00000000-0008-0000-1B00-000017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133350</xdr:colOff>
          <xdr:row>10</xdr:row>
          <xdr:rowOff>142875</xdr:rowOff>
        </xdr:from>
        <xdr:to>
          <xdr:col>10</xdr:col>
          <xdr:colOff>1504950</xdr:colOff>
          <xdr:row>12</xdr:row>
          <xdr:rowOff>66675</xdr:rowOff>
        </xdr:to>
        <xdr:sp macro="" textlink="">
          <xdr:nvSpPr>
            <xdr:cNvPr id="29720" name="Button 24" hidden="1">
              <a:extLst>
                <a:ext uri="{63B3BB69-23CF-44E3-9099-C40C66FF867C}">
                  <a14:compatExt spid="_x0000_s29720"/>
                </a:ext>
                <a:ext uri="{FF2B5EF4-FFF2-40B4-BE49-F238E27FC236}">
                  <a16:creationId xmlns:a16="http://schemas.microsoft.com/office/drawing/2014/main" id="{00000000-0008-0000-1B00-000018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57150</xdr:colOff>
          <xdr:row>3</xdr:row>
          <xdr:rowOff>133350</xdr:rowOff>
        </xdr:from>
        <xdr:to>
          <xdr:col>15</xdr:col>
          <xdr:colOff>1428750</xdr:colOff>
          <xdr:row>4</xdr:row>
          <xdr:rowOff>247650</xdr:rowOff>
        </xdr:to>
        <xdr:sp macro="" textlink="">
          <xdr:nvSpPr>
            <xdr:cNvPr id="31760" name="Button 16" hidden="1">
              <a:extLst>
                <a:ext uri="{63B3BB69-23CF-44E3-9099-C40C66FF867C}">
                  <a14:compatExt spid="_x0000_s31760"/>
                </a:ext>
                <a:ext uri="{FF2B5EF4-FFF2-40B4-BE49-F238E27FC236}">
                  <a16:creationId xmlns:a16="http://schemas.microsoft.com/office/drawing/2014/main" id="{00000000-0008-0000-1C00-000010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28575</xdr:rowOff>
        </xdr:from>
        <xdr:to>
          <xdr:col>5</xdr:col>
          <xdr:colOff>0</xdr:colOff>
          <xdr:row>14</xdr:row>
          <xdr:rowOff>104775</xdr:rowOff>
        </xdr:to>
        <xdr:sp macro="" textlink="">
          <xdr:nvSpPr>
            <xdr:cNvPr id="31761" name="Button 17" hidden="1">
              <a:extLst>
                <a:ext uri="{63B3BB69-23CF-44E3-9099-C40C66FF867C}">
                  <a14:compatExt spid="_x0000_s31761"/>
                </a:ext>
                <a:ext uri="{FF2B5EF4-FFF2-40B4-BE49-F238E27FC236}">
                  <a16:creationId xmlns:a16="http://schemas.microsoft.com/office/drawing/2014/main" id="{00000000-0008-0000-1C00-00001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28575</xdr:rowOff>
        </xdr:from>
        <xdr:to>
          <xdr:col>5</xdr:col>
          <xdr:colOff>0</xdr:colOff>
          <xdr:row>27</xdr:row>
          <xdr:rowOff>104775</xdr:rowOff>
        </xdr:to>
        <xdr:sp macro="" textlink="">
          <xdr:nvSpPr>
            <xdr:cNvPr id="31762" name="Button 18" hidden="1">
              <a:extLst>
                <a:ext uri="{63B3BB69-23CF-44E3-9099-C40C66FF867C}">
                  <a14:compatExt spid="_x0000_s31762"/>
                </a:ext>
                <a:ext uri="{FF2B5EF4-FFF2-40B4-BE49-F238E27FC236}">
                  <a16:creationId xmlns:a16="http://schemas.microsoft.com/office/drawing/2014/main" id="{00000000-0008-0000-1C00-000012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28575</xdr:rowOff>
        </xdr:from>
        <xdr:to>
          <xdr:col>5</xdr:col>
          <xdr:colOff>0</xdr:colOff>
          <xdr:row>41</xdr:row>
          <xdr:rowOff>104775</xdr:rowOff>
        </xdr:to>
        <xdr:sp macro="" textlink="">
          <xdr:nvSpPr>
            <xdr:cNvPr id="31763" name="Button 19" hidden="1">
              <a:extLst>
                <a:ext uri="{63B3BB69-23CF-44E3-9099-C40C66FF867C}">
                  <a14:compatExt spid="_x0000_s31763"/>
                </a:ext>
                <a:ext uri="{FF2B5EF4-FFF2-40B4-BE49-F238E27FC236}">
                  <a16:creationId xmlns:a16="http://schemas.microsoft.com/office/drawing/2014/main" id="{00000000-0008-0000-1C00-000013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28575</xdr:rowOff>
        </xdr:from>
        <xdr:to>
          <xdr:col>5</xdr:col>
          <xdr:colOff>0</xdr:colOff>
          <xdr:row>54</xdr:row>
          <xdr:rowOff>104775</xdr:rowOff>
        </xdr:to>
        <xdr:sp macro="" textlink="">
          <xdr:nvSpPr>
            <xdr:cNvPr id="31764" name="Button 20" hidden="1">
              <a:extLst>
                <a:ext uri="{63B3BB69-23CF-44E3-9099-C40C66FF867C}">
                  <a14:compatExt spid="_x0000_s31764"/>
                </a:ext>
                <a:ext uri="{FF2B5EF4-FFF2-40B4-BE49-F238E27FC236}">
                  <a16:creationId xmlns:a16="http://schemas.microsoft.com/office/drawing/2014/main" id="{00000000-0008-0000-1C00-000014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xdr:row>
          <xdr:rowOff>247650</xdr:rowOff>
        </xdr:from>
        <xdr:to>
          <xdr:col>15</xdr:col>
          <xdr:colOff>1428750</xdr:colOff>
          <xdr:row>6</xdr:row>
          <xdr:rowOff>180975</xdr:rowOff>
        </xdr:to>
        <xdr:sp macro="" textlink="">
          <xdr:nvSpPr>
            <xdr:cNvPr id="31768" name="Button 24" hidden="1">
              <a:extLst>
                <a:ext uri="{63B3BB69-23CF-44E3-9099-C40C66FF867C}">
                  <a14:compatExt spid="_x0000_s31768"/>
                </a:ext>
                <a:ext uri="{FF2B5EF4-FFF2-40B4-BE49-F238E27FC236}">
                  <a16:creationId xmlns:a16="http://schemas.microsoft.com/office/drawing/2014/main" id="{00000000-0008-0000-1C00-000018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2</xdr:row>
          <xdr:rowOff>0</xdr:rowOff>
        </xdr:from>
        <xdr:to>
          <xdr:col>15</xdr:col>
          <xdr:colOff>1428750</xdr:colOff>
          <xdr:row>3</xdr:row>
          <xdr:rowOff>114300</xdr:rowOff>
        </xdr:to>
        <xdr:sp macro="" textlink="">
          <xdr:nvSpPr>
            <xdr:cNvPr id="31769" name="Button 25" hidden="1">
              <a:extLst>
                <a:ext uri="{63B3BB69-23CF-44E3-9099-C40C66FF867C}">
                  <a14:compatExt spid="_x0000_s31769"/>
                </a:ext>
                <a:ext uri="{FF2B5EF4-FFF2-40B4-BE49-F238E27FC236}">
                  <a16:creationId xmlns:a16="http://schemas.microsoft.com/office/drawing/2014/main" id="{00000000-0008-0000-1C00-000019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4</xdr:row>
          <xdr:rowOff>266700</xdr:rowOff>
        </xdr:from>
        <xdr:to>
          <xdr:col>15</xdr:col>
          <xdr:colOff>1428750</xdr:colOff>
          <xdr:row>5</xdr:row>
          <xdr:rowOff>228600</xdr:rowOff>
        </xdr:to>
        <xdr:sp macro="" textlink="">
          <xdr:nvSpPr>
            <xdr:cNvPr id="31771" name="Button 27" hidden="1">
              <a:extLst>
                <a:ext uri="{63B3BB69-23CF-44E3-9099-C40C66FF867C}">
                  <a14:compatExt spid="_x0000_s31771"/>
                </a:ext>
                <a:ext uri="{FF2B5EF4-FFF2-40B4-BE49-F238E27FC236}">
                  <a16:creationId xmlns:a16="http://schemas.microsoft.com/office/drawing/2014/main" id="{00000000-0008-0000-1C00-00001B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10</xdr:row>
          <xdr:rowOff>57150</xdr:rowOff>
        </xdr:from>
        <xdr:to>
          <xdr:col>15</xdr:col>
          <xdr:colOff>1428750</xdr:colOff>
          <xdr:row>11</xdr:row>
          <xdr:rowOff>142875</xdr:rowOff>
        </xdr:to>
        <xdr:sp macro="" textlink="">
          <xdr:nvSpPr>
            <xdr:cNvPr id="31772" name="Button 28" hidden="1">
              <a:extLst>
                <a:ext uri="{63B3BB69-23CF-44E3-9099-C40C66FF867C}">
                  <a14:compatExt spid="_x0000_s31772"/>
                </a:ext>
                <a:ext uri="{FF2B5EF4-FFF2-40B4-BE49-F238E27FC236}">
                  <a16:creationId xmlns:a16="http://schemas.microsoft.com/office/drawing/2014/main" id="{00000000-0008-0000-1C00-00001C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8</xdr:row>
          <xdr:rowOff>133350</xdr:rowOff>
        </xdr:from>
        <xdr:to>
          <xdr:col>15</xdr:col>
          <xdr:colOff>1428750</xdr:colOff>
          <xdr:row>10</xdr:row>
          <xdr:rowOff>38100</xdr:rowOff>
        </xdr:to>
        <xdr:sp macro="" textlink="">
          <xdr:nvSpPr>
            <xdr:cNvPr id="31773" name="Button 29" hidden="1">
              <a:extLst>
                <a:ext uri="{63B3BB69-23CF-44E3-9099-C40C66FF867C}">
                  <a14:compatExt spid="_x0000_s31773"/>
                </a:ext>
                <a:ext uri="{FF2B5EF4-FFF2-40B4-BE49-F238E27FC236}">
                  <a16:creationId xmlns:a16="http://schemas.microsoft.com/office/drawing/2014/main" id="{00000000-0008-0000-1C00-00001D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7</xdr:row>
          <xdr:rowOff>28575</xdr:rowOff>
        </xdr:from>
        <xdr:to>
          <xdr:col>15</xdr:col>
          <xdr:colOff>1428750</xdr:colOff>
          <xdr:row>8</xdr:row>
          <xdr:rowOff>95250</xdr:rowOff>
        </xdr:to>
        <xdr:sp macro="" textlink="">
          <xdr:nvSpPr>
            <xdr:cNvPr id="31774" name="Button 30" hidden="1">
              <a:extLst>
                <a:ext uri="{63B3BB69-23CF-44E3-9099-C40C66FF867C}">
                  <a14:compatExt spid="_x0000_s31774"/>
                </a:ext>
                <a:ext uri="{FF2B5EF4-FFF2-40B4-BE49-F238E27FC236}">
                  <a16:creationId xmlns:a16="http://schemas.microsoft.com/office/drawing/2014/main" id="{00000000-0008-0000-1C00-00001E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209550</xdr:colOff>
          <xdr:row>3</xdr:row>
          <xdr:rowOff>0</xdr:rowOff>
        </xdr:from>
        <xdr:to>
          <xdr:col>15</xdr:col>
          <xdr:colOff>361950</xdr:colOff>
          <xdr:row>4</xdr:row>
          <xdr:rowOff>95250</xdr:rowOff>
        </xdr:to>
        <xdr:sp macro="" textlink="">
          <xdr:nvSpPr>
            <xdr:cNvPr id="244738" name="Button 2" hidden="1">
              <a:extLst>
                <a:ext uri="{63B3BB69-23CF-44E3-9099-C40C66FF867C}">
                  <a14:compatExt spid="_x0000_s244738"/>
                </a:ext>
                <a:ext uri="{FF2B5EF4-FFF2-40B4-BE49-F238E27FC236}">
                  <a16:creationId xmlns:a16="http://schemas.microsoft.com/office/drawing/2014/main" id="{00000000-0008-0000-1D00-000002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6</xdr:row>
          <xdr:rowOff>76200</xdr:rowOff>
        </xdr:from>
        <xdr:to>
          <xdr:col>15</xdr:col>
          <xdr:colOff>361950</xdr:colOff>
          <xdr:row>7</xdr:row>
          <xdr:rowOff>171450</xdr:rowOff>
        </xdr:to>
        <xdr:sp macro="" textlink="">
          <xdr:nvSpPr>
            <xdr:cNvPr id="244739" name="Button 3" hidden="1">
              <a:extLst>
                <a:ext uri="{63B3BB69-23CF-44E3-9099-C40C66FF867C}">
                  <a14:compatExt spid="_x0000_s244739"/>
                </a:ext>
                <a:ext uri="{FF2B5EF4-FFF2-40B4-BE49-F238E27FC236}">
                  <a16:creationId xmlns:a16="http://schemas.microsoft.com/office/drawing/2014/main" id="{00000000-0008-0000-1D00-000003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1</xdr:row>
          <xdr:rowOff>57150</xdr:rowOff>
        </xdr:from>
        <xdr:to>
          <xdr:col>15</xdr:col>
          <xdr:colOff>361950</xdr:colOff>
          <xdr:row>2</xdr:row>
          <xdr:rowOff>133350</xdr:rowOff>
        </xdr:to>
        <xdr:sp macro="" textlink="">
          <xdr:nvSpPr>
            <xdr:cNvPr id="244740" name="Button 4" hidden="1">
              <a:extLst>
                <a:ext uri="{63B3BB69-23CF-44E3-9099-C40C66FF867C}">
                  <a14:compatExt spid="_x0000_s244740"/>
                </a:ext>
                <a:ext uri="{FF2B5EF4-FFF2-40B4-BE49-F238E27FC236}">
                  <a16:creationId xmlns:a16="http://schemas.microsoft.com/office/drawing/2014/main" id="{00000000-0008-0000-1D00-000004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11</xdr:row>
          <xdr:rowOff>95250</xdr:rowOff>
        </xdr:from>
        <xdr:to>
          <xdr:col>15</xdr:col>
          <xdr:colOff>361950</xdr:colOff>
          <xdr:row>12</xdr:row>
          <xdr:rowOff>142875</xdr:rowOff>
        </xdr:to>
        <xdr:sp macro="" textlink="">
          <xdr:nvSpPr>
            <xdr:cNvPr id="244741" name="Button 5" hidden="1">
              <a:extLst>
                <a:ext uri="{63B3BB69-23CF-44E3-9099-C40C66FF867C}">
                  <a14:compatExt spid="_x0000_s244741"/>
                </a:ext>
                <a:ext uri="{FF2B5EF4-FFF2-40B4-BE49-F238E27FC236}">
                  <a16:creationId xmlns:a16="http://schemas.microsoft.com/office/drawing/2014/main" id="{00000000-0008-0000-1D00-000005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9</xdr:row>
          <xdr:rowOff>142875</xdr:rowOff>
        </xdr:from>
        <xdr:to>
          <xdr:col>15</xdr:col>
          <xdr:colOff>361950</xdr:colOff>
          <xdr:row>11</xdr:row>
          <xdr:rowOff>57150</xdr:rowOff>
        </xdr:to>
        <xdr:sp macro="" textlink="">
          <xdr:nvSpPr>
            <xdr:cNvPr id="244742" name="Button 6" hidden="1">
              <a:extLst>
                <a:ext uri="{63B3BB69-23CF-44E3-9099-C40C66FF867C}">
                  <a14:compatExt spid="_x0000_s244742"/>
                </a:ext>
                <a:ext uri="{FF2B5EF4-FFF2-40B4-BE49-F238E27FC236}">
                  <a16:creationId xmlns:a16="http://schemas.microsoft.com/office/drawing/2014/main" id="{00000000-0008-0000-1D00-000006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8</xdr:row>
          <xdr:rowOff>19050</xdr:rowOff>
        </xdr:from>
        <xdr:to>
          <xdr:col>15</xdr:col>
          <xdr:colOff>361950</xdr:colOff>
          <xdr:row>9</xdr:row>
          <xdr:rowOff>104775</xdr:rowOff>
        </xdr:to>
        <xdr:sp macro="" textlink="">
          <xdr:nvSpPr>
            <xdr:cNvPr id="244743" name="Button 7" hidden="1">
              <a:extLst>
                <a:ext uri="{63B3BB69-23CF-44E3-9099-C40C66FF867C}">
                  <a14:compatExt spid="_x0000_s244743"/>
                </a:ext>
                <a:ext uri="{FF2B5EF4-FFF2-40B4-BE49-F238E27FC236}">
                  <a16:creationId xmlns:a16="http://schemas.microsoft.com/office/drawing/2014/main" id="{00000000-0008-0000-1D00-000007B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209550</xdr:colOff>
          <xdr:row>4</xdr:row>
          <xdr:rowOff>133350</xdr:rowOff>
        </xdr:from>
        <xdr:to>
          <xdr:col>15</xdr:col>
          <xdr:colOff>361950</xdr:colOff>
          <xdr:row>6</xdr:row>
          <xdr:rowOff>38100</xdr:rowOff>
        </xdr:to>
        <xdr:sp macro="" textlink="">
          <xdr:nvSpPr>
            <xdr:cNvPr id="244744" name="Button 8" hidden="1">
              <a:extLst>
                <a:ext uri="{63B3BB69-23CF-44E3-9099-C40C66FF867C}">
                  <a14:compatExt spid="_x0000_s244744"/>
                </a:ext>
                <a:ext uri="{FF2B5EF4-FFF2-40B4-BE49-F238E27FC236}">
                  <a16:creationId xmlns:a16="http://schemas.microsoft.com/office/drawing/2014/main" id="{00000000-0008-0000-1D00-000008BC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Next</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4</xdr:col>
          <xdr:colOff>438150</xdr:colOff>
          <xdr:row>12</xdr:row>
          <xdr:rowOff>304800</xdr:rowOff>
        </xdr:to>
        <xdr:sp macro="" textlink="">
          <xdr:nvSpPr>
            <xdr:cNvPr id="198657" name="Button 1" hidden="1">
              <a:extLst>
                <a:ext uri="{63B3BB69-23CF-44E3-9099-C40C66FF867C}">
                  <a14:compatExt spid="_x0000_s198657"/>
                </a:ext>
                <a:ext uri="{FF2B5EF4-FFF2-40B4-BE49-F238E27FC236}">
                  <a16:creationId xmlns:a16="http://schemas.microsoft.com/office/drawing/2014/main" id="{00000000-0008-0000-1E00-000001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2</xdr:row>
          <xdr:rowOff>114300</xdr:rowOff>
        </xdr:from>
        <xdr:to>
          <xdr:col>16</xdr:col>
          <xdr:colOff>1238250</xdr:colOff>
          <xdr:row>4</xdr:row>
          <xdr:rowOff>19050</xdr:rowOff>
        </xdr:to>
        <xdr:sp macro="" textlink="">
          <xdr:nvSpPr>
            <xdr:cNvPr id="198658" name="Button 2" hidden="1">
              <a:extLst>
                <a:ext uri="{63B3BB69-23CF-44E3-9099-C40C66FF867C}">
                  <a14:compatExt spid="_x0000_s198658"/>
                </a:ext>
                <a:ext uri="{FF2B5EF4-FFF2-40B4-BE49-F238E27FC236}">
                  <a16:creationId xmlns:a16="http://schemas.microsoft.com/office/drawing/2014/main" id="{00000000-0008-0000-1E00-000002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5</xdr:row>
          <xdr:rowOff>171450</xdr:rowOff>
        </xdr:from>
        <xdr:to>
          <xdr:col>16</xdr:col>
          <xdr:colOff>1238250</xdr:colOff>
          <xdr:row>7</xdr:row>
          <xdr:rowOff>66675</xdr:rowOff>
        </xdr:to>
        <xdr:sp macro="" textlink="">
          <xdr:nvSpPr>
            <xdr:cNvPr id="198659" name="Button 3" hidden="1">
              <a:extLst>
                <a:ext uri="{63B3BB69-23CF-44E3-9099-C40C66FF867C}">
                  <a14:compatExt spid="_x0000_s198659"/>
                </a:ext>
                <a:ext uri="{FF2B5EF4-FFF2-40B4-BE49-F238E27FC236}">
                  <a16:creationId xmlns:a16="http://schemas.microsoft.com/office/drawing/2014/main" id="{00000000-0008-0000-1E00-000003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4</xdr:row>
          <xdr:rowOff>57150</xdr:rowOff>
        </xdr:from>
        <xdr:to>
          <xdr:col>16</xdr:col>
          <xdr:colOff>1238250</xdr:colOff>
          <xdr:row>5</xdr:row>
          <xdr:rowOff>133350</xdr:rowOff>
        </xdr:to>
        <xdr:sp macro="" textlink="">
          <xdr:nvSpPr>
            <xdr:cNvPr id="198660" name="Button 4" hidden="1">
              <a:extLst>
                <a:ext uri="{63B3BB69-23CF-44E3-9099-C40C66FF867C}">
                  <a14:compatExt spid="_x0000_s198660"/>
                </a:ext>
                <a:ext uri="{FF2B5EF4-FFF2-40B4-BE49-F238E27FC236}">
                  <a16:creationId xmlns:a16="http://schemas.microsoft.com/office/drawing/2014/main" id="{00000000-0008-0000-1E00-000004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0</xdr:row>
          <xdr:rowOff>190500</xdr:rowOff>
        </xdr:from>
        <xdr:to>
          <xdr:col>16</xdr:col>
          <xdr:colOff>1238250</xdr:colOff>
          <xdr:row>2</xdr:row>
          <xdr:rowOff>76200</xdr:rowOff>
        </xdr:to>
        <xdr:sp macro="" textlink="">
          <xdr:nvSpPr>
            <xdr:cNvPr id="198661" name="Button 5" hidden="1">
              <a:extLst>
                <a:ext uri="{63B3BB69-23CF-44E3-9099-C40C66FF867C}">
                  <a14:compatExt spid="_x0000_s198661"/>
                </a:ext>
                <a:ext uri="{FF2B5EF4-FFF2-40B4-BE49-F238E27FC236}">
                  <a16:creationId xmlns:a16="http://schemas.microsoft.com/office/drawing/2014/main" id="{00000000-0008-0000-1E00-000005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9</xdr:row>
          <xdr:rowOff>38100</xdr:rowOff>
        </xdr:from>
        <xdr:to>
          <xdr:col>16</xdr:col>
          <xdr:colOff>1238250</xdr:colOff>
          <xdr:row>10</xdr:row>
          <xdr:rowOff>133350</xdr:rowOff>
        </xdr:to>
        <xdr:sp macro="" textlink="">
          <xdr:nvSpPr>
            <xdr:cNvPr id="198662" name="Button 6" hidden="1">
              <a:extLst>
                <a:ext uri="{63B3BB69-23CF-44E3-9099-C40C66FF867C}">
                  <a14:compatExt spid="_x0000_s198662"/>
                </a:ext>
                <a:ext uri="{FF2B5EF4-FFF2-40B4-BE49-F238E27FC236}">
                  <a16:creationId xmlns:a16="http://schemas.microsoft.com/office/drawing/2014/main" id="{00000000-0008-0000-1E00-000006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7</xdr:row>
          <xdr:rowOff>104775</xdr:rowOff>
        </xdr:from>
        <xdr:to>
          <xdr:col>16</xdr:col>
          <xdr:colOff>1238250</xdr:colOff>
          <xdr:row>9</xdr:row>
          <xdr:rowOff>0</xdr:rowOff>
        </xdr:to>
        <xdr:sp macro="" textlink="">
          <xdr:nvSpPr>
            <xdr:cNvPr id="198663" name="Button 7" hidden="1">
              <a:extLst>
                <a:ext uri="{63B3BB69-23CF-44E3-9099-C40C66FF867C}">
                  <a14:compatExt spid="_x0000_s198663"/>
                </a:ext>
                <a:ext uri="{FF2B5EF4-FFF2-40B4-BE49-F238E27FC236}">
                  <a16:creationId xmlns:a16="http://schemas.microsoft.com/office/drawing/2014/main" id="{00000000-0008-0000-1E00-000007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10</xdr:row>
          <xdr:rowOff>171450</xdr:rowOff>
        </xdr:from>
        <xdr:to>
          <xdr:col>16</xdr:col>
          <xdr:colOff>1238250</xdr:colOff>
          <xdr:row>12</xdr:row>
          <xdr:rowOff>57150</xdr:rowOff>
        </xdr:to>
        <xdr:sp macro="" textlink="">
          <xdr:nvSpPr>
            <xdr:cNvPr id="198664" name="Button 8" hidden="1">
              <a:extLst>
                <a:ext uri="{63B3BB69-23CF-44E3-9099-C40C66FF867C}">
                  <a14:compatExt spid="_x0000_s198664"/>
                </a:ext>
                <a:ext uri="{FF2B5EF4-FFF2-40B4-BE49-F238E27FC236}">
                  <a16:creationId xmlns:a16="http://schemas.microsoft.com/office/drawing/2014/main" id="{00000000-0008-0000-1E00-0000080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4</xdr:col>
          <xdr:colOff>438150</xdr:colOff>
          <xdr:row>12</xdr:row>
          <xdr:rowOff>295275</xdr:rowOff>
        </xdr:to>
        <xdr:sp macro="" textlink="">
          <xdr:nvSpPr>
            <xdr:cNvPr id="353281" name="Button 1" hidden="1">
              <a:extLst>
                <a:ext uri="{63B3BB69-23CF-44E3-9099-C40C66FF867C}">
                  <a14:compatExt spid="_x0000_s353281"/>
                </a:ext>
                <a:ext uri="{FF2B5EF4-FFF2-40B4-BE49-F238E27FC236}">
                  <a16:creationId xmlns:a16="http://schemas.microsoft.com/office/drawing/2014/main" id="{00000000-0008-0000-1F00-000001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3</xdr:row>
          <xdr:rowOff>152400</xdr:rowOff>
        </xdr:from>
        <xdr:to>
          <xdr:col>17</xdr:col>
          <xdr:colOff>1285875</xdr:colOff>
          <xdr:row>5</xdr:row>
          <xdr:rowOff>57150</xdr:rowOff>
        </xdr:to>
        <xdr:sp macro="" textlink="">
          <xdr:nvSpPr>
            <xdr:cNvPr id="353282" name="Button 2" hidden="1">
              <a:extLst>
                <a:ext uri="{63B3BB69-23CF-44E3-9099-C40C66FF867C}">
                  <a14:compatExt spid="_x0000_s353282"/>
                </a:ext>
                <a:ext uri="{FF2B5EF4-FFF2-40B4-BE49-F238E27FC236}">
                  <a16:creationId xmlns:a16="http://schemas.microsoft.com/office/drawing/2014/main" id="{00000000-0008-0000-1F00-000002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6</xdr:row>
          <xdr:rowOff>209550</xdr:rowOff>
        </xdr:from>
        <xdr:to>
          <xdr:col>17</xdr:col>
          <xdr:colOff>1285875</xdr:colOff>
          <xdr:row>7</xdr:row>
          <xdr:rowOff>190500</xdr:rowOff>
        </xdr:to>
        <xdr:sp macro="" textlink="">
          <xdr:nvSpPr>
            <xdr:cNvPr id="353283" name="Button 3" hidden="1">
              <a:extLst>
                <a:ext uri="{63B3BB69-23CF-44E3-9099-C40C66FF867C}">
                  <a14:compatExt spid="_x0000_s353283"/>
                </a:ext>
                <a:ext uri="{FF2B5EF4-FFF2-40B4-BE49-F238E27FC236}">
                  <a16:creationId xmlns:a16="http://schemas.microsoft.com/office/drawing/2014/main" id="{00000000-0008-0000-1F00-000003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5</xdr:row>
          <xdr:rowOff>95250</xdr:rowOff>
        </xdr:from>
        <xdr:to>
          <xdr:col>17</xdr:col>
          <xdr:colOff>1285875</xdr:colOff>
          <xdr:row>6</xdr:row>
          <xdr:rowOff>171450</xdr:rowOff>
        </xdr:to>
        <xdr:sp macro="" textlink="">
          <xdr:nvSpPr>
            <xdr:cNvPr id="353284" name="Button 4" hidden="1">
              <a:extLst>
                <a:ext uri="{63B3BB69-23CF-44E3-9099-C40C66FF867C}">
                  <a14:compatExt spid="_x0000_s353284"/>
                </a:ext>
                <a:ext uri="{FF2B5EF4-FFF2-40B4-BE49-F238E27FC236}">
                  <a16:creationId xmlns:a16="http://schemas.microsoft.com/office/drawing/2014/main" id="{00000000-0008-0000-1F00-000004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2</xdr:row>
          <xdr:rowOff>28575</xdr:rowOff>
        </xdr:from>
        <xdr:to>
          <xdr:col>17</xdr:col>
          <xdr:colOff>1285875</xdr:colOff>
          <xdr:row>3</xdr:row>
          <xdr:rowOff>114300</xdr:rowOff>
        </xdr:to>
        <xdr:sp macro="" textlink="">
          <xdr:nvSpPr>
            <xdr:cNvPr id="353285" name="Button 5" hidden="1">
              <a:extLst>
                <a:ext uri="{63B3BB69-23CF-44E3-9099-C40C66FF867C}">
                  <a14:compatExt spid="_x0000_s353285"/>
                </a:ext>
                <a:ext uri="{FF2B5EF4-FFF2-40B4-BE49-F238E27FC236}">
                  <a16:creationId xmlns:a16="http://schemas.microsoft.com/office/drawing/2014/main" id="{00000000-0008-0000-1F00-000005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8</xdr:row>
          <xdr:rowOff>266700</xdr:rowOff>
        </xdr:from>
        <xdr:to>
          <xdr:col>17</xdr:col>
          <xdr:colOff>1285875</xdr:colOff>
          <xdr:row>9</xdr:row>
          <xdr:rowOff>266700</xdr:rowOff>
        </xdr:to>
        <xdr:sp macro="" textlink="">
          <xdr:nvSpPr>
            <xdr:cNvPr id="353286" name="Button 6" hidden="1">
              <a:extLst>
                <a:ext uri="{63B3BB69-23CF-44E3-9099-C40C66FF867C}">
                  <a14:compatExt spid="_x0000_s353286"/>
                </a:ext>
                <a:ext uri="{FF2B5EF4-FFF2-40B4-BE49-F238E27FC236}">
                  <a16:creationId xmlns:a16="http://schemas.microsoft.com/office/drawing/2014/main" id="{00000000-0008-0000-1F00-000006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7</xdr:row>
          <xdr:rowOff>228600</xdr:rowOff>
        </xdr:from>
        <xdr:to>
          <xdr:col>17</xdr:col>
          <xdr:colOff>1285875</xdr:colOff>
          <xdr:row>8</xdr:row>
          <xdr:rowOff>228600</xdr:rowOff>
        </xdr:to>
        <xdr:sp macro="" textlink="">
          <xdr:nvSpPr>
            <xdr:cNvPr id="353287" name="Button 7" hidden="1">
              <a:extLst>
                <a:ext uri="{63B3BB69-23CF-44E3-9099-C40C66FF867C}">
                  <a14:compatExt spid="_x0000_s353287"/>
                </a:ext>
                <a:ext uri="{FF2B5EF4-FFF2-40B4-BE49-F238E27FC236}">
                  <a16:creationId xmlns:a16="http://schemas.microsoft.com/office/drawing/2014/main" id="{00000000-0008-0000-1F00-000007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209550</xdr:colOff>
          <xdr:row>10</xdr:row>
          <xdr:rowOff>28575</xdr:rowOff>
        </xdr:from>
        <xdr:to>
          <xdr:col>17</xdr:col>
          <xdr:colOff>1285875</xdr:colOff>
          <xdr:row>11</xdr:row>
          <xdr:rowOff>114300</xdr:rowOff>
        </xdr:to>
        <xdr:sp macro="" textlink="">
          <xdr:nvSpPr>
            <xdr:cNvPr id="353288" name="Button 8" hidden="1">
              <a:extLst>
                <a:ext uri="{63B3BB69-23CF-44E3-9099-C40C66FF867C}">
                  <a14:compatExt spid="_x0000_s353288"/>
                </a:ext>
                <a:ext uri="{FF2B5EF4-FFF2-40B4-BE49-F238E27FC236}">
                  <a16:creationId xmlns:a16="http://schemas.microsoft.com/office/drawing/2014/main" id="{00000000-0008-0000-1F00-00000864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1609725</xdr:colOff>
          <xdr:row>91</xdr:row>
          <xdr:rowOff>0</xdr:rowOff>
        </xdr:from>
        <xdr:to>
          <xdr:col>7</xdr:col>
          <xdr:colOff>1181100</xdr:colOff>
          <xdr:row>91</xdr:row>
          <xdr:rowOff>285750</xdr:rowOff>
        </xdr:to>
        <xdr:sp macro="" textlink="">
          <xdr:nvSpPr>
            <xdr:cNvPr id="104469" name="Button 21" descr="Add Rows" hidden="1">
              <a:extLst>
                <a:ext uri="{63B3BB69-23CF-44E3-9099-C40C66FF867C}">
                  <a14:compatExt spid="_x0000_s104469"/>
                </a:ext>
                <a:ext uri="{FF2B5EF4-FFF2-40B4-BE49-F238E27FC236}">
                  <a16:creationId xmlns:a16="http://schemas.microsoft.com/office/drawing/2014/main" id="{00000000-0008-0000-2000-000015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1609725</xdr:colOff>
          <xdr:row>95</xdr:row>
          <xdr:rowOff>9525</xdr:rowOff>
        </xdr:from>
        <xdr:to>
          <xdr:col>7</xdr:col>
          <xdr:colOff>1181100</xdr:colOff>
          <xdr:row>95</xdr:row>
          <xdr:rowOff>276225</xdr:rowOff>
        </xdr:to>
        <xdr:sp macro="" textlink="">
          <xdr:nvSpPr>
            <xdr:cNvPr id="104470" name="Button 22" descr="Add Rows" hidden="1">
              <a:extLst>
                <a:ext uri="{63B3BB69-23CF-44E3-9099-C40C66FF867C}">
                  <a14:compatExt spid="_x0000_s104470"/>
                </a:ext>
                <a:ext uri="{FF2B5EF4-FFF2-40B4-BE49-F238E27FC236}">
                  <a16:creationId xmlns:a16="http://schemas.microsoft.com/office/drawing/2014/main" id="{00000000-0008-0000-2000-000016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1609725</xdr:colOff>
          <xdr:row>99</xdr:row>
          <xdr:rowOff>9525</xdr:rowOff>
        </xdr:from>
        <xdr:to>
          <xdr:col>7</xdr:col>
          <xdr:colOff>1181100</xdr:colOff>
          <xdr:row>99</xdr:row>
          <xdr:rowOff>276225</xdr:rowOff>
        </xdr:to>
        <xdr:sp macro="" textlink="">
          <xdr:nvSpPr>
            <xdr:cNvPr id="104471" name="Button 23" descr="Add Rows" hidden="1">
              <a:extLst>
                <a:ext uri="{63B3BB69-23CF-44E3-9099-C40C66FF867C}">
                  <a14:compatExt spid="_x0000_s104471"/>
                </a:ext>
                <a:ext uri="{FF2B5EF4-FFF2-40B4-BE49-F238E27FC236}">
                  <a16:creationId xmlns:a16="http://schemas.microsoft.com/office/drawing/2014/main" id="{00000000-0008-0000-2000-000017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1609725</xdr:colOff>
          <xdr:row>103</xdr:row>
          <xdr:rowOff>28575</xdr:rowOff>
        </xdr:from>
        <xdr:to>
          <xdr:col>7</xdr:col>
          <xdr:colOff>1181100</xdr:colOff>
          <xdr:row>103</xdr:row>
          <xdr:rowOff>295275</xdr:rowOff>
        </xdr:to>
        <xdr:sp macro="" textlink="">
          <xdr:nvSpPr>
            <xdr:cNvPr id="104472" name="Button 24" descr="Add Rows" hidden="1">
              <a:extLst>
                <a:ext uri="{63B3BB69-23CF-44E3-9099-C40C66FF867C}">
                  <a14:compatExt spid="_x0000_s104472"/>
                </a:ext>
                <a:ext uri="{FF2B5EF4-FFF2-40B4-BE49-F238E27FC236}">
                  <a16:creationId xmlns:a16="http://schemas.microsoft.com/office/drawing/2014/main" id="{00000000-0008-0000-2000-000018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1609725</xdr:colOff>
          <xdr:row>107</xdr:row>
          <xdr:rowOff>28575</xdr:rowOff>
        </xdr:from>
        <xdr:to>
          <xdr:col>7</xdr:col>
          <xdr:colOff>1181100</xdr:colOff>
          <xdr:row>107</xdr:row>
          <xdr:rowOff>295275</xdr:rowOff>
        </xdr:to>
        <xdr:sp macro="" textlink="">
          <xdr:nvSpPr>
            <xdr:cNvPr id="104473" name="Button 25" descr="Add Rows" hidden="1">
              <a:extLst>
                <a:ext uri="{63B3BB69-23CF-44E3-9099-C40C66FF867C}">
                  <a14:compatExt spid="_x0000_s104473"/>
                </a:ext>
                <a:ext uri="{FF2B5EF4-FFF2-40B4-BE49-F238E27FC236}">
                  <a16:creationId xmlns:a16="http://schemas.microsoft.com/office/drawing/2014/main" id="{00000000-0008-0000-2000-000019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1609725</xdr:colOff>
          <xdr:row>111</xdr:row>
          <xdr:rowOff>28575</xdr:rowOff>
        </xdr:from>
        <xdr:to>
          <xdr:col>7</xdr:col>
          <xdr:colOff>1181100</xdr:colOff>
          <xdr:row>111</xdr:row>
          <xdr:rowOff>295275</xdr:rowOff>
        </xdr:to>
        <xdr:sp macro="" textlink="">
          <xdr:nvSpPr>
            <xdr:cNvPr id="104474" name="Button 26" descr="Add Rows" hidden="1">
              <a:extLst>
                <a:ext uri="{63B3BB69-23CF-44E3-9099-C40C66FF867C}">
                  <a14:compatExt spid="_x0000_s104474"/>
                </a:ext>
                <a:ext uri="{FF2B5EF4-FFF2-40B4-BE49-F238E27FC236}">
                  <a16:creationId xmlns:a16="http://schemas.microsoft.com/office/drawing/2014/main" id="{00000000-0008-0000-2000-00001A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1609725</xdr:colOff>
          <xdr:row>115</xdr:row>
          <xdr:rowOff>28575</xdr:rowOff>
        </xdr:from>
        <xdr:to>
          <xdr:col>7</xdr:col>
          <xdr:colOff>1181100</xdr:colOff>
          <xdr:row>115</xdr:row>
          <xdr:rowOff>295275</xdr:rowOff>
        </xdr:to>
        <xdr:sp macro="" textlink="">
          <xdr:nvSpPr>
            <xdr:cNvPr id="104475" name="Button 27" descr="Add Rows" hidden="1">
              <a:extLst>
                <a:ext uri="{63B3BB69-23CF-44E3-9099-C40C66FF867C}">
                  <a14:compatExt spid="_x0000_s104475"/>
                </a:ext>
                <a:ext uri="{FF2B5EF4-FFF2-40B4-BE49-F238E27FC236}">
                  <a16:creationId xmlns:a16="http://schemas.microsoft.com/office/drawing/2014/main" id="{00000000-0008-0000-2000-00001B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46</xdr:row>
          <xdr:rowOff>219075</xdr:rowOff>
        </xdr:from>
        <xdr:to>
          <xdr:col>7</xdr:col>
          <xdr:colOff>1190625</xdr:colOff>
          <xdr:row>46</xdr:row>
          <xdr:rowOff>485775</xdr:rowOff>
        </xdr:to>
        <xdr:sp macro="" textlink="">
          <xdr:nvSpPr>
            <xdr:cNvPr id="104478" name="Button 30" descr="Add Rows" hidden="1">
              <a:extLst>
                <a:ext uri="{63B3BB69-23CF-44E3-9099-C40C66FF867C}">
                  <a14:compatExt spid="_x0000_s104478"/>
                </a:ext>
                <a:ext uri="{FF2B5EF4-FFF2-40B4-BE49-F238E27FC236}">
                  <a16:creationId xmlns:a16="http://schemas.microsoft.com/office/drawing/2014/main" id="{00000000-0008-0000-2000-00001E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46</xdr:row>
          <xdr:rowOff>200025</xdr:rowOff>
        </xdr:from>
        <xdr:to>
          <xdr:col>7</xdr:col>
          <xdr:colOff>1190625</xdr:colOff>
          <xdr:row>46</xdr:row>
          <xdr:rowOff>466725</xdr:rowOff>
        </xdr:to>
        <xdr:sp macro="" textlink="">
          <xdr:nvSpPr>
            <xdr:cNvPr id="104479" name="Button 31" descr="Add Rows" hidden="1">
              <a:extLst>
                <a:ext uri="{63B3BB69-23CF-44E3-9099-C40C66FF867C}">
                  <a14:compatExt spid="_x0000_s104479"/>
                </a:ext>
                <a:ext uri="{FF2B5EF4-FFF2-40B4-BE49-F238E27FC236}">
                  <a16:creationId xmlns:a16="http://schemas.microsoft.com/office/drawing/2014/main" id="{00000000-0008-0000-2000-00001F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46</xdr:row>
          <xdr:rowOff>200025</xdr:rowOff>
        </xdr:from>
        <xdr:to>
          <xdr:col>7</xdr:col>
          <xdr:colOff>1190625</xdr:colOff>
          <xdr:row>46</xdr:row>
          <xdr:rowOff>466725</xdr:rowOff>
        </xdr:to>
        <xdr:sp macro="" textlink="">
          <xdr:nvSpPr>
            <xdr:cNvPr id="104482" name="Button 34" descr="Add Rows" hidden="1">
              <a:extLst>
                <a:ext uri="{63B3BB69-23CF-44E3-9099-C40C66FF867C}">
                  <a14:compatExt spid="_x0000_s104482"/>
                </a:ext>
                <a:ext uri="{FF2B5EF4-FFF2-40B4-BE49-F238E27FC236}">
                  <a16:creationId xmlns:a16="http://schemas.microsoft.com/office/drawing/2014/main" id="{00000000-0008-0000-2000-000022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50</xdr:row>
          <xdr:rowOff>190500</xdr:rowOff>
        </xdr:from>
        <xdr:to>
          <xdr:col>7</xdr:col>
          <xdr:colOff>1190625</xdr:colOff>
          <xdr:row>50</xdr:row>
          <xdr:rowOff>476250</xdr:rowOff>
        </xdr:to>
        <xdr:sp macro="" textlink="">
          <xdr:nvSpPr>
            <xdr:cNvPr id="104483" name="Button 35" descr="Add Rows" hidden="1">
              <a:extLst>
                <a:ext uri="{63B3BB69-23CF-44E3-9099-C40C66FF867C}">
                  <a14:compatExt spid="_x0000_s104483"/>
                </a:ext>
                <a:ext uri="{FF2B5EF4-FFF2-40B4-BE49-F238E27FC236}">
                  <a16:creationId xmlns:a16="http://schemas.microsoft.com/office/drawing/2014/main" id="{00000000-0008-0000-2000-000023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58</xdr:row>
          <xdr:rowOff>180975</xdr:rowOff>
        </xdr:from>
        <xdr:to>
          <xdr:col>7</xdr:col>
          <xdr:colOff>1190625</xdr:colOff>
          <xdr:row>58</xdr:row>
          <xdr:rowOff>447675</xdr:rowOff>
        </xdr:to>
        <xdr:sp macro="" textlink="">
          <xdr:nvSpPr>
            <xdr:cNvPr id="104484" name="Button 36" descr="Add Rows" hidden="1">
              <a:extLst>
                <a:ext uri="{63B3BB69-23CF-44E3-9099-C40C66FF867C}">
                  <a14:compatExt spid="_x0000_s104484"/>
                </a:ext>
                <a:ext uri="{FF2B5EF4-FFF2-40B4-BE49-F238E27FC236}">
                  <a16:creationId xmlns:a16="http://schemas.microsoft.com/office/drawing/2014/main" id="{00000000-0008-0000-2000-000024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58</xdr:row>
          <xdr:rowOff>257175</xdr:rowOff>
        </xdr:from>
        <xdr:to>
          <xdr:col>7</xdr:col>
          <xdr:colOff>1190625</xdr:colOff>
          <xdr:row>58</xdr:row>
          <xdr:rowOff>523875</xdr:rowOff>
        </xdr:to>
        <xdr:sp macro="" textlink="">
          <xdr:nvSpPr>
            <xdr:cNvPr id="104485" name="Button 37" descr="Add Rows" hidden="1">
              <a:extLst>
                <a:ext uri="{63B3BB69-23CF-44E3-9099-C40C66FF867C}">
                  <a14:compatExt spid="_x0000_s104485"/>
                </a:ext>
                <a:ext uri="{FF2B5EF4-FFF2-40B4-BE49-F238E27FC236}">
                  <a16:creationId xmlns:a16="http://schemas.microsoft.com/office/drawing/2014/main" id="{00000000-0008-0000-2000-000025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a:p>
              <a:pPr algn="ctr" rtl="0">
                <a:defRPr sz="1000"/>
              </a:pPr>
              <a:endParaRPr lang="en-IN" sz="1000" b="1" i="0" u="none" strike="noStrike" baseline="0">
                <a:solidFill>
                  <a:srgbClr val="000000"/>
                </a:solidFill>
                <a:latin typeface="Times New Roman"/>
                <a:cs typeface="Times New Roman"/>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62</xdr:row>
          <xdr:rowOff>257175</xdr:rowOff>
        </xdr:from>
        <xdr:to>
          <xdr:col>7</xdr:col>
          <xdr:colOff>1190625</xdr:colOff>
          <xdr:row>62</xdr:row>
          <xdr:rowOff>523875</xdr:rowOff>
        </xdr:to>
        <xdr:sp macro="" textlink="">
          <xdr:nvSpPr>
            <xdr:cNvPr id="104486" name="Button 38" descr="Add Rows" hidden="1">
              <a:extLst>
                <a:ext uri="{63B3BB69-23CF-44E3-9099-C40C66FF867C}">
                  <a14:compatExt spid="_x0000_s104486"/>
                </a:ext>
                <a:ext uri="{FF2B5EF4-FFF2-40B4-BE49-F238E27FC236}">
                  <a16:creationId xmlns:a16="http://schemas.microsoft.com/office/drawing/2014/main" id="{00000000-0008-0000-2000-000026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78</xdr:row>
          <xdr:rowOff>104775</xdr:rowOff>
        </xdr:from>
        <xdr:to>
          <xdr:col>7</xdr:col>
          <xdr:colOff>1190625</xdr:colOff>
          <xdr:row>78</xdr:row>
          <xdr:rowOff>371475</xdr:rowOff>
        </xdr:to>
        <xdr:sp macro="" textlink="">
          <xdr:nvSpPr>
            <xdr:cNvPr id="104490" name="Button 42" descr="Add Rows" hidden="1">
              <a:extLst>
                <a:ext uri="{63B3BB69-23CF-44E3-9099-C40C66FF867C}">
                  <a14:compatExt spid="_x0000_s104490"/>
                </a:ext>
                <a:ext uri="{FF2B5EF4-FFF2-40B4-BE49-F238E27FC236}">
                  <a16:creationId xmlns:a16="http://schemas.microsoft.com/office/drawing/2014/main" id="{00000000-0008-0000-2000-00002A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82</xdr:row>
          <xdr:rowOff>47625</xdr:rowOff>
        </xdr:from>
        <xdr:to>
          <xdr:col>7</xdr:col>
          <xdr:colOff>1190625</xdr:colOff>
          <xdr:row>82</xdr:row>
          <xdr:rowOff>314325</xdr:rowOff>
        </xdr:to>
        <xdr:sp macro="" textlink="">
          <xdr:nvSpPr>
            <xdr:cNvPr id="104491" name="Button 43" descr="Add Rows" hidden="1">
              <a:extLst>
                <a:ext uri="{63B3BB69-23CF-44E3-9099-C40C66FF867C}">
                  <a14:compatExt spid="_x0000_s104491"/>
                </a:ext>
                <a:ext uri="{FF2B5EF4-FFF2-40B4-BE49-F238E27FC236}">
                  <a16:creationId xmlns:a16="http://schemas.microsoft.com/office/drawing/2014/main" id="{00000000-0008-0000-2000-00002B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86</xdr:row>
          <xdr:rowOff>200025</xdr:rowOff>
        </xdr:from>
        <xdr:to>
          <xdr:col>7</xdr:col>
          <xdr:colOff>1190625</xdr:colOff>
          <xdr:row>86</xdr:row>
          <xdr:rowOff>466725</xdr:rowOff>
        </xdr:to>
        <xdr:sp macro="" textlink="">
          <xdr:nvSpPr>
            <xdr:cNvPr id="104492" name="Button 44" descr="Add Rows" hidden="1">
              <a:extLst>
                <a:ext uri="{63B3BB69-23CF-44E3-9099-C40C66FF867C}">
                  <a14:compatExt spid="_x0000_s104492"/>
                </a:ext>
                <a:ext uri="{FF2B5EF4-FFF2-40B4-BE49-F238E27FC236}">
                  <a16:creationId xmlns:a16="http://schemas.microsoft.com/office/drawing/2014/main" id="{00000000-0008-0000-2000-00002C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14</xdr:row>
          <xdr:rowOff>190500</xdr:rowOff>
        </xdr:from>
        <xdr:to>
          <xdr:col>7</xdr:col>
          <xdr:colOff>1190625</xdr:colOff>
          <xdr:row>15</xdr:row>
          <xdr:rowOff>0</xdr:rowOff>
        </xdr:to>
        <xdr:sp macro="" textlink="">
          <xdr:nvSpPr>
            <xdr:cNvPr id="104497" name="Button 49" hidden="1">
              <a:extLst>
                <a:ext uri="{63B3BB69-23CF-44E3-9099-C40C66FF867C}">
                  <a14:compatExt spid="_x0000_s104497"/>
                </a:ext>
                <a:ext uri="{FF2B5EF4-FFF2-40B4-BE49-F238E27FC236}">
                  <a16:creationId xmlns:a16="http://schemas.microsoft.com/office/drawing/2014/main" id="{00000000-0008-0000-2000-000031980100}"/>
                </a:ext>
              </a:extLst>
            </xdr:cNvPr>
            <xdr:cNvSpPr/>
          </xdr:nvSpPr>
          <xdr:spPr bwMode="auto">
            <a:xfrm>
              <a:off x="0" y="0"/>
              <a:ext cx="0" cy="0"/>
            </a:xfrm>
            <a:prstGeom prst="rect">
              <a:avLst/>
            </a:prstGeom>
            <a:noFill/>
            <a:ln w="9525">
              <a:miter lim="800000"/>
              <a:headEnd/>
              <a:tailEnd/>
            </a:ln>
          </xdr:spPr>
          <xdr:txBody>
            <a:bodyPr vertOverflow="clip" wrap="square" lIns="228600" tIns="45720" rIns="91440" bIns="45720"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1619250</xdr:colOff>
          <xdr:row>26</xdr:row>
          <xdr:rowOff>200025</xdr:rowOff>
        </xdr:from>
        <xdr:to>
          <xdr:col>7</xdr:col>
          <xdr:colOff>1190625</xdr:colOff>
          <xdr:row>26</xdr:row>
          <xdr:rowOff>466725</xdr:rowOff>
        </xdr:to>
        <xdr:sp macro="" textlink="">
          <xdr:nvSpPr>
            <xdr:cNvPr id="104499" name="Button 51" hidden="1">
              <a:extLst>
                <a:ext uri="{63B3BB69-23CF-44E3-9099-C40C66FF867C}">
                  <a14:compatExt spid="_x0000_s104499"/>
                </a:ext>
                <a:ext uri="{FF2B5EF4-FFF2-40B4-BE49-F238E27FC236}">
                  <a16:creationId xmlns:a16="http://schemas.microsoft.com/office/drawing/2014/main" id="{00000000-0008-0000-2000-0000339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3</xdr:row>
          <xdr:rowOff>133350</xdr:rowOff>
        </xdr:from>
        <xdr:to>
          <xdr:col>9</xdr:col>
          <xdr:colOff>1466850</xdr:colOff>
          <xdr:row>9</xdr:row>
          <xdr:rowOff>133350</xdr:rowOff>
        </xdr:to>
        <xdr:sp macro="" textlink="">
          <xdr:nvSpPr>
            <xdr:cNvPr id="104540" name="Button 92" hidden="1">
              <a:extLst>
                <a:ext uri="{63B3BB69-23CF-44E3-9099-C40C66FF867C}">
                  <a14:compatExt spid="_x0000_s104540"/>
                </a:ext>
                <a:ext uri="{FF2B5EF4-FFF2-40B4-BE49-F238E27FC236}">
                  <a16:creationId xmlns:a16="http://schemas.microsoft.com/office/drawing/2014/main" id="{00000000-0008-0000-2000-00005C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14</xdr:row>
          <xdr:rowOff>257175</xdr:rowOff>
        </xdr:from>
        <xdr:to>
          <xdr:col>9</xdr:col>
          <xdr:colOff>1466850</xdr:colOff>
          <xdr:row>15</xdr:row>
          <xdr:rowOff>57150</xdr:rowOff>
        </xdr:to>
        <xdr:sp macro="" textlink="">
          <xdr:nvSpPr>
            <xdr:cNvPr id="104541" name="Button 93" hidden="1">
              <a:extLst>
                <a:ext uri="{63B3BB69-23CF-44E3-9099-C40C66FF867C}">
                  <a14:compatExt spid="_x0000_s104541"/>
                </a:ext>
                <a:ext uri="{FF2B5EF4-FFF2-40B4-BE49-F238E27FC236}">
                  <a16:creationId xmlns:a16="http://schemas.microsoft.com/office/drawing/2014/main" id="{00000000-0008-0000-2000-00005D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2</xdr:row>
          <xdr:rowOff>0</xdr:rowOff>
        </xdr:from>
        <xdr:to>
          <xdr:col>9</xdr:col>
          <xdr:colOff>1466850</xdr:colOff>
          <xdr:row>3</xdr:row>
          <xdr:rowOff>114300</xdr:rowOff>
        </xdr:to>
        <xdr:sp macro="" textlink="">
          <xdr:nvSpPr>
            <xdr:cNvPr id="104542" name="Button 94" hidden="1">
              <a:extLst>
                <a:ext uri="{63B3BB69-23CF-44E3-9099-C40C66FF867C}">
                  <a14:compatExt spid="_x0000_s104542"/>
                </a:ext>
                <a:ext uri="{FF2B5EF4-FFF2-40B4-BE49-F238E27FC236}">
                  <a16:creationId xmlns:a16="http://schemas.microsoft.com/office/drawing/2014/main" id="{00000000-0008-0000-2000-00005E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9</xdr:row>
          <xdr:rowOff>152400</xdr:rowOff>
        </xdr:from>
        <xdr:to>
          <xdr:col>9</xdr:col>
          <xdr:colOff>1466850</xdr:colOff>
          <xdr:row>14</xdr:row>
          <xdr:rowOff>228600</xdr:rowOff>
        </xdr:to>
        <xdr:sp macro="" textlink="">
          <xdr:nvSpPr>
            <xdr:cNvPr id="104544" name="Button 96" hidden="1">
              <a:extLst>
                <a:ext uri="{63B3BB69-23CF-44E3-9099-C40C66FF867C}">
                  <a14:compatExt spid="_x0000_s104544"/>
                </a:ext>
                <a:ext uri="{FF2B5EF4-FFF2-40B4-BE49-F238E27FC236}">
                  <a16:creationId xmlns:a16="http://schemas.microsoft.com/office/drawing/2014/main" id="{00000000-0008-0000-2000-000060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22</xdr:row>
          <xdr:rowOff>152400</xdr:rowOff>
        </xdr:from>
        <xdr:to>
          <xdr:col>9</xdr:col>
          <xdr:colOff>1466850</xdr:colOff>
          <xdr:row>23</xdr:row>
          <xdr:rowOff>38100</xdr:rowOff>
        </xdr:to>
        <xdr:sp macro="" textlink="">
          <xdr:nvSpPr>
            <xdr:cNvPr id="104545" name="Button 97" hidden="1">
              <a:extLst>
                <a:ext uri="{63B3BB69-23CF-44E3-9099-C40C66FF867C}">
                  <a14:compatExt spid="_x0000_s104545"/>
                </a:ext>
                <a:ext uri="{FF2B5EF4-FFF2-40B4-BE49-F238E27FC236}">
                  <a16:creationId xmlns:a16="http://schemas.microsoft.com/office/drawing/2014/main" id="{00000000-0008-0000-2000-000061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17</xdr:row>
          <xdr:rowOff>57150</xdr:rowOff>
        </xdr:from>
        <xdr:to>
          <xdr:col>9</xdr:col>
          <xdr:colOff>1466850</xdr:colOff>
          <xdr:row>22</xdr:row>
          <xdr:rowOff>133350</xdr:rowOff>
        </xdr:to>
        <xdr:sp macro="" textlink="">
          <xdr:nvSpPr>
            <xdr:cNvPr id="104546" name="Button 98" hidden="1">
              <a:extLst>
                <a:ext uri="{63B3BB69-23CF-44E3-9099-C40C66FF867C}">
                  <a14:compatExt spid="_x0000_s104546"/>
                </a:ext>
                <a:ext uri="{FF2B5EF4-FFF2-40B4-BE49-F238E27FC236}">
                  <a16:creationId xmlns:a16="http://schemas.microsoft.com/office/drawing/2014/main" id="{00000000-0008-0000-2000-000062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95250</xdr:colOff>
          <xdr:row>15</xdr:row>
          <xdr:rowOff>66675</xdr:rowOff>
        </xdr:from>
        <xdr:to>
          <xdr:col>9</xdr:col>
          <xdr:colOff>1466850</xdr:colOff>
          <xdr:row>17</xdr:row>
          <xdr:rowOff>19050</xdr:rowOff>
        </xdr:to>
        <xdr:sp macro="" textlink="">
          <xdr:nvSpPr>
            <xdr:cNvPr id="104547" name="Button 99" hidden="1">
              <a:extLst>
                <a:ext uri="{63B3BB69-23CF-44E3-9099-C40C66FF867C}">
                  <a14:compatExt spid="_x0000_s104547"/>
                </a:ext>
                <a:ext uri="{FF2B5EF4-FFF2-40B4-BE49-F238E27FC236}">
                  <a16:creationId xmlns:a16="http://schemas.microsoft.com/office/drawing/2014/main" id="{00000000-0008-0000-2000-0000639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12</xdr:col>
          <xdr:colOff>123825</xdr:colOff>
          <xdr:row>16</xdr:row>
          <xdr:rowOff>238125</xdr:rowOff>
        </xdr:from>
        <xdr:to>
          <xdr:col>12</xdr:col>
          <xdr:colOff>1276350</xdr:colOff>
          <xdr:row>16</xdr:row>
          <xdr:rowOff>314325</xdr:rowOff>
        </xdr:to>
        <xdr:sp macro="" textlink="">
          <xdr:nvSpPr>
            <xdr:cNvPr id="30941" name="Button 221" hidden="1">
              <a:extLst>
                <a:ext uri="{63B3BB69-23CF-44E3-9099-C40C66FF867C}">
                  <a14:compatExt spid="_x0000_s30941"/>
                </a:ext>
                <a:ext uri="{FF2B5EF4-FFF2-40B4-BE49-F238E27FC236}">
                  <a16:creationId xmlns:a16="http://schemas.microsoft.com/office/drawing/2014/main" id="{00000000-0008-0000-2100-0000DD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Calculate Tax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2</xdr:row>
          <xdr:rowOff>295275</xdr:rowOff>
        </xdr:from>
        <xdr:to>
          <xdr:col>12</xdr:col>
          <xdr:colOff>1476375</xdr:colOff>
          <xdr:row>5</xdr:row>
          <xdr:rowOff>76200</xdr:rowOff>
        </xdr:to>
        <xdr:sp macro="" textlink="">
          <xdr:nvSpPr>
            <xdr:cNvPr id="30733" name="Button 13" hidden="1">
              <a:extLst>
                <a:ext uri="{63B3BB69-23CF-44E3-9099-C40C66FF867C}">
                  <a14:compatExt spid="_x0000_s30733"/>
                </a:ext>
                <a:ext uri="{FF2B5EF4-FFF2-40B4-BE49-F238E27FC236}">
                  <a16:creationId xmlns:a16="http://schemas.microsoft.com/office/drawing/2014/main" id="{00000000-0008-0000-2100-00000D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6</xdr:row>
          <xdr:rowOff>57150</xdr:rowOff>
        </xdr:from>
        <xdr:to>
          <xdr:col>12</xdr:col>
          <xdr:colOff>1476375</xdr:colOff>
          <xdr:row>8</xdr:row>
          <xdr:rowOff>19050</xdr:rowOff>
        </xdr:to>
        <xdr:sp macro="" textlink="">
          <xdr:nvSpPr>
            <xdr:cNvPr id="30735" name="Button 15" hidden="1">
              <a:extLst>
                <a:ext uri="{63B3BB69-23CF-44E3-9099-C40C66FF867C}">
                  <a14:compatExt spid="_x0000_s30735"/>
                </a:ext>
                <a:ext uri="{FF2B5EF4-FFF2-40B4-BE49-F238E27FC236}">
                  <a16:creationId xmlns:a16="http://schemas.microsoft.com/office/drawing/2014/main" id="{00000000-0008-0000-2100-00000F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114300</xdr:colOff>
          <xdr:row>2</xdr:row>
          <xdr:rowOff>0</xdr:rowOff>
        </xdr:from>
        <xdr:to>
          <xdr:col>12</xdr:col>
          <xdr:colOff>1485900</xdr:colOff>
          <xdr:row>2</xdr:row>
          <xdr:rowOff>266700</xdr:rowOff>
        </xdr:to>
        <xdr:sp macro="" textlink="">
          <xdr:nvSpPr>
            <xdr:cNvPr id="30736" name="Button 16" hidden="1">
              <a:extLst>
                <a:ext uri="{63B3BB69-23CF-44E3-9099-C40C66FF867C}">
                  <a14:compatExt spid="_x0000_s30736"/>
                </a:ext>
                <a:ext uri="{FF2B5EF4-FFF2-40B4-BE49-F238E27FC236}">
                  <a16:creationId xmlns:a16="http://schemas.microsoft.com/office/drawing/2014/main" id="{00000000-0008-0000-2100-000010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5</xdr:row>
          <xdr:rowOff>104775</xdr:rowOff>
        </xdr:from>
        <xdr:to>
          <xdr:col>12</xdr:col>
          <xdr:colOff>1476375</xdr:colOff>
          <xdr:row>6</xdr:row>
          <xdr:rowOff>28575</xdr:rowOff>
        </xdr:to>
        <xdr:sp macro="" textlink="">
          <xdr:nvSpPr>
            <xdr:cNvPr id="30738" name="Button 18" hidden="1">
              <a:extLst>
                <a:ext uri="{63B3BB69-23CF-44E3-9099-C40C66FF867C}">
                  <a14:compatExt spid="_x0000_s30738"/>
                </a:ext>
                <a:ext uri="{FF2B5EF4-FFF2-40B4-BE49-F238E27FC236}">
                  <a16:creationId xmlns:a16="http://schemas.microsoft.com/office/drawing/2014/main" id="{00000000-0008-0000-2100-000012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16</xdr:row>
          <xdr:rowOff>104775</xdr:rowOff>
        </xdr:from>
        <xdr:to>
          <xdr:col>12</xdr:col>
          <xdr:colOff>1476375</xdr:colOff>
          <xdr:row>16</xdr:row>
          <xdr:rowOff>381000</xdr:rowOff>
        </xdr:to>
        <xdr:sp macro="" textlink="">
          <xdr:nvSpPr>
            <xdr:cNvPr id="30739" name="Button 19" hidden="1">
              <a:extLst>
                <a:ext uri="{63B3BB69-23CF-44E3-9099-C40C66FF867C}">
                  <a14:compatExt spid="_x0000_s30739"/>
                </a:ext>
                <a:ext uri="{FF2B5EF4-FFF2-40B4-BE49-F238E27FC236}">
                  <a16:creationId xmlns:a16="http://schemas.microsoft.com/office/drawing/2014/main" id="{00000000-0008-0000-2100-000013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10</xdr:row>
          <xdr:rowOff>0</xdr:rowOff>
        </xdr:from>
        <xdr:to>
          <xdr:col>12</xdr:col>
          <xdr:colOff>1476375</xdr:colOff>
          <xdr:row>16</xdr:row>
          <xdr:rowOff>95250</xdr:rowOff>
        </xdr:to>
        <xdr:sp macro="" textlink="">
          <xdr:nvSpPr>
            <xdr:cNvPr id="30740" name="Button 20" hidden="1">
              <a:extLst>
                <a:ext uri="{63B3BB69-23CF-44E3-9099-C40C66FF867C}">
                  <a14:compatExt spid="_x0000_s30740"/>
                </a:ext>
                <a:ext uri="{FF2B5EF4-FFF2-40B4-BE49-F238E27FC236}">
                  <a16:creationId xmlns:a16="http://schemas.microsoft.com/office/drawing/2014/main" id="{00000000-0008-0000-2100-000014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104775</xdr:colOff>
          <xdr:row>8</xdr:row>
          <xdr:rowOff>28575</xdr:rowOff>
        </xdr:from>
        <xdr:to>
          <xdr:col>12</xdr:col>
          <xdr:colOff>1476375</xdr:colOff>
          <xdr:row>9</xdr:row>
          <xdr:rowOff>142875</xdr:rowOff>
        </xdr:to>
        <xdr:sp macro="" textlink="">
          <xdr:nvSpPr>
            <xdr:cNvPr id="30741" name="Button 21" hidden="1">
              <a:extLst>
                <a:ext uri="{63B3BB69-23CF-44E3-9099-C40C66FF867C}">
                  <a14:compatExt spid="_x0000_s30741"/>
                </a:ext>
                <a:ext uri="{FF2B5EF4-FFF2-40B4-BE49-F238E27FC236}">
                  <a16:creationId xmlns:a16="http://schemas.microsoft.com/office/drawing/2014/main" id="{00000000-0008-0000-2100-000015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47625</xdr:rowOff>
        </xdr:from>
        <xdr:to>
          <xdr:col>4</xdr:col>
          <xdr:colOff>762000</xdr:colOff>
          <xdr:row>13</xdr:row>
          <xdr:rowOff>123825</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2200-000005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4</xdr:row>
          <xdr:rowOff>142875</xdr:rowOff>
        </xdr:from>
        <xdr:to>
          <xdr:col>11</xdr:col>
          <xdr:colOff>371475</xdr:colOff>
          <xdr:row>5</xdr:row>
          <xdr:rowOff>76200</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2200-000004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76200</xdr:rowOff>
        </xdr:from>
        <xdr:to>
          <xdr:col>4</xdr:col>
          <xdr:colOff>1371600</xdr:colOff>
          <xdr:row>109</xdr:row>
          <xdr:rowOff>28575</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2200-000006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7</xdr:row>
          <xdr:rowOff>95250</xdr:rowOff>
        </xdr:from>
        <xdr:to>
          <xdr:col>11</xdr:col>
          <xdr:colOff>371475</xdr:colOff>
          <xdr:row>9</xdr:row>
          <xdr:rowOff>38100</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2200-00000B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2</xdr:row>
          <xdr:rowOff>104775</xdr:rowOff>
        </xdr:from>
        <xdr:to>
          <xdr:col>11</xdr:col>
          <xdr:colOff>371475</xdr:colOff>
          <xdr:row>4</xdr:row>
          <xdr:rowOff>114300</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2200-00000C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5</xdr:row>
          <xdr:rowOff>104775</xdr:rowOff>
        </xdr:from>
        <xdr:to>
          <xdr:col>11</xdr:col>
          <xdr:colOff>371475</xdr:colOff>
          <xdr:row>7</xdr:row>
          <xdr:rowOff>57150</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2200-00000E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9</xdr:row>
          <xdr:rowOff>66675</xdr:rowOff>
        </xdr:from>
        <xdr:to>
          <xdr:col>11</xdr:col>
          <xdr:colOff>371475</xdr:colOff>
          <xdr:row>11</xdr:row>
          <xdr:rowOff>19050</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2200-00001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13</xdr:row>
          <xdr:rowOff>0</xdr:rowOff>
        </xdr:from>
        <xdr:to>
          <xdr:col>11</xdr:col>
          <xdr:colOff>371475</xdr:colOff>
          <xdr:row>15</xdr:row>
          <xdr:rowOff>95250</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2200-00000F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95250</xdr:colOff>
          <xdr:row>11</xdr:row>
          <xdr:rowOff>57150</xdr:rowOff>
        </xdr:from>
        <xdr:to>
          <xdr:col>11</xdr:col>
          <xdr:colOff>371475</xdr:colOff>
          <xdr:row>12</xdr:row>
          <xdr:rowOff>171450</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2200-000010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171450</xdr:colOff>
          <xdr:row>2</xdr:row>
          <xdr:rowOff>133350</xdr:rowOff>
        </xdr:from>
        <xdr:to>
          <xdr:col>11</xdr:col>
          <xdr:colOff>1543050</xdr:colOff>
          <xdr:row>4</xdr:row>
          <xdr:rowOff>76200</xdr:rowOff>
        </xdr:to>
        <xdr:sp macro="" textlink="">
          <xdr:nvSpPr>
            <xdr:cNvPr id="87041" name="Button 1" hidden="1">
              <a:extLst>
                <a:ext uri="{63B3BB69-23CF-44E3-9099-C40C66FF867C}">
                  <a14:compatExt spid="_x0000_s87041"/>
                </a:ext>
                <a:ext uri="{FF2B5EF4-FFF2-40B4-BE49-F238E27FC236}">
                  <a16:creationId xmlns:a16="http://schemas.microsoft.com/office/drawing/2014/main" id="{00000000-0008-0000-2300-000001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5</xdr:row>
          <xdr:rowOff>247650</xdr:rowOff>
        </xdr:from>
        <xdr:to>
          <xdr:col>11</xdr:col>
          <xdr:colOff>1543050</xdr:colOff>
          <xdr:row>5</xdr:row>
          <xdr:rowOff>514350</xdr:rowOff>
        </xdr:to>
        <xdr:sp macro="" textlink="">
          <xdr:nvSpPr>
            <xdr:cNvPr id="87043" name="Button 3" hidden="1">
              <a:extLst>
                <a:ext uri="{63B3BB69-23CF-44E3-9099-C40C66FF867C}">
                  <a14:compatExt spid="_x0000_s87043"/>
                </a:ext>
                <a:ext uri="{FF2B5EF4-FFF2-40B4-BE49-F238E27FC236}">
                  <a16:creationId xmlns:a16="http://schemas.microsoft.com/office/drawing/2014/main" id="{00000000-0008-0000-2300-000003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0</xdr:row>
          <xdr:rowOff>171450</xdr:rowOff>
        </xdr:from>
        <xdr:to>
          <xdr:col>11</xdr:col>
          <xdr:colOff>1543050</xdr:colOff>
          <xdr:row>2</xdr:row>
          <xdr:rowOff>104775</xdr:rowOff>
        </xdr:to>
        <xdr:sp macro="" textlink="">
          <xdr:nvSpPr>
            <xdr:cNvPr id="87044" name="Button 4" hidden="1">
              <a:extLst>
                <a:ext uri="{63B3BB69-23CF-44E3-9099-C40C66FF867C}">
                  <a14:compatExt spid="_x0000_s87044"/>
                </a:ext>
                <a:ext uri="{FF2B5EF4-FFF2-40B4-BE49-F238E27FC236}">
                  <a16:creationId xmlns:a16="http://schemas.microsoft.com/office/drawing/2014/main" id="{00000000-0008-0000-2300-000004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4</xdr:row>
          <xdr:rowOff>104775</xdr:rowOff>
        </xdr:from>
        <xdr:to>
          <xdr:col>11</xdr:col>
          <xdr:colOff>1543050</xdr:colOff>
          <xdr:row>5</xdr:row>
          <xdr:rowOff>219075</xdr:rowOff>
        </xdr:to>
        <xdr:sp macro="" textlink="">
          <xdr:nvSpPr>
            <xdr:cNvPr id="87046" name="Button 6" hidden="1">
              <a:extLst>
                <a:ext uri="{63B3BB69-23CF-44E3-9099-C40C66FF867C}">
                  <a14:compatExt spid="_x0000_s87046"/>
                </a:ext>
                <a:ext uri="{FF2B5EF4-FFF2-40B4-BE49-F238E27FC236}">
                  <a16:creationId xmlns:a16="http://schemas.microsoft.com/office/drawing/2014/main" id="{00000000-0008-0000-2300-000006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7</xdr:row>
          <xdr:rowOff>247650</xdr:rowOff>
        </xdr:from>
        <xdr:to>
          <xdr:col>11</xdr:col>
          <xdr:colOff>1543050</xdr:colOff>
          <xdr:row>7</xdr:row>
          <xdr:rowOff>514350</xdr:rowOff>
        </xdr:to>
        <xdr:sp macro="" textlink="">
          <xdr:nvSpPr>
            <xdr:cNvPr id="87047" name="Button 7" hidden="1">
              <a:extLst>
                <a:ext uri="{63B3BB69-23CF-44E3-9099-C40C66FF867C}">
                  <a14:compatExt spid="_x0000_s87047"/>
                </a:ext>
                <a:ext uri="{FF2B5EF4-FFF2-40B4-BE49-F238E27FC236}">
                  <a16:creationId xmlns:a16="http://schemas.microsoft.com/office/drawing/2014/main" id="{00000000-0008-0000-2300-000007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6</xdr:row>
          <xdr:rowOff>133350</xdr:rowOff>
        </xdr:from>
        <xdr:to>
          <xdr:col>11</xdr:col>
          <xdr:colOff>1543050</xdr:colOff>
          <xdr:row>7</xdr:row>
          <xdr:rowOff>209550</xdr:rowOff>
        </xdr:to>
        <xdr:sp macro="" textlink="">
          <xdr:nvSpPr>
            <xdr:cNvPr id="87048" name="Button 8" hidden="1">
              <a:extLst>
                <a:ext uri="{63B3BB69-23CF-44E3-9099-C40C66FF867C}">
                  <a14:compatExt spid="_x0000_s87048"/>
                </a:ext>
                <a:ext uri="{FF2B5EF4-FFF2-40B4-BE49-F238E27FC236}">
                  <a16:creationId xmlns:a16="http://schemas.microsoft.com/office/drawing/2014/main" id="{00000000-0008-0000-2300-000008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171450</xdr:colOff>
          <xdr:row>5</xdr:row>
          <xdr:rowOff>552450</xdr:rowOff>
        </xdr:from>
        <xdr:to>
          <xdr:col>11</xdr:col>
          <xdr:colOff>1543050</xdr:colOff>
          <xdr:row>6</xdr:row>
          <xdr:rowOff>104775</xdr:rowOff>
        </xdr:to>
        <xdr:sp macro="" textlink="">
          <xdr:nvSpPr>
            <xdr:cNvPr id="87049" name="Button 9" hidden="1">
              <a:extLst>
                <a:ext uri="{63B3BB69-23CF-44E3-9099-C40C66FF867C}">
                  <a14:compatExt spid="_x0000_s87049"/>
                </a:ext>
                <a:ext uri="{FF2B5EF4-FFF2-40B4-BE49-F238E27FC236}">
                  <a16:creationId xmlns:a16="http://schemas.microsoft.com/office/drawing/2014/main" id="{00000000-0008-0000-2300-0000095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95250</xdr:colOff>
          <xdr:row>2</xdr:row>
          <xdr:rowOff>104775</xdr:rowOff>
        </xdr:from>
        <xdr:to>
          <xdr:col>13</xdr:col>
          <xdr:colOff>1466850</xdr:colOff>
          <xdr:row>4</xdr:row>
          <xdr:rowOff>57150</xdr:rowOff>
        </xdr:to>
        <xdr:sp macro="" textlink="">
          <xdr:nvSpPr>
            <xdr:cNvPr id="88065" name="Button 1" hidden="1">
              <a:extLst>
                <a:ext uri="{63B3BB69-23CF-44E3-9099-C40C66FF867C}">
                  <a14:compatExt spid="_x0000_s88065"/>
                </a:ext>
                <a:ext uri="{FF2B5EF4-FFF2-40B4-BE49-F238E27FC236}">
                  <a16:creationId xmlns:a16="http://schemas.microsoft.com/office/drawing/2014/main" id="{00000000-0008-0000-2400-000001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5</xdr:row>
          <xdr:rowOff>219075</xdr:rowOff>
        </xdr:from>
        <xdr:to>
          <xdr:col>13</xdr:col>
          <xdr:colOff>1466850</xdr:colOff>
          <xdr:row>6</xdr:row>
          <xdr:rowOff>171450</xdr:rowOff>
        </xdr:to>
        <xdr:sp macro="" textlink="">
          <xdr:nvSpPr>
            <xdr:cNvPr id="88067" name="Button 3" hidden="1">
              <a:extLst>
                <a:ext uri="{63B3BB69-23CF-44E3-9099-C40C66FF867C}">
                  <a14:compatExt spid="_x0000_s88067"/>
                </a:ext>
                <a:ext uri="{FF2B5EF4-FFF2-40B4-BE49-F238E27FC236}">
                  <a16:creationId xmlns:a16="http://schemas.microsoft.com/office/drawing/2014/main" id="{00000000-0008-0000-2400-000003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1</xdr:row>
          <xdr:rowOff>0</xdr:rowOff>
        </xdr:from>
        <xdr:to>
          <xdr:col>13</xdr:col>
          <xdr:colOff>1466850</xdr:colOff>
          <xdr:row>2</xdr:row>
          <xdr:rowOff>95250</xdr:rowOff>
        </xdr:to>
        <xdr:sp macro="" textlink="">
          <xdr:nvSpPr>
            <xdr:cNvPr id="88068" name="Button 4" hidden="1">
              <a:extLst>
                <a:ext uri="{63B3BB69-23CF-44E3-9099-C40C66FF867C}">
                  <a14:compatExt spid="_x0000_s88068"/>
                </a:ext>
                <a:ext uri="{FF2B5EF4-FFF2-40B4-BE49-F238E27FC236}">
                  <a16:creationId xmlns:a16="http://schemas.microsoft.com/office/drawing/2014/main" id="{00000000-0008-0000-2400-000004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4</xdr:row>
          <xdr:rowOff>95250</xdr:rowOff>
        </xdr:from>
        <xdr:to>
          <xdr:col>13</xdr:col>
          <xdr:colOff>1466850</xdr:colOff>
          <xdr:row>5</xdr:row>
          <xdr:rowOff>190500</xdr:rowOff>
        </xdr:to>
        <xdr:sp macro="" textlink="">
          <xdr:nvSpPr>
            <xdr:cNvPr id="88070" name="Button 6" hidden="1">
              <a:extLst>
                <a:ext uri="{63B3BB69-23CF-44E3-9099-C40C66FF867C}">
                  <a14:compatExt spid="_x0000_s88070"/>
                </a:ext>
                <a:ext uri="{FF2B5EF4-FFF2-40B4-BE49-F238E27FC236}">
                  <a16:creationId xmlns:a16="http://schemas.microsoft.com/office/drawing/2014/main" id="{00000000-0008-0000-2400-000006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7</xdr:row>
          <xdr:rowOff>447675</xdr:rowOff>
        </xdr:from>
        <xdr:to>
          <xdr:col>13</xdr:col>
          <xdr:colOff>1466850</xdr:colOff>
          <xdr:row>7</xdr:row>
          <xdr:rowOff>723900</xdr:rowOff>
        </xdr:to>
        <xdr:sp macro="" textlink="">
          <xdr:nvSpPr>
            <xdr:cNvPr id="88071" name="Button 7" hidden="1">
              <a:extLst>
                <a:ext uri="{63B3BB69-23CF-44E3-9099-C40C66FF867C}">
                  <a14:compatExt spid="_x0000_s88071"/>
                </a:ext>
                <a:ext uri="{FF2B5EF4-FFF2-40B4-BE49-F238E27FC236}">
                  <a16:creationId xmlns:a16="http://schemas.microsoft.com/office/drawing/2014/main" id="{00000000-0008-0000-2400-000007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7</xdr:row>
          <xdr:rowOff>152400</xdr:rowOff>
        </xdr:from>
        <xdr:to>
          <xdr:col>13</xdr:col>
          <xdr:colOff>1466850</xdr:colOff>
          <xdr:row>7</xdr:row>
          <xdr:rowOff>419100</xdr:rowOff>
        </xdr:to>
        <xdr:sp macro="" textlink="">
          <xdr:nvSpPr>
            <xdr:cNvPr id="88072" name="Button 8" hidden="1">
              <a:extLst>
                <a:ext uri="{63B3BB69-23CF-44E3-9099-C40C66FF867C}">
                  <a14:compatExt spid="_x0000_s88072"/>
                </a:ext>
                <a:ext uri="{FF2B5EF4-FFF2-40B4-BE49-F238E27FC236}">
                  <a16:creationId xmlns:a16="http://schemas.microsoft.com/office/drawing/2014/main" id="{00000000-0008-0000-2400-000008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95250</xdr:colOff>
          <xdr:row>6</xdr:row>
          <xdr:rowOff>180975</xdr:rowOff>
        </xdr:from>
        <xdr:to>
          <xdr:col>13</xdr:col>
          <xdr:colOff>1466850</xdr:colOff>
          <xdr:row>7</xdr:row>
          <xdr:rowOff>133350</xdr:rowOff>
        </xdr:to>
        <xdr:sp macro="" textlink="">
          <xdr:nvSpPr>
            <xdr:cNvPr id="88073" name="Button 9" hidden="1">
              <a:extLst>
                <a:ext uri="{63B3BB69-23CF-44E3-9099-C40C66FF867C}">
                  <a14:compatExt spid="_x0000_s88073"/>
                </a:ext>
                <a:ext uri="{FF2B5EF4-FFF2-40B4-BE49-F238E27FC236}">
                  <a16:creationId xmlns:a16="http://schemas.microsoft.com/office/drawing/2014/main" id="{00000000-0008-0000-2400-000009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142875</xdr:colOff>
          <xdr:row>2</xdr:row>
          <xdr:rowOff>133350</xdr:rowOff>
        </xdr:from>
        <xdr:to>
          <xdr:col>11</xdr:col>
          <xdr:colOff>1514475</xdr:colOff>
          <xdr:row>6</xdr:row>
          <xdr:rowOff>76200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2500-000001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7</xdr:row>
          <xdr:rowOff>57150</xdr:rowOff>
        </xdr:from>
        <xdr:to>
          <xdr:col>11</xdr:col>
          <xdr:colOff>1514475</xdr:colOff>
          <xdr:row>8</xdr:row>
          <xdr:rowOff>133350</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2500-000003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1</xdr:row>
          <xdr:rowOff>19050</xdr:rowOff>
        </xdr:from>
        <xdr:to>
          <xdr:col>11</xdr:col>
          <xdr:colOff>1514475</xdr:colOff>
          <xdr:row>2</xdr:row>
          <xdr:rowOff>95250</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2500-000004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6</xdr:row>
          <xdr:rowOff>104775</xdr:rowOff>
        </xdr:from>
        <xdr:to>
          <xdr:col>11</xdr:col>
          <xdr:colOff>1514475</xdr:colOff>
          <xdr:row>7</xdr:row>
          <xdr:rowOff>28575</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2500-000006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10</xdr:row>
          <xdr:rowOff>95250</xdr:rowOff>
        </xdr:from>
        <xdr:to>
          <xdr:col>11</xdr:col>
          <xdr:colOff>1514475</xdr:colOff>
          <xdr:row>12</xdr:row>
          <xdr:rowOff>76200</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2500-000007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9</xdr:row>
          <xdr:rowOff>142875</xdr:rowOff>
        </xdr:from>
        <xdr:to>
          <xdr:col>11</xdr:col>
          <xdr:colOff>1514475</xdr:colOff>
          <xdr:row>10</xdr:row>
          <xdr:rowOff>57150</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2500-000008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8</xdr:row>
          <xdr:rowOff>171450</xdr:rowOff>
        </xdr:from>
        <xdr:to>
          <xdr:col>11</xdr:col>
          <xdr:colOff>1514475</xdr:colOff>
          <xdr:row>9</xdr:row>
          <xdr:rowOff>114300</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2500-000009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38100</xdr:rowOff>
        </xdr:from>
        <xdr:to>
          <xdr:col>5</xdr:col>
          <xdr:colOff>323850</xdr:colOff>
          <xdr:row>28</xdr:row>
          <xdr:rowOff>152400</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2500-00000A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38100</xdr:rowOff>
        </xdr:from>
        <xdr:to>
          <xdr:col>5</xdr:col>
          <xdr:colOff>323850</xdr:colOff>
          <xdr:row>19</xdr:row>
          <xdr:rowOff>323850</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2500-00000C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38100</xdr:rowOff>
        </xdr:from>
        <xdr:to>
          <xdr:col>5</xdr:col>
          <xdr:colOff>323850</xdr:colOff>
          <xdr:row>35</xdr:row>
          <xdr:rowOff>323850</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2500-0000126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704850</xdr:colOff>
          <xdr:row>0</xdr:row>
          <xdr:rowOff>28575</xdr:rowOff>
        </xdr:from>
        <xdr:to>
          <xdr:col>8</xdr:col>
          <xdr:colOff>457200</xdr:colOff>
          <xdr:row>1</xdr:row>
          <xdr:rowOff>66675</xdr:rowOff>
        </xdr:to>
        <xdr:sp macro="" textlink="">
          <xdr:nvSpPr>
            <xdr:cNvPr id="37935" name="Button 47" hidden="1">
              <a:extLst>
                <a:ext uri="{63B3BB69-23CF-44E3-9099-C40C66FF867C}">
                  <a14:compatExt spid="_x0000_s37935"/>
                </a:ext>
                <a:ext uri="{FF2B5EF4-FFF2-40B4-BE49-F238E27FC236}">
                  <a16:creationId xmlns:a16="http://schemas.microsoft.com/office/drawing/2014/main" id="{00000000-0008-0000-2600-00002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66675</xdr:rowOff>
        </xdr:from>
        <xdr:to>
          <xdr:col>6</xdr:col>
          <xdr:colOff>857250</xdr:colOff>
          <xdr:row>16</xdr:row>
          <xdr:rowOff>66675</xdr:rowOff>
        </xdr:to>
        <xdr:sp macro="" textlink="">
          <xdr:nvSpPr>
            <xdr:cNvPr id="37936" name="Button 48" hidden="1">
              <a:extLst>
                <a:ext uri="{63B3BB69-23CF-44E3-9099-C40C66FF867C}">
                  <a14:compatExt spid="_x0000_s37936"/>
                </a:ext>
                <a:ext uri="{FF2B5EF4-FFF2-40B4-BE49-F238E27FC236}">
                  <a16:creationId xmlns:a16="http://schemas.microsoft.com/office/drawing/2014/main" id="{00000000-0008-0000-2600-00003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0</xdr:row>
          <xdr:rowOff>28575</xdr:rowOff>
        </xdr:from>
        <xdr:to>
          <xdr:col>5</xdr:col>
          <xdr:colOff>19050</xdr:colOff>
          <xdr:row>1</xdr:row>
          <xdr:rowOff>95250</xdr:rowOff>
        </xdr:to>
        <xdr:sp macro="" textlink="">
          <xdr:nvSpPr>
            <xdr:cNvPr id="37939" name="Button 51" hidden="1">
              <a:extLst>
                <a:ext uri="{63B3BB69-23CF-44E3-9099-C40C66FF867C}">
                  <a14:compatExt spid="_x0000_s37939"/>
                </a:ext>
                <a:ext uri="{FF2B5EF4-FFF2-40B4-BE49-F238E27FC236}">
                  <a16:creationId xmlns:a16="http://schemas.microsoft.com/office/drawing/2014/main" id="{00000000-0008-0000-2600-00003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0</xdr:row>
          <xdr:rowOff>28575</xdr:rowOff>
        </xdr:from>
        <xdr:to>
          <xdr:col>5</xdr:col>
          <xdr:colOff>914400</xdr:colOff>
          <xdr:row>1</xdr:row>
          <xdr:rowOff>95250</xdr:rowOff>
        </xdr:to>
        <xdr:sp macro="" textlink="">
          <xdr:nvSpPr>
            <xdr:cNvPr id="37940" name="Button 52" hidden="1">
              <a:extLst>
                <a:ext uri="{63B3BB69-23CF-44E3-9099-C40C66FF867C}">
                  <a14:compatExt spid="_x0000_s37940"/>
                </a:ext>
                <a:ext uri="{FF2B5EF4-FFF2-40B4-BE49-F238E27FC236}">
                  <a16:creationId xmlns:a16="http://schemas.microsoft.com/office/drawing/2014/main" id="{00000000-0008-0000-2600-00003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0</xdr:row>
          <xdr:rowOff>28575</xdr:rowOff>
        </xdr:from>
        <xdr:to>
          <xdr:col>6</xdr:col>
          <xdr:colOff>828675</xdr:colOff>
          <xdr:row>1</xdr:row>
          <xdr:rowOff>95250</xdr:rowOff>
        </xdr:to>
        <xdr:sp macro="" textlink="">
          <xdr:nvSpPr>
            <xdr:cNvPr id="37941" name="Button 53" hidden="1">
              <a:extLst>
                <a:ext uri="{63B3BB69-23CF-44E3-9099-C40C66FF867C}">
                  <a14:compatExt spid="_x0000_s37941"/>
                </a:ext>
                <a:ext uri="{FF2B5EF4-FFF2-40B4-BE49-F238E27FC236}">
                  <a16:creationId xmlns:a16="http://schemas.microsoft.com/office/drawing/2014/main" id="{00000000-0008-0000-2600-00003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0</xdr:row>
          <xdr:rowOff>28575</xdr:rowOff>
        </xdr:from>
        <xdr:to>
          <xdr:col>7</xdr:col>
          <xdr:colOff>685800</xdr:colOff>
          <xdr:row>1</xdr:row>
          <xdr:rowOff>95250</xdr:rowOff>
        </xdr:to>
        <xdr:sp macro="" textlink="">
          <xdr:nvSpPr>
            <xdr:cNvPr id="37942" name="Button 54" hidden="1">
              <a:extLst>
                <a:ext uri="{63B3BB69-23CF-44E3-9099-C40C66FF867C}">
                  <a14:compatExt spid="_x0000_s37942"/>
                </a:ext>
                <a:ext uri="{FF2B5EF4-FFF2-40B4-BE49-F238E27FC236}">
                  <a16:creationId xmlns:a16="http://schemas.microsoft.com/office/drawing/2014/main" id="{00000000-0008-0000-2600-00003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Prev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0</xdr:row>
          <xdr:rowOff>28575</xdr:rowOff>
        </xdr:from>
        <xdr:to>
          <xdr:col>9</xdr:col>
          <xdr:colOff>228600</xdr:colOff>
          <xdr:row>1</xdr:row>
          <xdr:rowOff>95250</xdr:rowOff>
        </xdr:to>
        <xdr:sp macro="" textlink="">
          <xdr:nvSpPr>
            <xdr:cNvPr id="37943" name="Button 55" hidden="1">
              <a:extLst>
                <a:ext uri="{63B3BB69-23CF-44E3-9099-C40C66FF867C}">
                  <a14:compatExt spid="_x0000_s37943"/>
                </a:ext>
                <a:ext uri="{FF2B5EF4-FFF2-40B4-BE49-F238E27FC236}">
                  <a16:creationId xmlns:a16="http://schemas.microsoft.com/office/drawing/2014/main" id="{00000000-0008-0000-2600-00003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Generate XML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0</xdr:row>
          <xdr:rowOff>28575</xdr:rowOff>
        </xdr:from>
        <xdr:to>
          <xdr:col>10</xdr:col>
          <xdr:colOff>57150</xdr:colOff>
          <xdr:row>1</xdr:row>
          <xdr:rowOff>95250</xdr:rowOff>
        </xdr:to>
        <xdr:sp macro="" textlink="">
          <xdr:nvSpPr>
            <xdr:cNvPr id="37944" name="Button 56" hidden="1">
              <a:extLst>
                <a:ext uri="{63B3BB69-23CF-44E3-9099-C40C66FF867C}">
                  <a14:compatExt spid="_x0000_s37944"/>
                </a:ext>
                <a:ext uri="{FF2B5EF4-FFF2-40B4-BE49-F238E27FC236}">
                  <a16:creationId xmlns:a16="http://schemas.microsoft.com/office/drawing/2014/main" id="{00000000-0008-0000-2600-00003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0</xdr:row>
          <xdr:rowOff>28575</xdr:rowOff>
        </xdr:from>
        <xdr:to>
          <xdr:col>10</xdr:col>
          <xdr:colOff>971550</xdr:colOff>
          <xdr:row>1</xdr:row>
          <xdr:rowOff>95250</xdr:rowOff>
        </xdr:to>
        <xdr:sp macro="" textlink="">
          <xdr:nvSpPr>
            <xdr:cNvPr id="37945" name="Button 57" hidden="1">
              <a:extLst>
                <a:ext uri="{63B3BB69-23CF-44E3-9099-C40C66FF867C}">
                  <a14:compatExt spid="_x0000_s37945"/>
                </a:ext>
                <a:ext uri="{FF2B5EF4-FFF2-40B4-BE49-F238E27FC236}">
                  <a16:creationId xmlns:a16="http://schemas.microsoft.com/office/drawing/2014/main" id="{00000000-0008-0000-2600-00003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Help</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219075</xdr:colOff>
          <xdr:row>3</xdr:row>
          <xdr:rowOff>133350</xdr:rowOff>
        </xdr:from>
        <xdr:to>
          <xdr:col>16</xdr:col>
          <xdr:colOff>1590675</xdr:colOff>
          <xdr:row>3</xdr:row>
          <xdr:rowOff>400050</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2700-000001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219075</xdr:colOff>
          <xdr:row>5</xdr:row>
          <xdr:rowOff>0</xdr:rowOff>
        </xdr:from>
        <xdr:to>
          <xdr:col>16</xdr:col>
          <xdr:colOff>1590675</xdr:colOff>
          <xdr:row>6</xdr:row>
          <xdr:rowOff>114300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2700-000002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219075</xdr:colOff>
          <xdr:row>1</xdr:row>
          <xdr:rowOff>152400</xdr:rowOff>
        </xdr:from>
        <xdr:to>
          <xdr:col>16</xdr:col>
          <xdr:colOff>1590675</xdr:colOff>
          <xdr:row>3</xdr:row>
          <xdr:rowOff>104775</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2700-000003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219075</xdr:colOff>
          <xdr:row>3</xdr:row>
          <xdr:rowOff>409575</xdr:rowOff>
        </xdr:from>
        <xdr:to>
          <xdr:col>16</xdr:col>
          <xdr:colOff>1590675</xdr:colOff>
          <xdr:row>4</xdr:row>
          <xdr:rowOff>142875</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2700-000004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219075</xdr:colOff>
          <xdr:row>10</xdr:row>
          <xdr:rowOff>66675</xdr:rowOff>
        </xdr:from>
        <xdr:to>
          <xdr:col>16</xdr:col>
          <xdr:colOff>1590675</xdr:colOff>
          <xdr:row>12</xdr:row>
          <xdr:rowOff>19050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2700-000005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219075</xdr:colOff>
          <xdr:row>8</xdr:row>
          <xdr:rowOff>95250</xdr:rowOff>
        </xdr:from>
        <xdr:to>
          <xdr:col>16</xdr:col>
          <xdr:colOff>1590675</xdr:colOff>
          <xdr:row>10</xdr:row>
          <xdr:rowOff>57150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2700-000006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228600</xdr:colOff>
          <xdr:row>6</xdr:row>
          <xdr:rowOff>142875</xdr:rowOff>
        </xdr:from>
        <xdr:to>
          <xdr:col>16</xdr:col>
          <xdr:colOff>1600200</xdr:colOff>
          <xdr:row>8</xdr:row>
          <xdr:rowOff>95250</xdr:rowOff>
        </xdr:to>
        <xdr:sp macro="" textlink="">
          <xdr:nvSpPr>
            <xdr:cNvPr id="165895" name="Button 7" hidden="1">
              <a:extLst>
                <a:ext uri="{63B3BB69-23CF-44E3-9099-C40C66FF867C}">
                  <a14:compatExt spid="_x0000_s165895"/>
                </a:ext>
                <a:ext uri="{FF2B5EF4-FFF2-40B4-BE49-F238E27FC236}">
                  <a16:creationId xmlns:a16="http://schemas.microsoft.com/office/drawing/2014/main" id="{00000000-0008-0000-2700-000007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28575</xdr:rowOff>
        </xdr:from>
        <xdr:to>
          <xdr:col>4</xdr:col>
          <xdr:colOff>752475</xdr:colOff>
          <xdr:row>52</xdr:row>
          <xdr:rowOff>142875</xdr:rowOff>
        </xdr:to>
        <xdr:sp macro="" textlink="">
          <xdr:nvSpPr>
            <xdr:cNvPr id="165896" name="Button 8" hidden="1">
              <a:extLst>
                <a:ext uri="{63B3BB69-23CF-44E3-9099-C40C66FF867C}">
                  <a14:compatExt spid="_x0000_s165896"/>
                </a:ext>
                <a:ext uri="{FF2B5EF4-FFF2-40B4-BE49-F238E27FC236}">
                  <a16:creationId xmlns:a16="http://schemas.microsoft.com/office/drawing/2014/main" id="{00000000-0008-0000-2700-0000088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514350</xdr:colOff>
          <xdr:row>19</xdr:row>
          <xdr:rowOff>38100</xdr:rowOff>
        </xdr:from>
        <xdr:to>
          <xdr:col>4</xdr:col>
          <xdr:colOff>38100</xdr:colOff>
          <xdr:row>19</xdr:row>
          <xdr:rowOff>323850</xdr:rowOff>
        </xdr:to>
        <xdr:sp macro="" textlink="">
          <xdr:nvSpPr>
            <xdr:cNvPr id="247809" name="Button 1" hidden="1">
              <a:extLst>
                <a:ext uri="{63B3BB69-23CF-44E3-9099-C40C66FF867C}">
                  <a14:compatExt spid="_x0000_s247809"/>
                </a:ext>
                <a:ext uri="{FF2B5EF4-FFF2-40B4-BE49-F238E27FC236}">
                  <a16:creationId xmlns:a16="http://schemas.microsoft.com/office/drawing/2014/main" id="{00000000-0008-0000-2800-000001C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2</xdr:row>
          <xdr:rowOff>104775</xdr:rowOff>
        </xdr:from>
        <xdr:to>
          <xdr:col>19</xdr:col>
          <xdr:colOff>361950</xdr:colOff>
          <xdr:row>3</xdr:row>
          <xdr:rowOff>209550</xdr:rowOff>
        </xdr:to>
        <xdr:sp macro="" textlink="">
          <xdr:nvSpPr>
            <xdr:cNvPr id="247810" name="Button 2" hidden="1">
              <a:extLst>
                <a:ext uri="{63B3BB69-23CF-44E3-9099-C40C66FF867C}">
                  <a14:compatExt spid="_x0000_s247810"/>
                </a:ext>
                <a:ext uri="{FF2B5EF4-FFF2-40B4-BE49-F238E27FC236}">
                  <a16:creationId xmlns:a16="http://schemas.microsoft.com/office/drawing/2014/main" id="{00000000-0008-0000-2800-000002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7</xdr:row>
          <xdr:rowOff>171450</xdr:rowOff>
        </xdr:from>
        <xdr:to>
          <xdr:col>19</xdr:col>
          <xdr:colOff>361950</xdr:colOff>
          <xdr:row>9</xdr:row>
          <xdr:rowOff>19050</xdr:rowOff>
        </xdr:to>
        <xdr:sp macro="" textlink="">
          <xdr:nvSpPr>
            <xdr:cNvPr id="247811" name="Button 3" hidden="1">
              <a:extLst>
                <a:ext uri="{63B3BB69-23CF-44E3-9099-C40C66FF867C}">
                  <a14:compatExt spid="_x0000_s247811"/>
                </a:ext>
                <a:ext uri="{FF2B5EF4-FFF2-40B4-BE49-F238E27FC236}">
                  <a16:creationId xmlns:a16="http://schemas.microsoft.com/office/drawing/2014/main" id="{00000000-0008-0000-2800-000003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1</xdr:row>
          <xdr:rowOff>0</xdr:rowOff>
        </xdr:from>
        <xdr:to>
          <xdr:col>19</xdr:col>
          <xdr:colOff>361950</xdr:colOff>
          <xdr:row>2</xdr:row>
          <xdr:rowOff>95250</xdr:rowOff>
        </xdr:to>
        <xdr:sp macro="" textlink="">
          <xdr:nvSpPr>
            <xdr:cNvPr id="247812" name="Button 4" hidden="1">
              <a:extLst>
                <a:ext uri="{63B3BB69-23CF-44E3-9099-C40C66FF867C}">
                  <a14:compatExt spid="_x0000_s247812"/>
                </a:ext>
                <a:ext uri="{FF2B5EF4-FFF2-40B4-BE49-F238E27FC236}">
                  <a16:creationId xmlns:a16="http://schemas.microsoft.com/office/drawing/2014/main" id="{00000000-0008-0000-2800-000004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3</xdr:row>
          <xdr:rowOff>219075</xdr:rowOff>
        </xdr:from>
        <xdr:to>
          <xdr:col>19</xdr:col>
          <xdr:colOff>361950</xdr:colOff>
          <xdr:row>7</xdr:row>
          <xdr:rowOff>152400</xdr:rowOff>
        </xdr:to>
        <xdr:sp macro="" textlink="">
          <xdr:nvSpPr>
            <xdr:cNvPr id="247813" name="Button 5" hidden="1">
              <a:extLst>
                <a:ext uri="{63B3BB69-23CF-44E3-9099-C40C66FF867C}">
                  <a14:compatExt spid="_x0000_s247813"/>
                </a:ext>
                <a:ext uri="{FF2B5EF4-FFF2-40B4-BE49-F238E27FC236}">
                  <a16:creationId xmlns:a16="http://schemas.microsoft.com/office/drawing/2014/main" id="{00000000-0008-0000-2800-000005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12</xdr:row>
          <xdr:rowOff>38100</xdr:rowOff>
        </xdr:from>
        <xdr:to>
          <xdr:col>19</xdr:col>
          <xdr:colOff>361950</xdr:colOff>
          <xdr:row>13</xdr:row>
          <xdr:rowOff>133350</xdr:rowOff>
        </xdr:to>
        <xdr:sp macro="" textlink="">
          <xdr:nvSpPr>
            <xdr:cNvPr id="247814" name="Button 6" hidden="1">
              <a:extLst>
                <a:ext uri="{63B3BB69-23CF-44E3-9099-C40C66FF867C}">
                  <a14:compatExt spid="_x0000_s247814"/>
                </a:ext>
                <a:ext uri="{FF2B5EF4-FFF2-40B4-BE49-F238E27FC236}">
                  <a16:creationId xmlns:a16="http://schemas.microsoft.com/office/drawing/2014/main" id="{00000000-0008-0000-2800-000006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10</xdr:row>
          <xdr:rowOff>133350</xdr:rowOff>
        </xdr:from>
        <xdr:to>
          <xdr:col>19</xdr:col>
          <xdr:colOff>361950</xdr:colOff>
          <xdr:row>12</xdr:row>
          <xdr:rowOff>19050</xdr:rowOff>
        </xdr:to>
        <xdr:sp macro="" textlink="">
          <xdr:nvSpPr>
            <xdr:cNvPr id="247815" name="Button 7" hidden="1">
              <a:extLst>
                <a:ext uri="{63B3BB69-23CF-44E3-9099-C40C66FF867C}">
                  <a14:compatExt spid="_x0000_s247815"/>
                </a:ext>
                <a:ext uri="{FF2B5EF4-FFF2-40B4-BE49-F238E27FC236}">
                  <a16:creationId xmlns:a16="http://schemas.microsoft.com/office/drawing/2014/main" id="{00000000-0008-0000-2800-000007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209550</xdr:colOff>
          <xdr:row>9</xdr:row>
          <xdr:rowOff>28575</xdr:rowOff>
        </xdr:from>
        <xdr:to>
          <xdr:col>19</xdr:col>
          <xdr:colOff>361950</xdr:colOff>
          <xdr:row>10</xdr:row>
          <xdr:rowOff>104775</xdr:rowOff>
        </xdr:to>
        <xdr:sp macro="" textlink="">
          <xdr:nvSpPr>
            <xdr:cNvPr id="247816" name="Button 8" hidden="1">
              <a:extLst>
                <a:ext uri="{63B3BB69-23CF-44E3-9099-C40C66FF867C}">
                  <a14:compatExt spid="_x0000_s247816"/>
                </a:ext>
                <a:ext uri="{FF2B5EF4-FFF2-40B4-BE49-F238E27FC236}">
                  <a16:creationId xmlns:a16="http://schemas.microsoft.com/office/drawing/2014/main" id="{00000000-0008-0000-2800-000008C8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31</xdr:row>
          <xdr:rowOff>66675</xdr:rowOff>
        </xdr:from>
        <xdr:to>
          <xdr:col>5</xdr:col>
          <xdr:colOff>28575</xdr:colOff>
          <xdr:row>31</xdr:row>
          <xdr:rowOff>333375</xdr:rowOff>
        </xdr:to>
        <xdr:sp macro="" textlink="">
          <xdr:nvSpPr>
            <xdr:cNvPr id="108557" name="Button 13" hidden="1">
              <a:extLst>
                <a:ext uri="{63B3BB69-23CF-44E3-9099-C40C66FF867C}">
                  <a14:compatExt spid="_x0000_s108557"/>
                </a:ext>
                <a:ext uri="{FF2B5EF4-FFF2-40B4-BE49-F238E27FC236}">
                  <a16:creationId xmlns:a16="http://schemas.microsoft.com/office/drawing/2014/main" id="{00000000-0008-0000-2900-00000D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xdr:row>
          <xdr:rowOff>142875</xdr:rowOff>
        </xdr:from>
        <xdr:to>
          <xdr:col>14</xdr:col>
          <xdr:colOff>1524000</xdr:colOff>
          <xdr:row>4</xdr:row>
          <xdr:rowOff>419100</xdr:rowOff>
        </xdr:to>
        <xdr:sp macro="" textlink="">
          <xdr:nvSpPr>
            <xdr:cNvPr id="108570" name="Button 26" hidden="1">
              <a:extLst>
                <a:ext uri="{63B3BB69-23CF-44E3-9099-C40C66FF867C}">
                  <a14:compatExt spid="_x0000_s108570"/>
                </a:ext>
                <a:ext uri="{FF2B5EF4-FFF2-40B4-BE49-F238E27FC236}">
                  <a16:creationId xmlns:a16="http://schemas.microsoft.com/office/drawing/2014/main" id="{00000000-0008-0000-2900-00001A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2</xdr:row>
          <xdr:rowOff>19050</xdr:rowOff>
        </xdr:from>
        <xdr:to>
          <xdr:col>14</xdr:col>
          <xdr:colOff>1524000</xdr:colOff>
          <xdr:row>4</xdr:row>
          <xdr:rowOff>114300</xdr:rowOff>
        </xdr:to>
        <xdr:sp macro="" textlink="">
          <xdr:nvSpPr>
            <xdr:cNvPr id="108572" name="Button 28" hidden="1">
              <a:extLst>
                <a:ext uri="{63B3BB69-23CF-44E3-9099-C40C66FF867C}">
                  <a14:compatExt spid="_x0000_s108572"/>
                </a:ext>
                <a:ext uri="{FF2B5EF4-FFF2-40B4-BE49-F238E27FC236}">
                  <a16:creationId xmlns:a16="http://schemas.microsoft.com/office/drawing/2014/main" id="{00000000-0008-0000-2900-00001C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xdr:row>
          <xdr:rowOff>447675</xdr:rowOff>
        </xdr:from>
        <xdr:to>
          <xdr:col>14</xdr:col>
          <xdr:colOff>1524000</xdr:colOff>
          <xdr:row>4</xdr:row>
          <xdr:rowOff>723900</xdr:rowOff>
        </xdr:to>
        <xdr:sp macro="" textlink="">
          <xdr:nvSpPr>
            <xdr:cNvPr id="108574" name="Button 30" hidden="1">
              <a:extLst>
                <a:ext uri="{63B3BB69-23CF-44E3-9099-C40C66FF867C}">
                  <a14:compatExt spid="_x0000_s108574"/>
                </a:ext>
                <a:ext uri="{FF2B5EF4-FFF2-40B4-BE49-F238E27FC236}">
                  <a16:creationId xmlns:a16="http://schemas.microsoft.com/office/drawing/2014/main" id="{00000000-0008-0000-2900-00001E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xdr:row>
          <xdr:rowOff>752475</xdr:rowOff>
        </xdr:from>
        <xdr:to>
          <xdr:col>14</xdr:col>
          <xdr:colOff>1524000</xdr:colOff>
          <xdr:row>4</xdr:row>
          <xdr:rowOff>1028700</xdr:rowOff>
        </xdr:to>
        <xdr:sp macro="" textlink="">
          <xdr:nvSpPr>
            <xdr:cNvPr id="108575" name="Button 31" hidden="1">
              <a:extLst>
                <a:ext uri="{63B3BB69-23CF-44E3-9099-C40C66FF867C}">
                  <a14:compatExt spid="_x0000_s108575"/>
                </a:ext>
                <a:ext uri="{FF2B5EF4-FFF2-40B4-BE49-F238E27FC236}">
                  <a16:creationId xmlns:a16="http://schemas.microsoft.com/office/drawing/2014/main" id="{00000000-0008-0000-2900-00001F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4</xdr:row>
          <xdr:rowOff>1047750</xdr:rowOff>
        </xdr:from>
        <xdr:to>
          <xdr:col>14</xdr:col>
          <xdr:colOff>1524000</xdr:colOff>
          <xdr:row>6</xdr:row>
          <xdr:rowOff>19050</xdr:rowOff>
        </xdr:to>
        <xdr:sp macro="" textlink="">
          <xdr:nvSpPr>
            <xdr:cNvPr id="108576" name="Button 32" hidden="1">
              <a:extLst>
                <a:ext uri="{63B3BB69-23CF-44E3-9099-C40C66FF867C}">
                  <a14:compatExt spid="_x0000_s108576"/>
                </a:ext>
                <a:ext uri="{FF2B5EF4-FFF2-40B4-BE49-F238E27FC236}">
                  <a16:creationId xmlns:a16="http://schemas.microsoft.com/office/drawing/2014/main" id="{00000000-0008-0000-2900-000020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6</xdr:row>
          <xdr:rowOff>57150</xdr:rowOff>
        </xdr:from>
        <xdr:to>
          <xdr:col>14</xdr:col>
          <xdr:colOff>1524000</xdr:colOff>
          <xdr:row>8</xdr:row>
          <xdr:rowOff>38100</xdr:rowOff>
        </xdr:to>
        <xdr:sp macro="" textlink="">
          <xdr:nvSpPr>
            <xdr:cNvPr id="108577" name="Button 33" hidden="1">
              <a:extLst>
                <a:ext uri="{63B3BB69-23CF-44E3-9099-C40C66FF867C}">
                  <a14:compatExt spid="_x0000_s108577"/>
                </a:ext>
                <a:ext uri="{FF2B5EF4-FFF2-40B4-BE49-F238E27FC236}">
                  <a16:creationId xmlns:a16="http://schemas.microsoft.com/office/drawing/2014/main" id="{00000000-0008-0000-2900-000021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142875</xdr:colOff>
          <xdr:row>8</xdr:row>
          <xdr:rowOff>57150</xdr:rowOff>
        </xdr:from>
        <xdr:to>
          <xdr:col>14</xdr:col>
          <xdr:colOff>1514475</xdr:colOff>
          <xdr:row>10</xdr:row>
          <xdr:rowOff>57150</xdr:rowOff>
        </xdr:to>
        <xdr:sp macro="" textlink="">
          <xdr:nvSpPr>
            <xdr:cNvPr id="108578" name="Button 34" hidden="1">
              <a:extLst>
                <a:ext uri="{63B3BB69-23CF-44E3-9099-C40C66FF867C}">
                  <a14:compatExt spid="_x0000_s108578"/>
                </a:ext>
                <a:ext uri="{FF2B5EF4-FFF2-40B4-BE49-F238E27FC236}">
                  <a16:creationId xmlns:a16="http://schemas.microsoft.com/office/drawing/2014/main" id="{00000000-0008-0000-2900-000022A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447675</xdr:colOff>
          <xdr:row>4</xdr:row>
          <xdr:rowOff>19050</xdr:rowOff>
        </xdr:from>
        <xdr:to>
          <xdr:col>12</xdr:col>
          <xdr:colOff>628650</xdr:colOff>
          <xdr:row>5</xdr:row>
          <xdr:rowOff>133350</xdr:rowOff>
        </xdr:to>
        <xdr:sp macro="" textlink="">
          <xdr:nvSpPr>
            <xdr:cNvPr id="54288" name="Button 16" hidden="1">
              <a:extLst>
                <a:ext uri="{63B3BB69-23CF-44E3-9099-C40C66FF867C}">
                  <a14:compatExt spid="_x0000_s54288"/>
                </a:ext>
                <a:ext uri="{FF2B5EF4-FFF2-40B4-BE49-F238E27FC236}">
                  <a16:creationId xmlns:a16="http://schemas.microsoft.com/office/drawing/2014/main" id="{00000000-0008-0000-2A00-000010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38100</xdr:rowOff>
        </xdr:from>
        <xdr:to>
          <xdr:col>4</xdr:col>
          <xdr:colOff>600075</xdr:colOff>
          <xdr:row>89</xdr:row>
          <xdr:rowOff>152400</xdr:rowOff>
        </xdr:to>
        <xdr:sp macro="" textlink="">
          <xdr:nvSpPr>
            <xdr:cNvPr id="54290" name="Button 18" hidden="1">
              <a:extLst>
                <a:ext uri="{63B3BB69-23CF-44E3-9099-C40C66FF867C}">
                  <a14:compatExt spid="_x0000_s54290"/>
                </a:ext>
                <a:ext uri="{FF2B5EF4-FFF2-40B4-BE49-F238E27FC236}">
                  <a16:creationId xmlns:a16="http://schemas.microsoft.com/office/drawing/2014/main" id="{00000000-0008-0000-2A00-000012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38100</xdr:rowOff>
        </xdr:from>
        <xdr:to>
          <xdr:col>4</xdr:col>
          <xdr:colOff>600075</xdr:colOff>
          <xdr:row>104</xdr:row>
          <xdr:rowOff>152400</xdr:rowOff>
        </xdr:to>
        <xdr:sp macro="" textlink="">
          <xdr:nvSpPr>
            <xdr:cNvPr id="54291" name="Button 19" hidden="1">
              <a:extLst>
                <a:ext uri="{63B3BB69-23CF-44E3-9099-C40C66FF867C}">
                  <a14:compatExt spid="_x0000_s54291"/>
                </a:ext>
                <a:ext uri="{FF2B5EF4-FFF2-40B4-BE49-F238E27FC236}">
                  <a16:creationId xmlns:a16="http://schemas.microsoft.com/office/drawing/2014/main" id="{00000000-0008-0000-2A00-000013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38100</xdr:rowOff>
        </xdr:from>
        <xdr:to>
          <xdr:col>4</xdr:col>
          <xdr:colOff>600075</xdr:colOff>
          <xdr:row>119</xdr:row>
          <xdr:rowOff>152400</xdr:rowOff>
        </xdr:to>
        <xdr:sp macro="" textlink="">
          <xdr:nvSpPr>
            <xdr:cNvPr id="54292" name="Button 20" hidden="1">
              <a:extLst>
                <a:ext uri="{63B3BB69-23CF-44E3-9099-C40C66FF867C}">
                  <a14:compatExt spid="_x0000_s54292"/>
                </a:ext>
                <a:ext uri="{FF2B5EF4-FFF2-40B4-BE49-F238E27FC236}">
                  <a16:creationId xmlns:a16="http://schemas.microsoft.com/office/drawing/2014/main" id="{00000000-0008-0000-2A00-000014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38100</xdr:rowOff>
        </xdr:from>
        <xdr:to>
          <xdr:col>4</xdr:col>
          <xdr:colOff>600075</xdr:colOff>
          <xdr:row>136</xdr:row>
          <xdr:rowOff>0</xdr:rowOff>
        </xdr:to>
        <xdr:sp macro="" textlink="">
          <xdr:nvSpPr>
            <xdr:cNvPr id="54293" name="Button 21" hidden="1">
              <a:extLst>
                <a:ext uri="{63B3BB69-23CF-44E3-9099-C40C66FF867C}">
                  <a14:compatExt spid="_x0000_s54293"/>
                </a:ext>
                <a:ext uri="{FF2B5EF4-FFF2-40B4-BE49-F238E27FC236}">
                  <a16:creationId xmlns:a16="http://schemas.microsoft.com/office/drawing/2014/main" id="{00000000-0008-0000-2A00-000015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38100</xdr:rowOff>
        </xdr:from>
        <xdr:to>
          <xdr:col>4</xdr:col>
          <xdr:colOff>600075</xdr:colOff>
          <xdr:row>149</xdr:row>
          <xdr:rowOff>133350</xdr:rowOff>
        </xdr:to>
        <xdr:sp macro="" textlink="">
          <xdr:nvSpPr>
            <xdr:cNvPr id="54294" name="Button 22" hidden="1">
              <a:extLst>
                <a:ext uri="{63B3BB69-23CF-44E3-9099-C40C66FF867C}">
                  <a14:compatExt spid="_x0000_s54294"/>
                </a:ext>
                <a:ext uri="{FF2B5EF4-FFF2-40B4-BE49-F238E27FC236}">
                  <a16:creationId xmlns:a16="http://schemas.microsoft.com/office/drawing/2014/main" id="{00000000-0008-0000-2A00-000016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447675</xdr:colOff>
          <xdr:row>5</xdr:row>
          <xdr:rowOff>447675</xdr:rowOff>
        </xdr:from>
        <xdr:to>
          <xdr:col>12</xdr:col>
          <xdr:colOff>628650</xdr:colOff>
          <xdr:row>5</xdr:row>
          <xdr:rowOff>742950</xdr:rowOff>
        </xdr:to>
        <xdr:sp macro="" textlink="">
          <xdr:nvSpPr>
            <xdr:cNvPr id="54307" name="Button 35" hidden="1">
              <a:extLst>
                <a:ext uri="{63B3BB69-23CF-44E3-9099-C40C66FF867C}">
                  <a14:compatExt spid="_x0000_s54307"/>
                </a:ext>
                <a:ext uri="{FF2B5EF4-FFF2-40B4-BE49-F238E27FC236}">
                  <a16:creationId xmlns:a16="http://schemas.microsoft.com/office/drawing/2014/main" id="{00000000-0008-0000-2A00-000023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447675</xdr:colOff>
          <xdr:row>2</xdr:row>
          <xdr:rowOff>57150</xdr:rowOff>
        </xdr:from>
        <xdr:to>
          <xdr:col>12</xdr:col>
          <xdr:colOff>628650</xdr:colOff>
          <xdr:row>4</xdr:row>
          <xdr:rowOff>0</xdr:rowOff>
        </xdr:to>
        <xdr:sp macro="" textlink="">
          <xdr:nvSpPr>
            <xdr:cNvPr id="54308" name="Button 36" hidden="1">
              <a:extLst>
                <a:ext uri="{63B3BB69-23CF-44E3-9099-C40C66FF867C}">
                  <a14:compatExt spid="_x0000_s54308"/>
                </a:ext>
                <a:ext uri="{FF2B5EF4-FFF2-40B4-BE49-F238E27FC236}">
                  <a16:creationId xmlns:a16="http://schemas.microsoft.com/office/drawing/2014/main" id="{00000000-0008-0000-2A00-000024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447675</xdr:colOff>
          <xdr:row>6</xdr:row>
          <xdr:rowOff>142875</xdr:rowOff>
        </xdr:from>
        <xdr:to>
          <xdr:col>12</xdr:col>
          <xdr:colOff>628650</xdr:colOff>
          <xdr:row>8</xdr:row>
          <xdr:rowOff>28575</xdr:rowOff>
        </xdr:to>
        <xdr:sp macro="" textlink="">
          <xdr:nvSpPr>
            <xdr:cNvPr id="54310" name="Button 38" hidden="1">
              <a:extLst>
                <a:ext uri="{63B3BB69-23CF-44E3-9099-C40C66FF867C}">
                  <a14:compatExt spid="_x0000_s54310"/>
                </a:ext>
                <a:ext uri="{FF2B5EF4-FFF2-40B4-BE49-F238E27FC236}">
                  <a16:creationId xmlns:a16="http://schemas.microsoft.com/office/drawing/2014/main" id="{00000000-0008-0000-2A00-000026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447675</xdr:colOff>
          <xdr:row>5</xdr:row>
          <xdr:rowOff>1028700</xdr:rowOff>
        </xdr:from>
        <xdr:to>
          <xdr:col>12</xdr:col>
          <xdr:colOff>628650</xdr:colOff>
          <xdr:row>6</xdr:row>
          <xdr:rowOff>133350</xdr:rowOff>
        </xdr:to>
        <xdr:sp macro="" textlink="">
          <xdr:nvSpPr>
            <xdr:cNvPr id="54311" name="Button 39" hidden="1">
              <a:extLst>
                <a:ext uri="{63B3BB69-23CF-44E3-9099-C40C66FF867C}">
                  <a14:compatExt spid="_x0000_s54311"/>
                </a:ext>
                <a:ext uri="{FF2B5EF4-FFF2-40B4-BE49-F238E27FC236}">
                  <a16:creationId xmlns:a16="http://schemas.microsoft.com/office/drawing/2014/main" id="{00000000-0008-0000-2A00-000027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447675</xdr:colOff>
          <xdr:row>5</xdr:row>
          <xdr:rowOff>752475</xdr:rowOff>
        </xdr:from>
        <xdr:to>
          <xdr:col>12</xdr:col>
          <xdr:colOff>628650</xdr:colOff>
          <xdr:row>5</xdr:row>
          <xdr:rowOff>1009650</xdr:rowOff>
        </xdr:to>
        <xdr:sp macro="" textlink="">
          <xdr:nvSpPr>
            <xdr:cNvPr id="54312" name="Button 40" hidden="1">
              <a:extLst>
                <a:ext uri="{63B3BB69-23CF-44E3-9099-C40C66FF867C}">
                  <a14:compatExt spid="_x0000_s54312"/>
                </a:ext>
                <a:ext uri="{FF2B5EF4-FFF2-40B4-BE49-F238E27FC236}">
                  <a16:creationId xmlns:a16="http://schemas.microsoft.com/office/drawing/2014/main" id="{00000000-0008-0000-2A00-000028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447675</xdr:colOff>
          <xdr:row>5</xdr:row>
          <xdr:rowOff>152400</xdr:rowOff>
        </xdr:from>
        <xdr:to>
          <xdr:col>12</xdr:col>
          <xdr:colOff>628650</xdr:colOff>
          <xdr:row>5</xdr:row>
          <xdr:rowOff>438150</xdr:rowOff>
        </xdr:to>
        <xdr:sp macro="" textlink="">
          <xdr:nvSpPr>
            <xdr:cNvPr id="54313" name="Button 41" hidden="1">
              <a:extLst>
                <a:ext uri="{63B3BB69-23CF-44E3-9099-C40C66FF867C}">
                  <a14:compatExt spid="_x0000_s54313"/>
                </a:ext>
                <a:ext uri="{FF2B5EF4-FFF2-40B4-BE49-F238E27FC236}">
                  <a16:creationId xmlns:a16="http://schemas.microsoft.com/office/drawing/2014/main" id="{00000000-0008-0000-2A00-000029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95250</xdr:rowOff>
        </xdr:from>
        <xdr:to>
          <xdr:col>4</xdr:col>
          <xdr:colOff>628650</xdr:colOff>
          <xdr:row>161</xdr:row>
          <xdr:rowOff>38100</xdr:rowOff>
        </xdr:to>
        <xdr:sp macro="" textlink="">
          <xdr:nvSpPr>
            <xdr:cNvPr id="54343" name="Button 71" hidden="1">
              <a:extLst>
                <a:ext uri="{63B3BB69-23CF-44E3-9099-C40C66FF867C}">
                  <a14:compatExt spid="_x0000_s54343"/>
                </a:ext>
                <a:ext uri="{FF2B5EF4-FFF2-40B4-BE49-F238E27FC236}">
                  <a16:creationId xmlns:a16="http://schemas.microsoft.com/office/drawing/2014/main" id="{00000000-0008-0000-2A00-000047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38100</xdr:rowOff>
        </xdr:from>
        <xdr:to>
          <xdr:col>4</xdr:col>
          <xdr:colOff>600075</xdr:colOff>
          <xdr:row>32</xdr:row>
          <xdr:rowOff>19050</xdr:rowOff>
        </xdr:to>
        <xdr:sp macro="" textlink="">
          <xdr:nvSpPr>
            <xdr:cNvPr id="54351" name="Button 79" hidden="1">
              <a:extLst>
                <a:ext uri="{63B3BB69-23CF-44E3-9099-C40C66FF867C}">
                  <a14:compatExt spid="_x0000_s54351"/>
                </a:ext>
                <a:ext uri="{FF2B5EF4-FFF2-40B4-BE49-F238E27FC236}">
                  <a16:creationId xmlns:a16="http://schemas.microsoft.com/office/drawing/2014/main" id="{00000000-0008-0000-2A00-00004F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38100</xdr:rowOff>
        </xdr:from>
        <xdr:to>
          <xdr:col>4</xdr:col>
          <xdr:colOff>600075</xdr:colOff>
          <xdr:row>46</xdr:row>
          <xdr:rowOff>28575</xdr:rowOff>
        </xdr:to>
        <xdr:sp macro="" textlink="">
          <xdr:nvSpPr>
            <xdr:cNvPr id="54352" name="Button 80" hidden="1">
              <a:extLst>
                <a:ext uri="{63B3BB69-23CF-44E3-9099-C40C66FF867C}">
                  <a14:compatExt spid="_x0000_s54352"/>
                </a:ext>
                <a:ext uri="{FF2B5EF4-FFF2-40B4-BE49-F238E27FC236}">
                  <a16:creationId xmlns:a16="http://schemas.microsoft.com/office/drawing/2014/main" id="{00000000-0008-0000-2A00-000050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600075</xdr:colOff>
          <xdr:row>60</xdr:row>
          <xdr:rowOff>19050</xdr:rowOff>
        </xdr:to>
        <xdr:sp macro="" textlink="">
          <xdr:nvSpPr>
            <xdr:cNvPr id="54354" name="Button 82" hidden="1">
              <a:extLst>
                <a:ext uri="{63B3BB69-23CF-44E3-9099-C40C66FF867C}">
                  <a14:compatExt spid="_x0000_s54354"/>
                </a:ext>
                <a:ext uri="{FF2B5EF4-FFF2-40B4-BE49-F238E27FC236}">
                  <a16:creationId xmlns:a16="http://schemas.microsoft.com/office/drawing/2014/main" id="{00000000-0008-0000-2A00-000052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38100</xdr:rowOff>
        </xdr:from>
        <xdr:to>
          <xdr:col>4</xdr:col>
          <xdr:colOff>600075</xdr:colOff>
          <xdr:row>74</xdr:row>
          <xdr:rowOff>152400</xdr:rowOff>
        </xdr:to>
        <xdr:sp macro="" textlink="">
          <xdr:nvSpPr>
            <xdr:cNvPr id="54356" name="Button 84" hidden="1">
              <a:extLst>
                <a:ext uri="{63B3BB69-23CF-44E3-9099-C40C66FF867C}">
                  <a14:compatExt spid="_x0000_s54356"/>
                </a:ext>
                <a:ext uri="{FF2B5EF4-FFF2-40B4-BE49-F238E27FC236}">
                  <a16:creationId xmlns:a16="http://schemas.microsoft.com/office/drawing/2014/main" id="{00000000-0008-0000-2A00-000054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38100</xdr:rowOff>
        </xdr:from>
        <xdr:to>
          <xdr:col>4</xdr:col>
          <xdr:colOff>647700</xdr:colOff>
          <xdr:row>11</xdr:row>
          <xdr:rowOff>323850</xdr:rowOff>
        </xdr:to>
        <xdr:sp macro="" textlink="">
          <xdr:nvSpPr>
            <xdr:cNvPr id="54358" name="Button TR" hidden="1">
              <a:extLst>
                <a:ext uri="{63B3BB69-23CF-44E3-9099-C40C66FF867C}">
                  <a14:compatExt spid="_x0000_s54358"/>
                </a:ext>
                <a:ext uri="{FF2B5EF4-FFF2-40B4-BE49-F238E27FC236}">
                  <a16:creationId xmlns:a16="http://schemas.microsoft.com/office/drawing/2014/main" id="{00000000-0008-0000-2A00-000056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247650</xdr:colOff>
          <xdr:row>3</xdr:row>
          <xdr:rowOff>19050</xdr:rowOff>
        </xdr:from>
        <xdr:to>
          <xdr:col>13</xdr:col>
          <xdr:colOff>1619250</xdr:colOff>
          <xdr:row>4</xdr:row>
          <xdr:rowOff>133350</xdr:rowOff>
        </xdr:to>
        <xdr:sp macro="" textlink="">
          <xdr:nvSpPr>
            <xdr:cNvPr id="84994" name="Button 2" hidden="1">
              <a:extLst>
                <a:ext uri="{63B3BB69-23CF-44E3-9099-C40C66FF867C}">
                  <a14:compatExt spid="_x0000_s84994"/>
                </a:ext>
                <a:ext uri="{FF2B5EF4-FFF2-40B4-BE49-F238E27FC236}">
                  <a16:creationId xmlns:a16="http://schemas.microsoft.com/office/drawing/2014/main" id="{00000000-0008-0000-2B00-000002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1</xdr:row>
          <xdr:rowOff>142875</xdr:rowOff>
        </xdr:from>
        <xdr:to>
          <xdr:col>13</xdr:col>
          <xdr:colOff>1619250</xdr:colOff>
          <xdr:row>3</xdr:row>
          <xdr:rowOff>0</xdr:rowOff>
        </xdr:to>
        <xdr:sp macro="" textlink="">
          <xdr:nvSpPr>
            <xdr:cNvPr id="85015" name="Button 23" hidden="1">
              <a:extLst>
                <a:ext uri="{63B3BB69-23CF-44E3-9099-C40C66FF867C}">
                  <a14:compatExt spid="_x0000_s85015"/>
                </a:ext>
                <a:ext uri="{FF2B5EF4-FFF2-40B4-BE49-F238E27FC236}">
                  <a16:creationId xmlns:a16="http://schemas.microsoft.com/office/drawing/2014/main" id="{00000000-0008-0000-2B00-000017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4</xdr:row>
          <xdr:rowOff>133350</xdr:rowOff>
        </xdr:from>
        <xdr:to>
          <xdr:col>13</xdr:col>
          <xdr:colOff>1619250</xdr:colOff>
          <xdr:row>6</xdr:row>
          <xdr:rowOff>95250</xdr:rowOff>
        </xdr:to>
        <xdr:sp macro="" textlink="">
          <xdr:nvSpPr>
            <xdr:cNvPr id="85017" name="Button 25" hidden="1">
              <a:extLst>
                <a:ext uri="{63B3BB69-23CF-44E3-9099-C40C66FF867C}">
                  <a14:compatExt spid="_x0000_s85017"/>
                </a:ext>
                <a:ext uri="{FF2B5EF4-FFF2-40B4-BE49-F238E27FC236}">
                  <a16:creationId xmlns:a16="http://schemas.microsoft.com/office/drawing/2014/main" id="{00000000-0008-0000-2B00-000019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8</xdr:row>
          <xdr:rowOff>247650</xdr:rowOff>
        </xdr:from>
        <xdr:to>
          <xdr:col>13</xdr:col>
          <xdr:colOff>1619250</xdr:colOff>
          <xdr:row>8</xdr:row>
          <xdr:rowOff>523875</xdr:rowOff>
        </xdr:to>
        <xdr:sp macro="" textlink="">
          <xdr:nvSpPr>
            <xdr:cNvPr id="85018" name="Button 26" hidden="1">
              <a:extLst>
                <a:ext uri="{63B3BB69-23CF-44E3-9099-C40C66FF867C}">
                  <a14:compatExt spid="_x0000_s85018"/>
                </a:ext>
                <a:ext uri="{FF2B5EF4-FFF2-40B4-BE49-F238E27FC236}">
                  <a16:creationId xmlns:a16="http://schemas.microsoft.com/office/drawing/2014/main" id="{00000000-0008-0000-2B00-00001A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7</xdr:row>
          <xdr:rowOff>304800</xdr:rowOff>
        </xdr:from>
        <xdr:to>
          <xdr:col>13</xdr:col>
          <xdr:colOff>1619250</xdr:colOff>
          <xdr:row>8</xdr:row>
          <xdr:rowOff>247650</xdr:rowOff>
        </xdr:to>
        <xdr:sp macro="" textlink="">
          <xdr:nvSpPr>
            <xdr:cNvPr id="85019" name="Button 27" hidden="1">
              <a:extLst>
                <a:ext uri="{63B3BB69-23CF-44E3-9099-C40C66FF867C}">
                  <a14:compatExt spid="_x0000_s85019"/>
                </a:ext>
                <a:ext uri="{FF2B5EF4-FFF2-40B4-BE49-F238E27FC236}">
                  <a16:creationId xmlns:a16="http://schemas.microsoft.com/office/drawing/2014/main" id="{00000000-0008-0000-2B00-00001B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7</xdr:row>
          <xdr:rowOff>19050</xdr:rowOff>
        </xdr:from>
        <xdr:to>
          <xdr:col>13</xdr:col>
          <xdr:colOff>1619250</xdr:colOff>
          <xdr:row>7</xdr:row>
          <xdr:rowOff>285750</xdr:rowOff>
        </xdr:to>
        <xdr:sp macro="" textlink="">
          <xdr:nvSpPr>
            <xdr:cNvPr id="85020" name="Button 28" hidden="1">
              <a:extLst>
                <a:ext uri="{63B3BB69-23CF-44E3-9099-C40C66FF867C}">
                  <a14:compatExt spid="_x0000_s85020"/>
                </a:ext>
                <a:ext uri="{FF2B5EF4-FFF2-40B4-BE49-F238E27FC236}">
                  <a16:creationId xmlns:a16="http://schemas.microsoft.com/office/drawing/2014/main" id="{00000000-0008-0000-2B00-00001C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6</xdr:row>
          <xdr:rowOff>95250</xdr:rowOff>
        </xdr:from>
        <xdr:to>
          <xdr:col>13</xdr:col>
          <xdr:colOff>1619250</xdr:colOff>
          <xdr:row>7</xdr:row>
          <xdr:rowOff>0</xdr:rowOff>
        </xdr:to>
        <xdr:sp macro="" textlink="">
          <xdr:nvSpPr>
            <xdr:cNvPr id="85021" name="Button 29" hidden="1">
              <a:extLst>
                <a:ext uri="{63B3BB69-23CF-44E3-9099-C40C66FF867C}">
                  <a14:compatExt spid="_x0000_s85021"/>
                </a:ext>
                <a:ext uri="{FF2B5EF4-FFF2-40B4-BE49-F238E27FC236}">
                  <a16:creationId xmlns:a16="http://schemas.microsoft.com/office/drawing/2014/main" id="{00000000-0008-0000-2B00-00001D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638175</xdr:colOff>
          <xdr:row>12</xdr:row>
          <xdr:rowOff>285750</xdr:rowOff>
        </xdr:to>
        <xdr:sp macro="" textlink="">
          <xdr:nvSpPr>
            <xdr:cNvPr id="169985" name="Button 1" hidden="1">
              <a:extLst>
                <a:ext uri="{63B3BB69-23CF-44E3-9099-C40C66FF867C}">
                  <a14:compatExt spid="_x0000_s169985"/>
                </a:ext>
                <a:ext uri="{FF2B5EF4-FFF2-40B4-BE49-F238E27FC236}">
                  <a16:creationId xmlns:a16="http://schemas.microsoft.com/office/drawing/2014/main" id="{00000000-0008-0000-2C00-00000198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638175</xdr:colOff>
          <xdr:row>32</xdr:row>
          <xdr:rowOff>285750</xdr:rowOff>
        </xdr:to>
        <xdr:sp macro="" textlink="">
          <xdr:nvSpPr>
            <xdr:cNvPr id="169986" name="Button 2" hidden="1">
              <a:extLst>
                <a:ext uri="{63B3BB69-23CF-44E3-9099-C40C66FF867C}">
                  <a14:compatExt spid="_x0000_s169986"/>
                </a:ext>
                <a:ext uri="{FF2B5EF4-FFF2-40B4-BE49-F238E27FC236}">
                  <a16:creationId xmlns:a16="http://schemas.microsoft.com/office/drawing/2014/main" id="{00000000-0008-0000-2C00-000002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4</xdr:row>
          <xdr:rowOff>66675</xdr:rowOff>
        </xdr:from>
        <xdr:to>
          <xdr:col>15</xdr:col>
          <xdr:colOff>1552575</xdr:colOff>
          <xdr:row>6</xdr:row>
          <xdr:rowOff>57150</xdr:rowOff>
        </xdr:to>
        <xdr:sp macro="" textlink="">
          <xdr:nvSpPr>
            <xdr:cNvPr id="169988" name="Button 4" hidden="1">
              <a:extLst>
                <a:ext uri="{63B3BB69-23CF-44E3-9099-C40C66FF867C}">
                  <a14:compatExt spid="_x0000_s169988"/>
                </a:ext>
                <a:ext uri="{FF2B5EF4-FFF2-40B4-BE49-F238E27FC236}">
                  <a16:creationId xmlns:a16="http://schemas.microsoft.com/office/drawing/2014/main" id="{00000000-0008-0000-2C00-000004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190500</xdr:colOff>
          <xdr:row>6</xdr:row>
          <xdr:rowOff>400050</xdr:rowOff>
        </xdr:from>
        <xdr:to>
          <xdr:col>15</xdr:col>
          <xdr:colOff>1562100</xdr:colOff>
          <xdr:row>6</xdr:row>
          <xdr:rowOff>666750</xdr:rowOff>
        </xdr:to>
        <xdr:sp macro="" textlink="">
          <xdr:nvSpPr>
            <xdr:cNvPr id="169989" name="Button 5" hidden="1">
              <a:extLst>
                <a:ext uri="{63B3BB69-23CF-44E3-9099-C40C66FF867C}">
                  <a14:compatExt spid="_x0000_s169989"/>
                </a:ext>
                <a:ext uri="{FF2B5EF4-FFF2-40B4-BE49-F238E27FC236}">
                  <a16:creationId xmlns:a16="http://schemas.microsoft.com/office/drawing/2014/main" id="{00000000-0008-0000-2C00-000005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2</xdr:row>
          <xdr:rowOff>95250</xdr:rowOff>
        </xdr:from>
        <xdr:to>
          <xdr:col>15</xdr:col>
          <xdr:colOff>1552575</xdr:colOff>
          <xdr:row>4</xdr:row>
          <xdr:rowOff>38100</xdr:rowOff>
        </xdr:to>
        <xdr:sp macro="" textlink="">
          <xdr:nvSpPr>
            <xdr:cNvPr id="169990" name="Button 6" hidden="1">
              <a:extLst>
                <a:ext uri="{63B3BB69-23CF-44E3-9099-C40C66FF867C}">
                  <a14:compatExt spid="_x0000_s169990"/>
                </a:ext>
                <a:ext uri="{FF2B5EF4-FFF2-40B4-BE49-F238E27FC236}">
                  <a16:creationId xmlns:a16="http://schemas.microsoft.com/office/drawing/2014/main" id="{00000000-0008-0000-2C00-000006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190500</xdr:colOff>
          <xdr:row>10</xdr:row>
          <xdr:rowOff>142875</xdr:rowOff>
        </xdr:from>
        <xdr:to>
          <xdr:col>15</xdr:col>
          <xdr:colOff>1562100</xdr:colOff>
          <xdr:row>12</xdr:row>
          <xdr:rowOff>95250</xdr:rowOff>
        </xdr:to>
        <xdr:sp macro="" textlink="">
          <xdr:nvSpPr>
            <xdr:cNvPr id="169991" name="Button 7" hidden="1">
              <a:extLst>
                <a:ext uri="{63B3BB69-23CF-44E3-9099-C40C66FF867C}">
                  <a14:compatExt spid="_x0000_s169991"/>
                </a:ext>
                <a:ext uri="{FF2B5EF4-FFF2-40B4-BE49-F238E27FC236}">
                  <a16:creationId xmlns:a16="http://schemas.microsoft.com/office/drawing/2014/main" id="{00000000-0008-0000-2C00-000007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190500</xdr:colOff>
          <xdr:row>9</xdr:row>
          <xdr:rowOff>0</xdr:rowOff>
        </xdr:from>
        <xdr:to>
          <xdr:col>15</xdr:col>
          <xdr:colOff>1562100</xdr:colOff>
          <xdr:row>10</xdr:row>
          <xdr:rowOff>114300</xdr:rowOff>
        </xdr:to>
        <xdr:sp macro="" textlink="">
          <xdr:nvSpPr>
            <xdr:cNvPr id="169992" name="Button 8" hidden="1">
              <a:extLst>
                <a:ext uri="{63B3BB69-23CF-44E3-9099-C40C66FF867C}">
                  <a14:compatExt spid="_x0000_s169992"/>
                </a:ext>
                <a:ext uri="{FF2B5EF4-FFF2-40B4-BE49-F238E27FC236}">
                  <a16:creationId xmlns:a16="http://schemas.microsoft.com/office/drawing/2014/main" id="{00000000-0008-0000-2C00-000008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190500</xdr:colOff>
          <xdr:row>7</xdr:row>
          <xdr:rowOff>19050</xdr:rowOff>
        </xdr:from>
        <xdr:to>
          <xdr:col>15</xdr:col>
          <xdr:colOff>1562100</xdr:colOff>
          <xdr:row>8</xdr:row>
          <xdr:rowOff>133350</xdr:rowOff>
        </xdr:to>
        <xdr:sp macro="" textlink="">
          <xdr:nvSpPr>
            <xdr:cNvPr id="169993" name="Button 9" hidden="1">
              <a:extLst>
                <a:ext uri="{63B3BB69-23CF-44E3-9099-C40C66FF867C}">
                  <a14:compatExt spid="_x0000_s169993"/>
                </a:ext>
                <a:ext uri="{FF2B5EF4-FFF2-40B4-BE49-F238E27FC236}">
                  <a16:creationId xmlns:a16="http://schemas.microsoft.com/office/drawing/2014/main" id="{00000000-0008-0000-2C00-000009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190500</xdr:colOff>
          <xdr:row>6</xdr:row>
          <xdr:rowOff>95250</xdr:rowOff>
        </xdr:from>
        <xdr:to>
          <xdr:col>15</xdr:col>
          <xdr:colOff>1562100</xdr:colOff>
          <xdr:row>6</xdr:row>
          <xdr:rowOff>361950</xdr:rowOff>
        </xdr:to>
        <xdr:sp macro="" textlink="">
          <xdr:nvSpPr>
            <xdr:cNvPr id="170008" name="Button 24" hidden="1">
              <a:extLst>
                <a:ext uri="{63B3BB69-23CF-44E3-9099-C40C66FF867C}">
                  <a14:compatExt spid="_x0000_s170008"/>
                </a:ext>
                <a:ext uri="{FF2B5EF4-FFF2-40B4-BE49-F238E27FC236}">
                  <a16:creationId xmlns:a16="http://schemas.microsoft.com/office/drawing/2014/main" id="{00000000-0008-0000-2C00-0000189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8</xdr:row>
          <xdr:rowOff>28575</xdr:rowOff>
        </xdr:from>
        <xdr:to>
          <xdr:col>5</xdr:col>
          <xdr:colOff>981075</xdr:colOff>
          <xdr:row>8</xdr:row>
          <xdr:rowOff>295275</xdr:rowOff>
        </xdr:to>
        <xdr:sp macro="" textlink="">
          <xdr:nvSpPr>
            <xdr:cNvPr id="199681" name="Button 1" hidden="1">
              <a:extLst>
                <a:ext uri="{63B3BB69-23CF-44E3-9099-C40C66FF867C}">
                  <a14:compatExt spid="_x0000_s199681"/>
                </a:ext>
                <a:ext uri="{FF2B5EF4-FFF2-40B4-BE49-F238E27FC236}">
                  <a16:creationId xmlns:a16="http://schemas.microsoft.com/office/drawing/2014/main" id="{00000000-0008-0000-2D00-000001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2</xdr:row>
          <xdr:rowOff>171450</xdr:rowOff>
        </xdr:from>
        <xdr:to>
          <xdr:col>10</xdr:col>
          <xdr:colOff>257175</xdr:colOff>
          <xdr:row>3</xdr:row>
          <xdr:rowOff>247650</xdr:rowOff>
        </xdr:to>
        <xdr:sp macro="" textlink="">
          <xdr:nvSpPr>
            <xdr:cNvPr id="199682" name="Button 2" hidden="1">
              <a:extLst>
                <a:ext uri="{63B3BB69-23CF-44E3-9099-C40C66FF867C}">
                  <a14:compatExt spid="_x0000_s199682"/>
                </a:ext>
                <a:ext uri="{FF2B5EF4-FFF2-40B4-BE49-F238E27FC236}">
                  <a16:creationId xmlns:a16="http://schemas.microsoft.com/office/drawing/2014/main" id="{00000000-0008-0000-2D00-000002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5</xdr:row>
          <xdr:rowOff>66675</xdr:rowOff>
        </xdr:from>
        <xdr:to>
          <xdr:col>10</xdr:col>
          <xdr:colOff>257175</xdr:colOff>
          <xdr:row>6</xdr:row>
          <xdr:rowOff>152400</xdr:rowOff>
        </xdr:to>
        <xdr:sp macro="" textlink="">
          <xdr:nvSpPr>
            <xdr:cNvPr id="199683" name="Button 3" hidden="1">
              <a:extLst>
                <a:ext uri="{63B3BB69-23CF-44E3-9099-C40C66FF867C}">
                  <a14:compatExt spid="_x0000_s199683"/>
                </a:ext>
                <a:ext uri="{FF2B5EF4-FFF2-40B4-BE49-F238E27FC236}">
                  <a16:creationId xmlns:a16="http://schemas.microsoft.com/office/drawing/2014/main" id="{00000000-0008-0000-2D00-000003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1</xdr:row>
          <xdr:rowOff>28575</xdr:rowOff>
        </xdr:from>
        <xdr:to>
          <xdr:col>10</xdr:col>
          <xdr:colOff>257175</xdr:colOff>
          <xdr:row>2</xdr:row>
          <xdr:rowOff>133350</xdr:rowOff>
        </xdr:to>
        <xdr:sp macro="" textlink="">
          <xdr:nvSpPr>
            <xdr:cNvPr id="199684" name="Button 4" hidden="1">
              <a:extLst>
                <a:ext uri="{63B3BB69-23CF-44E3-9099-C40C66FF867C}">
                  <a14:compatExt spid="_x0000_s199684"/>
                </a:ext>
                <a:ext uri="{FF2B5EF4-FFF2-40B4-BE49-F238E27FC236}">
                  <a16:creationId xmlns:a16="http://schemas.microsoft.com/office/drawing/2014/main" id="{00000000-0008-0000-2D00-000004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9</xdr:row>
          <xdr:rowOff>57150</xdr:rowOff>
        </xdr:from>
        <xdr:to>
          <xdr:col>10</xdr:col>
          <xdr:colOff>257175</xdr:colOff>
          <xdr:row>10</xdr:row>
          <xdr:rowOff>133350</xdr:rowOff>
        </xdr:to>
        <xdr:sp macro="" textlink="">
          <xdr:nvSpPr>
            <xdr:cNvPr id="199685" name="Button 5" hidden="1">
              <a:extLst>
                <a:ext uri="{63B3BB69-23CF-44E3-9099-C40C66FF867C}">
                  <a14:compatExt spid="_x0000_s199685"/>
                </a:ext>
                <a:ext uri="{FF2B5EF4-FFF2-40B4-BE49-F238E27FC236}">
                  <a16:creationId xmlns:a16="http://schemas.microsoft.com/office/drawing/2014/main" id="{00000000-0008-0000-2D00-000005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8</xdr:row>
          <xdr:rowOff>114300</xdr:rowOff>
        </xdr:from>
        <xdr:to>
          <xdr:col>10</xdr:col>
          <xdr:colOff>257175</xdr:colOff>
          <xdr:row>9</xdr:row>
          <xdr:rowOff>19050</xdr:rowOff>
        </xdr:to>
        <xdr:sp macro="" textlink="">
          <xdr:nvSpPr>
            <xdr:cNvPr id="199686" name="Button 6" hidden="1">
              <a:extLst>
                <a:ext uri="{63B3BB69-23CF-44E3-9099-C40C66FF867C}">
                  <a14:compatExt spid="_x0000_s199686"/>
                </a:ext>
                <a:ext uri="{FF2B5EF4-FFF2-40B4-BE49-F238E27FC236}">
                  <a16:creationId xmlns:a16="http://schemas.microsoft.com/office/drawing/2014/main" id="{00000000-0008-0000-2D00-000006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7</xdr:row>
          <xdr:rowOff>0</xdr:rowOff>
        </xdr:from>
        <xdr:to>
          <xdr:col>10</xdr:col>
          <xdr:colOff>257175</xdr:colOff>
          <xdr:row>8</xdr:row>
          <xdr:rowOff>76200</xdr:rowOff>
        </xdr:to>
        <xdr:sp macro="" textlink="">
          <xdr:nvSpPr>
            <xdr:cNvPr id="199687" name="Button 7" hidden="1">
              <a:extLst>
                <a:ext uri="{63B3BB69-23CF-44E3-9099-C40C66FF867C}">
                  <a14:compatExt spid="_x0000_s199687"/>
                </a:ext>
                <a:ext uri="{FF2B5EF4-FFF2-40B4-BE49-F238E27FC236}">
                  <a16:creationId xmlns:a16="http://schemas.microsoft.com/office/drawing/2014/main" id="{00000000-0008-0000-2D00-000007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381000</xdr:colOff>
          <xdr:row>11</xdr:row>
          <xdr:rowOff>114300</xdr:rowOff>
        </xdr:from>
        <xdr:to>
          <xdr:col>10</xdr:col>
          <xdr:colOff>381000</xdr:colOff>
          <xdr:row>11</xdr:row>
          <xdr:rowOff>114300</xdr:rowOff>
        </xdr:to>
        <xdr:sp macro="" textlink="">
          <xdr:nvSpPr>
            <xdr:cNvPr id="199689" name="Button 9" hidden="1">
              <a:extLst>
                <a:ext uri="{63B3BB69-23CF-44E3-9099-C40C66FF867C}">
                  <a14:compatExt spid="_x0000_s199689"/>
                </a:ext>
                <a:ext uri="{FF2B5EF4-FFF2-40B4-BE49-F238E27FC236}">
                  <a16:creationId xmlns:a16="http://schemas.microsoft.com/office/drawing/2014/main" id="{00000000-0008-0000-2D00-000009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104775</xdr:colOff>
          <xdr:row>3</xdr:row>
          <xdr:rowOff>285750</xdr:rowOff>
        </xdr:from>
        <xdr:to>
          <xdr:col>10</xdr:col>
          <xdr:colOff>257175</xdr:colOff>
          <xdr:row>5</xdr:row>
          <xdr:rowOff>38100</xdr:rowOff>
        </xdr:to>
        <xdr:sp macro="" textlink="">
          <xdr:nvSpPr>
            <xdr:cNvPr id="199694" name="Button 14" hidden="1">
              <a:extLst>
                <a:ext uri="{63B3BB69-23CF-44E3-9099-C40C66FF867C}">
                  <a14:compatExt spid="_x0000_s199694"/>
                </a:ext>
                <a:ext uri="{FF2B5EF4-FFF2-40B4-BE49-F238E27FC236}">
                  <a16:creationId xmlns:a16="http://schemas.microsoft.com/office/drawing/2014/main" id="{00000000-0008-0000-2D00-00000E0C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209550</xdr:colOff>
          <xdr:row>1</xdr:row>
          <xdr:rowOff>66675</xdr:rowOff>
        </xdr:from>
        <xdr:to>
          <xdr:col>9</xdr:col>
          <xdr:colOff>1581150</xdr:colOff>
          <xdr:row>2</xdr:row>
          <xdr:rowOff>180975</xdr:rowOff>
        </xdr:to>
        <xdr:sp macro="" textlink="">
          <xdr:nvSpPr>
            <xdr:cNvPr id="137225" name="Button 9" hidden="1">
              <a:extLst>
                <a:ext uri="{63B3BB69-23CF-44E3-9099-C40C66FF867C}">
                  <a14:compatExt spid="_x0000_s137225"/>
                </a:ext>
                <a:ext uri="{FF2B5EF4-FFF2-40B4-BE49-F238E27FC236}">
                  <a16:creationId xmlns:a16="http://schemas.microsoft.com/office/drawing/2014/main" id="{00000000-0008-0000-2F00-000009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3</xdr:row>
          <xdr:rowOff>104775</xdr:rowOff>
        </xdr:from>
        <xdr:to>
          <xdr:col>9</xdr:col>
          <xdr:colOff>1581150</xdr:colOff>
          <xdr:row>4</xdr:row>
          <xdr:rowOff>219075</xdr:rowOff>
        </xdr:to>
        <xdr:sp macro="" textlink="">
          <xdr:nvSpPr>
            <xdr:cNvPr id="137226" name="Button 10" hidden="1">
              <a:extLst>
                <a:ext uri="{63B3BB69-23CF-44E3-9099-C40C66FF867C}">
                  <a14:compatExt spid="_x0000_s137226"/>
                </a:ext>
                <a:ext uri="{FF2B5EF4-FFF2-40B4-BE49-F238E27FC236}">
                  <a16:creationId xmlns:a16="http://schemas.microsoft.com/office/drawing/2014/main" id="{00000000-0008-0000-2F00-00000A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4</xdr:row>
          <xdr:rowOff>247650</xdr:rowOff>
        </xdr:from>
        <xdr:to>
          <xdr:col>9</xdr:col>
          <xdr:colOff>1581150</xdr:colOff>
          <xdr:row>4</xdr:row>
          <xdr:rowOff>514350</xdr:rowOff>
        </xdr:to>
        <xdr:sp macro="" textlink="">
          <xdr:nvSpPr>
            <xdr:cNvPr id="137227" name="Button 11" hidden="1">
              <a:extLst>
                <a:ext uri="{63B3BB69-23CF-44E3-9099-C40C66FF867C}">
                  <a14:compatExt spid="_x0000_s137227"/>
                </a:ext>
                <a:ext uri="{FF2B5EF4-FFF2-40B4-BE49-F238E27FC236}">
                  <a16:creationId xmlns:a16="http://schemas.microsoft.com/office/drawing/2014/main" id="{00000000-0008-0000-2F00-00000B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2</xdr:row>
          <xdr:rowOff>209550</xdr:rowOff>
        </xdr:from>
        <xdr:to>
          <xdr:col>9</xdr:col>
          <xdr:colOff>1581150</xdr:colOff>
          <xdr:row>3</xdr:row>
          <xdr:rowOff>95250</xdr:rowOff>
        </xdr:to>
        <xdr:sp macro="" textlink="">
          <xdr:nvSpPr>
            <xdr:cNvPr id="137228" name="Button 12" hidden="1">
              <a:extLst>
                <a:ext uri="{63B3BB69-23CF-44E3-9099-C40C66FF867C}">
                  <a14:compatExt spid="_x0000_s137228"/>
                </a:ext>
                <a:ext uri="{FF2B5EF4-FFF2-40B4-BE49-F238E27FC236}">
                  <a16:creationId xmlns:a16="http://schemas.microsoft.com/office/drawing/2014/main" id="{00000000-0008-0000-2F00-00000C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6</xdr:row>
          <xdr:rowOff>133350</xdr:rowOff>
        </xdr:from>
        <xdr:to>
          <xdr:col>9</xdr:col>
          <xdr:colOff>1581150</xdr:colOff>
          <xdr:row>8</xdr:row>
          <xdr:rowOff>95250</xdr:rowOff>
        </xdr:to>
        <xdr:sp macro="" textlink="">
          <xdr:nvSpPr>
            <xdr:cNvPr id="137229" name="Button 13" hidden="1">
              <a:extLst>
                <a:ext uri="{63B3BB69-23CF-44E3-9099-C40C66FF867C}">
                  <a14:compatExt spid="_x0000_s137229"/>
                </a:ext>
                <a:ext uri="{FF2B5EF4-FFF2-40B4-BE49-F238E27FC236}">
                  <a16:creationId xmlns:a16="http://schemas.microsoft.com/office/drawing/2014/main" id="{00000000-0008-0000-2F00-00000D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5</xdr:row>
          <xdr:rowOff>0</xdr:rowOff>
        </xdr:from>
        <xdr:to>
          <xdr:col>9</xdr:col>
          <xdr:colOff>1581150</xdr:colOff>
          <xdr:row>6</xdr:row>
          <xdr:rowOff>114300</xdr:rowOff>
        </xdr:to>
        <xdr:sp macro="" textlink="">
          <xdr:nvSpPr>
            <xdr:cNvPr id="137230" name="Button 14" hidden="1">
              <a:extLst>
                <a:ext uri="{63B3BB69-23CF-44E3-9099-C40C66FF867C}">
                  <a14:compatExt spid="_x0000_s137230"/>
                </a:ext>
                <a:ext uri="{FF2B5EF4-FFF2-40B4-BE49-F238E27FC236}">
                  <a16:creationId xmlns:a16="http://schemas.microsoft.com/office/drawing/2014/main" id="{00000000-0008-0000-2F00-00000E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209550</xdr:colOff>
          <xdr:row>8</xdr:row>
          <xdr:rowOff>104775</xdr:rowOff>
        </xdr:from>
        <xdr:to>
          <xdr:col>9</xdr:col>
          <xdr:colOff>1581150</xdr:colOff>
          <xdr:row>10</xdr:row>
          <xdr:rowOff>57150</xdr:rowOff>
        </xdr:to>
        <xdr:sp macro="" textlink="">
          <xdr:nvSpPr>
            <xdr:cNvPr id="137231" name="Button 15" hidden="1">
              <a:extLst>
                <a:ext uri="{63B3BB69-23CF-44E3-9099-C40C66FF867C}">
                  <a14:compatExt spid="_x0000_s137231"/>
                </a:ext>
                <a:ext uri="{FF2B5EF4-FFF2-40B4-BE49-F238E27FC236}">
                  <a16:creationId xmlns:a16="http://schemas.microsoft.com/office/drawing/2014/main" id="{00000000-0008-0000-2F00-00000F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666750</xdr:colOff>
          <xdr:row>19</xdr:row>
          <xdr:rowOff>180975</xdr:rowOff>
        </xdr:to>
        <xdr:sp macro="" textlink="">
          <xdr:nvSpPr>
            <xdr:cNvPr id="137232" name="Button 16" hidden="1">
              <a:extLst>
                <a:ext uri="{63B3BB69-23CF-44E3-9099-C40C66FF867C}">
                  <a14:compatExt spid="_x0000_s137232"/>
                </a:ext>
                <a:ext uri="{FF2B5EF4-FFF2-40B4-BE49-F238E27FC236}">
                  <a16:creationId xmlns:a16="http://schemas.microsoft.com/office/drawing/2014/main" id="{00000000-0008-0000-2F00-00001018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476250</xdr:colOff>
          <xdr:row>3</xdr:row>
          <xdr:rowOff>476250</xdr:rowOff>
        </xdr:from>
        <xdr:to>
          <xdr:col>13</xdr:col>
          <xdr:colOff>1847850</xdr:colOff>
          <xdr:row>3</xdr:row>
          <xdr:rowOff>742950</xdr:rowOff>
        </xdr:to>
        <xdr:sp macro="" textlink="">
          <xdr:nvSpPr>
            <xdr:cNvPr id="339969" name="Button 1" hidden="1">
              <a:extLst>
                <a:ext uri="{63B3BB69-23CF-44E3-9099-C40C66FF867C}">
                  <a14:compatExt spid="_x0000_s339969"/>
                </a:ext>
                <a:ext uri="{FF2B5EF4-FFF2-40B4-BE49-F238E27FC236}">
                  <a16:creationId xmlns:a16="http://schemas.microsoft.com/office/drawing/2014/main" id="{00000000-0008-0000-3000-000001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476250</xdr:colOff>
          <xdr:row>2</xdr:row>
          <xdr:rowOff>400050</xdr:rowOff>
        </xdr:from>
        <xdr:to>
          <xdr:col>13</xdr:col>
          <xdr:colOff>1866900</xdr:colOff>
          <xdr:row>3</xdr:row>
          <xdr:rowOff>171450</xdr:rowOff>
        </xdr:to>
        <xdr:sp macro="" textlink="">
          <xdr:nvSpPr>
            <xdr:cNvPr id="339974" name="Button 6" hidden="1">
              <a:extLst>
                <a:ext uri="{63B3BB69-23CF-44E3-9099-C40C66FF867C}">
                  <a14:compatExt spid="_x0000_s339974"/>
                </a:ext>
                <a:ext uri="{FF2B5EF4-FFF2-40B4-BE49-F238E27FC236}">
                  <a16:creationId xmlns:a16="http://schemas.microsoft.com/office/drawing/2014/main" id="{00000000-0008-0000-3000-000006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476250</xdr:colOff>
          <xdr:row>2</xdr:row>
          <xdr:rowOff>95250</xdr:rowOff>
        </xdr:from>
        <xdr:to>
          <xdr:col>13</xdr:col>
          <xdr:colOff>1847850</xdr:colOff>
          <xdr:row>2</xdr:row>
          <xdr:rowOff>361950</xdr:rowOff>
        </xdr:to>
        <xdr:sp macro="" textlink="">
          <xdr:nvSpPr>
            <xdr:cNvPr id="339975" name="Button 7" hidden="1">
              <a:extLst>
                <a:ext uri="{63B3BB69-23CF-44E3-9099-C40C66FF867C}">
                  <a14:compatExt spid="_x0000_s339975"/>
                </a:ext>
                <a:ext uri="{FF2B5EF4-FFF2-40B4-BE49-F238E27FC236}">
                  <a16:creationId xmlns:a16="http://schemas.microsoft.com/office/drawing/2014/main" id="{00000000-0008-0000-3000-000007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485775</xdr:colOff>
          <xdr:row>3</xdr:row>
          <xdr:rowOff>1428750</xdr:rowOff>
        </xdr:from>
        <xdr:to>
          <xdr:col>13</xdr:col>
          <xdr:colOff>1885950</xdr:colOff>
          <xdr:row>4</xdr:row>
          <xdr:rowOff>95250</xdr:rowOff>
        </xdr:to>
        <xdr:sp macro="" textlink="">
          <xdr:nvSpPr>
            <xdr:cNvPr id="339976" name="Button 8" hidden="1">
              <a:extLst>
                <a:ext uri="{63B3BB69-23CF-44E3-9099-C40C66FF867C}">
                  <a14:compatExt spid="_x0000_s339976"/>
                </a:ext>
                <a:ext uri="{FF2B5EF4-FFF2-40B4-BE49-F238E27FC236}">
                  <a16:creationId xmlns:a16="http://schemas.microsoft.com/office/drawing/2014/main" id="{00000000-0008-0000-3000-000008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485775</xdr:colOff>
          <xdr:row>3</xdr:row>
          <xdr:rowOff>1085850</xdr:rowOff>
        </xdr:from>
        <xdr:to>
          <xdr:col>13</xdr:col>
          <xdr:colOff>1885950</xdr:colOff>
          <xdr:row>3</xdr:row>
          <xdr:rowOff>1362075</xdr:rowOff>
        </xdr:to>
        <xdr:sp macro="" textlink="">
          <xdr:nvSpPr>
            <xdr:cNvPr id="339977" name="Button 9" hidden="1">
              <a:extLst>
                <a:ext uri="{63B3BB69-23CF-44E3-9099-C40C66FF867C}">
                  <a14:compatExt spid="_x0000_s339977"/>
                </a:ext>
                <a:ext uri="{FF2B5EF4-FFF2-40B4-BE49-F238E27FC236}">
                  <a16:creationId xmlns:a16="http://schemas.microsoft.com/office/drawing/2014/main" id="{00000000-0008-0000-3000-000009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476250</xdr:colOff>
          <xdr:row>3</xdr:row>
          <xdr:rowOff>209550</xdr:rowOff>
        </xdr:from>
        <xdr:to>
          <xdr:col>13</xdr:col>
          <xdr:colOff>1866900</xdr:colOff>
          <xdr:row>3</xdr:row>
          <xdr:rowOff>485775</xdr:rowOff>
        </xdr:to>
        <xdr:sp macro="" textlink="">
          <xdr:nvSpPr>
            <xdr:cNvPr id="339978" name="Button 10" hidden="1">
              <a:extLst>
                <a:ext uri="{63B3BB69-23CF-44E3-9099-C40C66FF867C}">
                  <a14:compatExt spid="_x0000_s339978"/>
                </a:ext>
                <a:ext uri="{FF2B5EF4-FFF2-40B4-BE49-F238E27FC236}">
                  <a16:creationId xmlns:a16="http://schemas.microsoft.com/office/drawing/2014/main" id="{00000000-0008-0000-3000-00000A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476250</xdr:colOff>
          <xdr:row>3</xdr:row>
          <xdr:rowOff>762000</xdr:rowOff>
        </xdr:from>
        <xdr:to>
          <xdr:col>13</xdr:col>
          <xdr:colOff>1847850</xdr:colOff>
          <xdr:row>3</xdr:row>
          <xdr:rowOff>1047750</xdr:rowOff>
        </xdr:to>
        <xdr:sp macro="" textlink="">
          <xdr:nvSpPr>
            <xdr:cNvPr id="339979" name="Button 11" hidden="1">
              <a:extLst>
                <a:ext uri="{63B3BB69-23CF-44E3-9099-C40C66FF867C}">
                  <a14:compatExt spid="_x0000_s339979"/>
                </a:ext>
                <a:ext uri="{FF2B5EF4-FFF2-40B4-BE49-F238E27FC236}">
                  <a16:creationId xmlns:a16="http://schemas.microsoft.com/office/drawing/2014/main" id="{00000000-0008-0000-3000-00000B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14</xdr:row>
          <xdr:rowOff>104775</xdr:rowOff>
        </xdr:from>
        <xdr:to>
          <xdr:col>4</xdr:col>
          <xdr:colOff>1276350</xdr:colOff>
          <xdr:row>16</xdr:row>
          <xdr:rowOff>95250</xdr:rowOff>
        </xdr:to>
        <xdr:sp macro="" textlink="">
          <xdr:nvSpPr>
            <xdr:cNvPr id="339983" name="Button 15" hidden="1">
              <a:extLst>
                <a:ext uri="{63B3BB69-23CF-44E3-9099-C40C66FF867C}">
                  <a14:compatExt spid="_x0000_s339983"/>
                </a:ext>
                <a:ext uri="{FF2B5EF4-FFF2-40B4-BE49-F238E27FC236}">
                  <a16:creationId xmlns:a16="http://schemas.microsoft.com/office/drawing/2014/main" id="{00000000-0008-0000-3000-00000F300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247650</xdr:colOff>
          <xdr:row>5</xdr:row>
          <xdr:rowOff>142875</xdr:rowOff>
        </xdr:from>
        <xdr:to>
          <xdr:col>9</xdr:col>
          <xdr:colOff>409575</xdr:colOff>
          <xdr:row>5</xdr:row>
          <xdr:rowOff>419100</xdr:rowOff>
        </xdr:to>
        <xdr:sp macro="" textlink="">
          <xdr:nvSpPr>
            <xdr:cNvPr id="39971" name="Button 35" hidden="1">
              <a:extLst>
                <a:ext uri="{63B3BB69-23CF-44E3-9099-C40C66FF867C}">
                  <a14:compatExt spid="_x0000_s39971"/>
                </a:ext>
                <a:ext uri="{FF2B5EF4-FFF2-40B4-BE49-F238E27FC236}">
                  <a16:creationId xmlns:a16="http://schemas.microsoft.com/office/drawing/2014/main" id="{00000000-0008-0000-3100-000023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38100</xdr:rowOff>
        </xdr:from>
        <xdr:to>
          <xdr:col>4</xdr:col>
          <xdr:colOff>628650</xdr:colOff>
          <xdr:row>14</xdr:row>
          <xdr:rowOff>133350</xdr:rowOff>
        </xdr:to>
        <xdr:sp macro="" textlink="">
          <xdr:nvSpPr>
            <xdr:cNvPr id="39972" name="Button 36" hidden="1">
              <a:extLst>
                <a:ext uri="{63B3BB69-23CF-44E3-9099-C40C66FF867C}">
                  <a14:compatExt spid="_x0000_s39972"/>
                </a:ext>
                <a:ext uri="{FF2B5EF4-FFF2-40B4-BE49-F238E27FC236}">
                  <a16:creationId xmlns:a16="http://schemas.microsoft.com/office/drawing/2014/main" id="{00000000-0008-0000-3100-000024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38100</xdr:rowOff>
        </xdr:from>
        <xdr:to>
          <xdr:col>4</xdr:col>
          <xdr:colOff>628650</xdr:colOff>
          <xdr:row>30</xdr:row>
          <xdr:rowOff>133350</xdr:rowOff>
        </xdr:to>
        <xdr:sp macro="" textlink="">
          <xdr:nvSpPr>
            <xdr:cNvPr id="39973" name="Button 37" hidden="1">
              <a:extLst>
                <a:ext uri="{63B3BB69-23CF-44E3-9099-C40C66FF867C}">
                  <a14:compatExt spid="_x0000_s39973"/>
                </a:ext>
                <a:ext uri="{FF2B5EF4-FFF2-40B4-BE49-F238E27FC236}">
                  <a16:creationId xmlns:a16="http://schemas.microsoft.com/office/drawing/2014/main" id="{00000000-0008-0000-3100-000025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4</xdr:col>
          <xdr:colOff>628650</xdr:colOff>
          <xdr:row>60</xdr:row>
          <xdr:rowOff>133350</xdr:rowOff>
        </xdr:to>
        <xdr:sp macro="" textlink="">
          <xdr:nvSpPr>
            <xdr:cNvPr id="39974" name="Button 38" hidden="1">
              <a:extLst>
                <a:ext uri="{63B3BB69-23CF-44E3-9099-C40C66FF867C}">
                  <a14:compatExt spid="_x0000_s39974"/>
                </a:ext>
                <a:ext uri="{FF2B5EF4-FFF2-40B4-BE49-F238E27FC236}">
                  <a16:creationId xmlns:a16="http://schemas.microsoft.com/office/drawing/2014/main" id="{00000000-0008-0000-3100-000026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38100</xdr:rowOff>
        </xdr:from>
        <xdr:to>
          <xdr:col>4</xdr:col>
          <xdr:colOff>628650</xdr:colOff>
          <xdr:row>45</xdr:row>
          <xdr:rowOff>133350</xdr:rowOff>
        </xdr:to>
        <xdr:sp macro="" textlink="">
          <xdr:nvSpPr>
            <xdr:cNvPr id="39975" name="Button 39" hidden="1">
              <a:extLst>
                <a:ext uri="{63B3BB69-23CF-44E3-9099-C40C66FF867C}">
                  <a14:compatExt spid="_x0000_s39975"/>
                </a:ext>
                <a:ext uri="{FF2B5EF4-FFF2-40B4-BE49-F238E27FC236}">
                  <a16:creationId xmlns:a16="http://schemas.microsoft.com/office/drawing/2014/main" id="{00000000-0008-0000-3100-000027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6</xdr:row>
          <xdr:rowOff>0</xdr:rowOff>
        </xdr:from>
        <xdr:to>
          <xdr:col>9</xdr:col>
          <xdr:colOff>409575</xdr:colOff>
          <xdr:row>7</xdr:row>
          <xdr:rowOff>95250</xdr:rowOff>
        </xdr:to>
        <xdr:sp macro="" textlink="">
          <xdr:nvSpPr>
            <xdr:cNvPr id="39977" name="Button 41" hidden="1">
              <a:extLst>
                <a:ext uri="{63B3BB69-23CF-44E3-9099-C40C66FF867C}">
                  <a14:compatExt spid="_x0000_s39977"/>
                </a:ext>
                <a:ext uri="{FF2B5EF4-FFF2-40B4-BE49-F238E27FC236}">
                  <a16:creationId xmlns:a16="http://schemas.microsoft.com/office/drawing/2014/main" id="{00000000-0008-0000-3100-000029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3</xdr:row>
          <xdr:rowOff>66675</xdr:rowOff>
        </xdr:from>
        <xdr:to>
          <xdr:col>9</xdr:col>
          <xdr:colOff>409575</xdr:colOff>
          <xdr:row>5</xdr:row>
          <xdr:rowOff>133350</xdr:rowOff>
        </xdr:to>
        <xdr:sp macro="" textlink="">
          <xdr:nvSpPr>
            <xdr:cNvPr id="39978" name="Button 42" hidden="1">
              <a:extLst>
                <a:ext uri="{63B3BB69-23CF-44E3-9099-C40C66FF867C}">
                  <a14:compatExt spid="_x0000_s39978"/>
                </a:ext>
                <a:ext uri="{FF2B5EF4-FFF2-40B4-BE49-F238E27FC236}">
                  <a16:creationId xmlns:a16="http://schemas.microsoft.com/office/drawing/2014/main" id="{00000000-0008-0000-3100-00002A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10</xdr:row>
          <xdr:rowOff>133350</xdr:rowOff>
        </xdr:from>
        <xdr:to>
          <xdr:col>9</xdr:col>
          <xdr:colOff>409575</xdr:colOff>
          <xdr:row>12</xdr:row>
          <xdr:rowOff>19050</xdr:rowOff>
        </xdr:to>
        <xdr:sp macro="" textlink="">
          <xdr:nvSpPr>
            <xdr:cNvPr id="39980" name="Button 44" hidden="1">
              <a:extLst>
                <a:ext uri="{63B3BB69-23CF-44E3-9099-C40C66FF867C}">
                  <a14:compatExt spid="_x0000_s39980"/>
                </a:ext>
                <a:ext uri="{FF2B5EF4-FFF2-40B4-BE49-F238E27FC236}">
                  <a16:creationId xmlns:a16="http://schemas.microsoft.com/office/drawing/2014/main" id="{00000000-0008-0000-3100-00002C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9</xdr:row>
          <xdr:rowOff>19050</xdr:rowOff>
        </xdr:from>
        <xdr:to>
          <xdr:col>9</xdr:col>
          <xdr:colOff>409575</xdr:colOff>
          <xdr:row>10</xdr:row>
          <xdr:rowOff>104775</xdr:rowOff>
        </xdr:to>
        <xdr:sp macro="" textlink="">
          <xdr:nvSpPr>
            <xdr:cNvPr id="39981" name="Button 45" hidden="1">
              <a:extLst>
                <a:ext uri="{63B3BB69-23CF-44E3-9099-C40C66FF867C}">
                  <a14:compatExt spid="_x0000_s39981"/>
                </a:ext>
                <a:ext uri="{FF2B5EF4-FFF2-40B4-BE49-F238E27FC236}">
                  <a16:creationId xmlns:a16="http://schemas.microsoft.com/office/drawing/2014/main" id="{00000000-0008-0000-3100-00002D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7</xdr:row>
          <xdr:rowOff>104775</xdr:rowOff>
        </xdr:from>
        <xdr:to>
          <xdr:col>9</xdr:col>
          <xdr:colOff>409575</xdr:colOff>
          <xdr:row>9</xdr:row>
          <xdr:rowOff>0</xdr:rowOff>
        </xdr:to>
        <xdr:sp macro="" textlink="">
          <xdr:nvSpPr>
            <xdr:cNvPr id="39982" name="Button 46" hidden="1">
              <a:extLst>
                <a:ext uri="{63B3BB69-23CF-44E3-9099-C40C66FF867C}">
                  <a14:compatExt spid="_x0000_s39982"/>
                </a:ext>
                <a:ext uri="{FF2B5EF4-FFF2-40B4-BE49-F238E27FC236}">
                  <a16:creationId xmlns:a16="http://schemas.microsoft.com/office/drawing/2014/main" id="{00000000-0008-0000-3100-00002E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5</xdr:row>
          <xdr:rowOff>438150</xdr:rowOff>
        </xdr:from>
        <xdr:to>
          <xdr:col>9</xdr:col>
          <xdr:colOff>409575</xdr:colOff>
          <xdr:row>5</xdr:row>
          <xdr:rowOff>714375</xdr:rowOff>
        </xdr:to>
        <xdr:sp macro="" textlink="">
          <xdr:nvSpPr>
            <xdr:cNvPr id="39983" name="Button 47" hidden="1">
              <a:extLst>
                <a:ext uri="{63B3BB69-23CF-44E3-9099-C40C66FF867C}">
                  <a14:compatExt spid="_x0000_s39983"/>
                </a:ext>
                <a:ext uri="{FF2B5EF4-FFF2-40B4-BE49-F238E27FC236}">
                  <a16:creationId xmlns:a16="http://schemas.microsoft.com/office/drawing/2014/main" id="{00000000-0008-0000-3100-00002F9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171450</xdr:colOff>
          <xdr:row>2</xdr:row>
          <xdr:rowOff>114300</xdr:rowOff>
        </xdr:from>
        <xdr:to>
          <xdr:col>13</xdr:col>
          <xdr:colOff>1543050</xdr:colOff>
          <xdr:row>2</xdr:row>
          <xdr:rowOff>400050</xdr:rowOff>
        </xdr:to>
        <xdr:sp macro="" textlink="">
          <xdr:nvSpPr>
            <xdr:cNvPr id="12309" name="Button 21" hidden="1">
              <a:extLst>
                <a:ext uri="{63B3BB69-23CF-44E3-9099-C40C66FF867C}">
                  <a14:compatExt spid="_x0000_s12309"/>
                </a:ext>
                <a:ext uri="{FF2B5EF4-FFF2-40B4-BE49-F238E27FC236}">
                  <a16:creationId xmlns:a16="http://schemas.microsoft.com/office/drawing/2014/main" id="{00000000-0008-0000-3200-00001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6</xdr:row>
          <xdr:rowOff>57150</xdr:rowOff>
        </xdr:from>
        <xdr:to>
          <xdr:col>13</xdr:col>
          <xdr:colOff>1543050</xdr:colOff>
          <xdr:row>6</xdr:row>
          <xdr:rowOff>323850</xdr:rowOff>
        </xdr:to>
        <xdr:sp macro="" textlink="">
          <xdr:nvSpPr>
            <xdr:cNvPr id="12310" name="Button 22" hidden="1">
              <a:extLst>
                <a:ext uri="{63B3BB69-23CF-44E3-9099-C40C66FF867C}">
                  <a14:compatExt spid="_x0000_s12310"/>
                </a:ext>
                <a:ext uri="{FF2B5EF4-FFF2-40B4-BE49-F238E27FC236}">
                  <a16:creationId xmlns:a16="http://schemas.microsoft.com/office/drawing/2014/main" id="{00000000-0008-0000-3200-00001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Calculate Tax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4</xdr:row>
          <xdr:rowOff>95250</xdr:rowOff>
        </xdr:from>
        <xdr:to>
          <xdr:col>13</xdr:col>
          <xdr:colOff>1543050</xdr:colOff>
          <xdr:row>6</xdr:row>
          <xdr:rowOff>28575</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32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1</xdr:row>
          <xdr:rowOff>57150</xdr:rowOff>
        </xdr:from>
        <xdr:to>
          <xdr:col>13</xdr:col>
          <xdr:colOff>1543050</xdr:colOff>
          <xdr:row>2</xdr:row>
          <xdr:rowOff>95250</xdr:rowOff>
        </xdr:to>
        <xdr:sp macro="" textlink="">
          <xdr:nvSpPr>
            <xdr:cNvPr id="12325" name="Button 37" hidden="1">
              <a:extLst>
                <a:ext uri="{63B3BB69-23CF-44E3-9099-C40C66FF867C}">
                  <a14:compatExt spid="_x0000_s12325"/>
                </a:ext>
                <a:ext uri="{FF2B5EF4-FFF2-40B4-BE49-F238E27FC236}">
                  <a16:creationId xmlns:a16="http://schemas.microsoft.com/office/drawing/2014/main" id="{00000000-0008-0000-3200-00002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2</xdr:row>
          <xdr:rowOff>409575</xdr:rowOff>
        </xdr:from>
        <xdr:to>
          <xdr:col>13</xdr:col>
          <xdr:colOff>1543050</xdr:colOff>
          <xdr:row>4</xdr:row>
          <xdr:rowOff>76200</xdr:rowOff>
        </xdr:to>
        <xdr:sp macro="" textlink="">
          <xdr:nvSpPr>
            <xdr:cNvPr id="12327" name="Button 39" hidden="1">
              <a:extLst>
                <a:ext uri="{63B3BB69-23CF-44E3-9099-C40C66FF867C}">
                  <a14:compatExt spid="_x0000_s12327"/>
                </a:ext>
                <a:ext uri="{FF2B5EF4-FFF2-40B4-BE49-F238E27FC236}">
                  <a16:creationId xmlns:a16="http://schemas.microsoft.com/office/drawing/2014/main" id="{00000000-0008-0000-3200-00002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8</xdr:row>
          <xdr:rowOff>133350</xdr:rowOff>
        </xdr:from>
        <xdr:to>
          <xdr:col>13</xdr:col>
          <xdr:colOff>1543050</xdr:colOff>
          <xdr:row>9</xdr:row>
          <xdr:rowOff>95250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32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7</xdr:row>
          <xdr:rowOff>171450</xdr:rowOff>
        </xdr:from>
        <xdr:to>
          <xdr:col>13</xdr:col>
          <xdr:colOff>1543050</xdr:colOff>
          <xdr:row>8</xdr:row>
          <xdr:rowOff>114300</xdr:rowOff>
        </xdr:to>
        <xdr:sp macro="" textlink="">
          <xdr:nvSpPr>
            <xdr:cNvPr id="12329" name="Button 41" hidden="1">
              <a:extLst>
                <a:ext uri="{63B3BB69-23CF-44E3-9099-C40C66FF867C}">
                  <a14:compatExt spid="_x0000_s12329"/>
                </a:ext>
                <a:ext uri="{FF2B5EF4-FFF2-40B4-BE49-F238E27FC236}">
                  <a16:creationId xmlns:a16="http://schemas.microsoft.com/office/drawing/2014/main" id="{00000000-0008-0000-3200-00002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171450</xdr:colOff>
          <xdr:row>6</xdr:row>
          <xdr:rowOff>342900</xdr:rowOff>
        </xdr:from>
        <xdr:to>
          <xdr:col>13</xdr:col>
          <xdr:colOff>1543050</xdr:colOff>
          <xdr:row>7</xdr:row>
          <xdr:rowOff>142875</xdr:rowOff>
        </xdr:to>
        <xdr:sp macro="" textlink="">
          <xdr:nvSpPr>
            <xdr:cNvPr id="12330" name="Button 42" hidden="1">
              <a:extLst>
                <a:ext uri="{63B3BB69-23CF-44E3-9099-C40C66FF867C}">
                  <a14:compatExt spid="_x0000_s12330"/>
                </a:ext>
                <a:ext uri="{FF2B5EF4-FFF2-40B4-BE49-F238E27FC236}">
                  <a16:creationId xmlns:a16="http://schemas.microsoft.com/office/drawing/2014/main" id="{00000000-0008-0000-3200-00002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117</xdr:row>
          <xdr:rowOff>19050</xdr:rowOff>
        </xdr:from>
        <xdr:to>
          <xdr:col>7</xdr:col>
          <xdr:colOff>342900</xdr:colOff>
          <xdr:row>117</xdr:row>
          <xdr:rowOff>285750</xdr:rowOff>
        </xdr:to>
        <xdr:sp macro="" textlink="">
          <xdr:nvSpPr>
            <xdr:cNvPr id="12463" name="Button 175" hidden="1">
              <a:extLst>
                <a:ext uri="{63B3BB69-23CF-44E3-9099-C40C66FF867C}">
                  <a14:compatExt spid="_x0000_s12463"/>
                </a:ext>
                <a:ext uri="{FF2B5EF4-FFF2-40B4-BE49-F238E27FC236}">
                  <a16:creationId xmlns:a16="http://schemas.microsoft.com/office/drawing/2014/main" id="{00000000-0008-0000-3200-0000A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xdr:row>
          <xdr:rowOff>0</xdr:rowOff>
        </xdr:from>
        <xdr:to>
          <xdr:col>13</xdr:col>
          <xdr:colOff>666750</xdr:colOff>
          <xdr:row>11</xdr:row>
          <xdr:rowOff>66675</xdr:rowOff>
        </xdr:to>
        <xdr:sp macro="" textlink="">
          <xdr:nvSpPr>
            <xdr:cNvPr id="12489" name="Button 201" hidden="1">
              <a:extLst>
                <a:ext uri="{63B3BB69-23CF-44E3-9099-C40C66FF867C}">
                  <a14:compatExt spid="_x0000_s12489"/>
                </a:ext>
                <a:ext uri="{FF2B5EF4-FFF2-40B4-BE49-F238E27FC236}">
                  <a16:creationId xmlns:a16="http://schemas.microsoft.com/office/drawing/2014/main" id="{00000000-0008-0000-3200-0000C9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FF0000"/>
                  </a:solidFill>
                  <a:latin typeface="Calibri"/>
                  <a:cs typeface="Calibri"/>
                </a:rPr>
                <a:t>e-Pay Tax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99</xdr:row>
          <xdr:rowOff>190500</xdr:rowOff>
        </xdr:from>
        <xdr:to>
          <xdr:col>10</xdr:col>
          <xdr:colOff>0</xdr:colOff>
          <xdr:row>100</xdr:row>
          <xdr:rowOff>209550</xdr:rowOff>
        </xdr:to>
        <xdr:sp macro="" textlink="">
          <xdr:nvSpPr>
            <xdr:cNvPr id="203658" name="Button 1930" hidden="1">
              <a:extLst>
                <a:ext uri="{63B3BB69-23CF-44E3-9099-C40C66FF867C}">
                  <a14:compatExt spid="_x0000_s203658"/>
                </a:ext>
                <a:ext uri="{FF2B5EF4-FFF2-40B4-BE49-F238E27FC236}">
                  <a16:creationId xmlns:a16="http://schemas.microsoft.com/office/drawing/2014/main" id="{00000000-0008-0000-3200-00008A1B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3366FF"/>
                  </a:solidFill>
                  <a:latin typeface="Calibri"/>
                  <a:cs typeface="Calibri"/>
                </a:rPr>
                <a:t>e-PayTax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114</xdr:row>
          <xdr:rowOff>28575</xdr:rowOff>
        </xdr:from>
        <xdr:to>
          <xdr:col>9</xdr:col>
          <xdr:colOff>1885950</xdr:colOff>
          <xdr:row>114</xdr:row>
          <xdr:rowOff>180975</xdr:rowOff>
        </xdr:to>
        <xdr:sp macro="" textlink="">
          <xdr:nvSpPr>
            <xdr:cNvPr id="203663" name="Check Box 1935" hidden="1">
              <a:extLst>
                <a:ext uri="{63B3BB69-23CF-44E3-9099-C40C66FF867C}">
                  <a14:compatExt spid="_x0000_s203663"/>
                </a:ext>
                <a:ext uri="{FF2B5EF4-FFF2-40B4-BE49-F238E27FC236}">
                  <a16:creationId xmlns:a16="http://schemas.microsoft.com/office/drawing/2014/main" id="{00000000-0008-0000-3200-00008F1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115</xdr:row>
          <xdr:rowOff>28575</xdr:rowOff>
        </xdr:from>
        <xdr:to>
          <xdr:col>9</xdr:col>
          <xdr:colOff>1857375</xdr:colOff>
          <xdr:row>116</xdr:row>
          <xdr:rowOff>0</xdr:rowOff>
        </xdr:to>
        <xdr:sp macro="" textlink="">
          <xdr:nvSpPr>
            <xdr:cNvPr id="203664" name="Check Box 1936" hidden="1">
              <a:extLst>
                <a:ext uri="{63B3BB69-23CF-44E3-9099-C40C66FF867C}">
                  <a14:compatExt spid="_x0000_s203664"/>
                </a:ext>
                <a:ext uri="{FF2B5EF4-FFF2-40B4-BE49-F238E27FC236}">
                  <a16:creationId xmlns:a16="http://schemas.microsoft.com/office/drawing/2014/main" id="{00000000-0008-0000-3200-0000901B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247650</xdr:colOff>
          <xdr:row>2</xdr:row>
          <xdr:rowOff>171450</xdr:rowOff>
        </xdr:from>
        <xdr:to>
          <xdr:col>15</xdr:col>
          <xdr:colOff>400050</xdr:colOff>
          <xdr:row>4</xdr:row>
          <xdr:rowOff>114300</xdr:rowOff>
        </xdr:to>
        <xdr:sp macro="" textlink="">
          <xdr:nvSpPr>
            <xdr:cNvPr id="201734" name="Button 6" hidden="1">
              <a:extLst>
                <a:ext uri="{63B3BB69-23CF-44E3-9099-C40C66FF867C}">
                  <a14:compatExt spid="_x0000_s201734"/>
                </a:ext>
                <a:ext uri="{FF2B5EF4-FFF2-40B4-BE49-F238E27FC236}">
                  <a16:creationId xmlns:a16="http://schemas.microsoft.com/office/drawing/2014/main" id="{00000000-0008-0000-3300-0000061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4</xdr:row>
          <xdr:rowOff>152400</xdr:rowOff>
        </xdr:from>
        <xdr:to>
          <xdr:col>15</xdr:col>
          <xdr:colOff>400050</xdr:colOff>
          <xdr:row>5</xdr:row>
          <xdr:rowOff>76200</xdr:rowOff>
        </xdr:to>
        <xdr:sp macro="" textlink="">
          <xdr:nvSpPr>
            <xdr:cNvPr id="201735" name="Button 7" hidden="1">
              <a:extLst>
                <a:ext uri="{63B3BB69-23CF-44E3-9099-C40C66FF867C}">
                  <a14:compatExt spid="_x0000_s201735"/>
                </a:ext>
                <a:ext uri="{FF2B5EF4-FFF2-40B4-BE49-F238E27FC236}">
                  <a16:creationId xmlns:a16="http://schemas.microsoft.com/office/drawing/2014/main" id="{00000000-0008-0000-3300-0000071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1</xdr:row>
          <xdr:rowOff>38100</xdr:rowOff>
        </xdr:from>
        <xdr:to>
          <xdr:col>15</xdr:col>
          <xdr:colOff>400050</xdr:colOff>
          <xdr:row>2</xdr:row>
          <xdr:rowOff>171450</xdr:rowOff>
        </xdr:to>
        <xdr:sp macro="" textlink="">
          <xdr:nvSpPr>
            <xdr:cNvPr id="201736" name="Button 8" hidden="1">
              <a:extLst>
                <a:ext uri="{63B3BB69-23CF-44E3-9099-C40C66FF867C}">
                  <a14:compatExt spid="_x0000_s201736"/>
                </a:ext>
                <a:ext uri="{FF2B5EF4-FFF2-40B4-BE49-F238E27FC236}">
                  <a16:creationId xmlns:a16="http://schemas.microsoft.com/office/drawing/2014/main" id="{00000000-0008-0000-3300-0000081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9</xdr:row>
          <xdr:rowOff>142875</xdr:rowOff>
        </xdr:from>
        <xdr:to>
          <xdr:col>15</xdr:col>
          <xdr:colOff>400050</xdr:colOff>
          <xdr:row>9</xdr:row>
          <xdr:rowOff>419100</xdr:rowOff>
        </xdr:to>
        <xdr:sp macro="" textlink="">
          <xdr:nvSpPr>
            <xdr:cNvPr id="201738" name="Button 10" hidden="1">
              <a:extLst>
                <a:ext uri="{63B3BB69-23CF-44E3-9099-C40C66FF867C}">
                  <a14:compatExt spid="_x0000_s201738"/>
                </a:ext>
                <a:ext uri="{FF2B5EF4-FFF2-40B4-BE49-F238E27FC236}">
                  <a16:creationId xmlns:a16="http://schemas.microsoft.com/office/drawing/2014/main" id="{00000000-0008-0000-3300-00000A1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8</xdr:row>
          <xdr:rowOff>28575</xdr:rowOff>
        </xdr:from>
        <xdr:to>
          <xdr:col>15</xdr:col>
          <xdr:colOff>400050</xdr:colOff>
          <xdr:row>9</xdr:row>
          <xdr:rowOff>133350</xdr:rowOff>
        </xdr:to>
        <xdr:sp macro="" textlink="">
          <xdr:nvSpPr>
            <xdr:cNvPr id="201739" name="Button 11" hidden="1">
              <a:extLst>
                <a:ext uri="{63B3BB69-23CF-44E3-9099-C40C66FF867C}">
                  <a14:compatExt spid="_x0000_s201739"/>
                </a:ext>
                <a:ext uri="{FF2B5EF4-FFF2-40B4-BE49-F238E27FC236}">
                  <a16:creationId xmlns:a16="http://schemas.microsoft.com/office/drawing/2014/main" id="{00000000-0008-0000-3300-00000B1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247650</xdr:colOff>
          <xdr:row>5</xdr:row>
          <xdr:rowOff>95250</xdr:rowOff>
        </xdr:from>
        <xdr:to>
          <xdr:col>15</xdr:col>
          <xdr:colOff>400050</xdr:colOff>
          <xdr:row>8</xdr:row>
          <xdr:rowOff>19050</xdr:rowOff>
        </xdr:to>
        <xdr:sp macro="" textlink="">
          <xdr:nvSpPr>
            <xdr:cNvPr id="201740" name="Button 12" hidden="1">
              <a:extLst>
                <a:ext uri="{63B3BB69-23CF-44E3-9099-C40C66FF867C}">
                  <a14:compatExt spid="_x0000_s201740"/>
                </a:ext>
                <a:ext uri="{FF2B5EF4-FFF2-40B4-BE49-F238E27FC236}">
                  <a16:creationId xmlns:a16="http://schemas.microsoft.com/office/drawing/2014/main" id="{00000000-0008-0000-3300-00000C14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1" i="0" u="none" strike="noStrike" baseline="0">
                  <a:solidFill>
                    <a:srgbClr val="000000"/>
                  </a:solidFill>
                  <a:latin typeface="Calibri"/>
                  <a:cs typeface="Calibri"/>
                </a:rPr>
                <a:t>Generate JSON</a:t>
              </a:r>
            </a:p>
          </xdr:txBody>
        </xdr:sp>
        <xdr:clientData fPrintsWithSheet="0"/>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66675</xdr:colOff>
          <xdr:row>2</xdr:row>
          <xdr:rowOff>95250</xdr:rowOff>
        </xdr:from>
        <xdr:to>
          <xdr:col>10</xdr:col>
          <xdr:colOff>971550</xdr:colOff>
          <xdr:row>3</xdr:row>
          <xdr:rowOff>133350</xdr:rowOff>
        </xdr:to>
        <xdr:sp macro="" textlink="">
          <xdr:nvSpPr>
            <xdr:cNvPr id="41986" name="Button 2" hidden="1">
              <a:extLst>
                <a:ext uri="{63B3BB69-23CF-44E3-9099-C40C66FF867C}">
                  <a14:compatExt spid="_x0000_s41986"/>
                </a:ext>
                <a:ext uri="{FF2B5EF4-FFF2-40B4-BE49-F238E27FC236}">
                  <a16:creationId xmlns:a16="http://schemas.microsoft.com/office/drawing/2014/main" id="{00000000-0008-0000-3400-000002A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xdr:row>
          <xdr:rowOff>19050</xdr:rowOff>
        </xdr:from>
        <xdr:to>
          <xdr:col>10</xdr:col>
          <xdr:colOff>971550</xdr:colOff>
          <xdr:row>2</xdr:row>
          <xdr:rowOff>66675</xdr:rowOff>
        </xdr:to>
        <xdr:sp macro="" textlink="">
          <xdr:nvSpPr>
            <xdr:cNvPr id="41988" name="Button 4" hidden="1">
              <a:extLst>
                <a:ext uri="{63B3BB69-23CF-44E3-9099-C40C66FF867C}">
                  <a14:compatExt spid="_x0000_s41988"/>
                </a:ext>
                <a:ext uri="{FF2B5EF4-FFF2-40B4-BE49-F238E27FC236}">
                  <a16:creationId xmlns:a16="http://schemas.microsoft.com/office/drawing/2014/main" id="{00000000-0008-0000-3400-000004A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Prev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0</xdr:row>
          <xdr:rowOff>76200</xdr:rowOff>
        </xdr:from>
        <xdr:to>
          <xdr:col>10</xdr:col>
          <xdr:colOff>952500</xdr:colOff>
          <xdr:row>1</xdr:row>
          <xdr:rowOff>0</xdr:rowOff>
        </xdr:to>
        <xdr:sp macro="" textlink="">
          <xdr:nvSpPr>
            <xdr:cNvPr id="41989" name="Button 5" hidden="1">
              <a:extLst>
                <a:ext uri="{63B3BB69-23CF-44E3-9099-C40C66FF867C}">
                  <a14:compatExt spid="_x0000_s41989"/>
                </a:ext>
                <a:ext uri="{FF2B5EF4-FFF2-40B4-BE49-F238E27FC236}">
                  <a16:creationId xmlns:a16="http://schemas.microsoft.com/office/drawing/2014/main" id="{00000000-0008-0000-3400-000005A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57150</xdr:rowOff>
        </xdr:from>
        <xdr:to>
          <xdr:col>10</xdr:col>
          <xdr:colOff>971550</xdr:colOff>
          <xdr:row>7</xdr:row>
          <xdr:rowOff>133350</xdr:rowOff>
        </xdr:to>
        <xdr:sp macro="" textlink="">
          <xdr:nvSpPr>
            <xdr:cNvPr id="41991" name="Button 7" hidden="1">
              <a:extLst>
                <a:ext uri="{63B3BB69-23CF-44E3-9099-C40C66FF867C}">
                  <a14:compatExt spid="_x0000_s41991"/>
                </a:ext>
                <a:ext uri="{FF2B5EF4-FFF2-40B4-BE49-F238E27FC236}">
                  <a16:creationId xmlns:a16="http://schemas.microsoft.com/office/drawing/2014/main" id="{00000000-0008-0000-3400-000007A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Help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xdr:row>
          <xdr:rowOff>152400</xdr:rowOff>
        </xdr:from>
        <xdr:to>
          <xdr:col>10</xdr:col>
          <xdr:colOff>971550</xdr:colOff>
          <xdr:row>5</xdr:row>
          <xdr:rowOff>57150</xdr:rowOff>
        </xdr:to>
        <xdr:sp macro="" textlink="">
          <xdr:nvSpPr>
            <xdr:cNvPr id="41992" name="Button 8" hidden="1">
              <a:extLst>
                <a:ext uri="{63B3BB69-23CF-44E3-9099-C40C66FF867C}">
                  <a14:compatExt spid="_x0000_s41992"/>
                </a:ext>
                <a:ext uri="{FF2B5EF4-FFF2-40B4-BE49-F238E27FC236}">
                  <a16:creationId xmlns:a16="http://schemas.microsoft.com/office/drawing/2014/main" id="{00000000-0008-0000-3400-000008A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0</xdr:rowOff>
        </xdr:from>
        <xdr:to>
          <xdr:col>10</xdr:col>
          <xdr:colOff>971550</xdr:colOff>
          <xdr:row>6</xdr:row>
          <xdr:rowOff>76200</xdr:rowOff>
        </xdr:to>
        <xdr:sp macro="" textlink="">
          <xdr:nvSpPr>
            <xdr:cNvPr id="41993" name="Button 9" hidden="1">
              <a:extLst>
                <a:ext uri="{63B3BB69-23CF-44E3-9099-C40C66FF867C}">
                  <a14:compatExt spid="_x0000_s41993"/>
                </a:ext>
                <a:ext uri="{FF2B5EF4-FFF2-40B4-BE49-F238E27FC236}">
                  <a16:creationId xmlns:a16="http://schemas.microsoft.com/office/drawing/2014/main" id="{00000000-0008-0000-3400-000009A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Generate XML</a:t>
              </a:r>
            </a:p>
          </xdr:txBody>
        </xdr:sp>
        <xdr:clientData fPrintsWithSheet="0"/>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247650</xdr:colOff>
          <xdr:row>2</xdr:row>
          <xdr:rowOff>57150</xdr:rowOff>
        </xdr:from>
        <xdr:to>
          <xdr:col>4</xdr:col>
          <xdr:colOff>1352550</xdr:colOff>
          <xdr:row>5</xdr:row>
          <xdr:rowOff>0</xdr:rowOff>
        </xdr:to>
        <xdr:sp macro="" textlink="">
          <xdr:nvSpPr>
            <xdr:cNvPr id="102401" name="Button 1" hidden="1">
              <a:extLst>
                <a:ext uri="{63B3BB69-23CF-44E3-9099-C40C66FF867C}">
                  <a14:compatExt spid="_x0000_s102401"/>
                </a:ext>
                <a:ext uri="{FF2B5EF4-FFF2-40B4-BE49-F238E27FC236}">
                  <a16:creationId xmlns:a16="http://schemas.microsoft.com/office/drawing/2014/main" id="{00000000-0008-0000-3700-000001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Times New Roman"/>
                  <a:cs typeface="Times New Roman"/>
                </a:rPr>
                <a:t>Save JSON</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10</xdr:row>
          <xdr:rowOff>19050</xdr:rowOff>
        </xdr:from>
        <xdr:to>
          <xdr:col>1</xdr:col>
          <xdr:colOff>704850</xdr:colOff>
          <xdr:row>11</xdr:row>
          <xdr:rowOff>133350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38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0</xdr:row>
          <xdr:rowOff>57150</xdr:rowOff>
        </xdr:from>
        <xdr:to>
          <xdr:col>7</xdr:col>
          <xdr:colOff>981075</xdr:colOff>
          <xdr:row>0</xdr:row>
          <xdr:rowOff>304800</xdr:rowOff>
        </xdr:to>
        <xdr:sp macro="" textlink="">
          <xdr:nvSpPr>
            <xdr:cNvPr id="105483" name="Button 11" hidden="1">
              <a:extLst>
                <a:ext uri="{63B3BB69-23CF-44E3-9099-C40C66FF867C}">
                  <a14:compatExt spid="_x0000_s105483"/>
                </a:ext>
                <a:ext uri="{FF2B5EF4-FFF2-40B4-BE49-F238E27FC236}">
                  <a16:creationId xmlns:a16="http://schemas.microsoft.com/office/drawing/2014/main" id="{00000000-0008-0000-3800-00000B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Home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0</xdr:row>
          <xdr:rowOff>323850</xdr:rowOff>
        </xdr:from>
        <xdr:to>
          <xdr:col>7</xdr:col>
          <xdr:colOff>981075</xdr:colOff>
          <xdr:row>2</xdr:row>
          <xdr:rowOff>66675</xdr:rowOff>
        </xdr:to>
        <xdr:sp macro="" textlink="">
          <xdr:nvSpPr>
            <xdr:cNvPr id="105484" name="Button 12" hidden="1">
              <a:extLst>
                <a:ext uri="{63B3BB69-23CF-44E3-9099-C40C66FF867C}">
                  <a14:compatExt spid="_x0000_s105484"/>
                </a:ext>
                <a:ext uri="{FF2B5EF4-FFF2-40B4-BE49-F238E27FC236}">
                  <a16:creationId xmlns:a16="http://schemas.microsoft.com/office/drawing/2014/main" id="{00000000-0008-0000-3800-00000C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2</xdr:row>
          <xdr:rowOff>76200</xdr:rowOff>
        </xdr:from>
        <xdr:to>
          <xdr:col>7</xdr:col>
          <xdr:colOff>981075</xdr:colOff>
          <xdr:row>3</xdr:row>
          <xdr:rowOff>171450</xdr:rowOff>
        </xdr:to>
        <xdr:sp macro="" textlink="">
          <xdr:nvSpPr>
            <xdr:cNvPr id="105485" name="Button 13" hidden="1">
              <a:extLst>
                <a:ext uri="{63B3BB69-23CF-44E3-9099-C40C66FF867C}">
                  <a14:compatExt spid="_x0000_s105485"/>
                </a:ext>
                <a:ext uri="{FF2B5EF4-FFF2-40B4-BE49-F238E27FC236}">
                  <a16:creationId xmlns:a16="http://schemas.microsoft.com/office/drawing/2014/main" id="{00000000-0008-0000-3800-00000D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Next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xdr:row>
          <xdr:rowOff>171450</xdr:rowOff>
        </xdr:from>
        <xdr:to>
          <xdr:col>7</xdr:col>
          <xdr:colOff>981075</xdr:colOff>
          <xdr:row>3</xdr:row>
          <xdr:rowOff>419100</xdr:rowOff>
        </xdr:to>
        <xdr:sp macro="" textlink="">
          <xdr:nvSpPr>
            <xdr:cNvPr id="105486" name="Button 14" hidden="1">
              <a:extLst>
                <a:ext uri="{63B3BB69-23CF-44E3-9099-C40C66FF867C}">
                  <a14:compatExt spid="_x0000_s105486"/>
                </a:ext>
                <a:ext uri="{FF2B5EF4-FFF2-40B4-BE49-F238E27FC236}">
                  <a16:creationId xmlns:a16="http://schemas.microsoft.com/office/drawing/2014/main" id="{00000000-0008-0000-3800-00000E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Prev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xdr:row>
          <xdr:rowOff>438150</xdr:rowOff>
        </xdr:from>
        <xdr:to>
          <xdr:col>7</xdr:col>
          <xdr:colOff>981075</xdr:colOff>
          <xdr:row>4</xdr:row>
          <xdr:rowOff>133350</xdr:rowOff>
        </xdr:to>
        <xdr:sp macro="" textlink="">
          <xdr:nvSpPr>
            <xdr:cNvPr id="105487" name="Button 15" hidden="1">
              <a:extLst>
                <a:ext uri="{63B3BB69-23CF-44E3-9099-C40C66FF867C}">
                  <a14:compatExt spid="_x0000_s105487"/>
                </a:ext>
                <a:ext uri="{FF2B5EF4-FFF2-40B4-BE49-F238E27FC236}">
                  <a16:creationId xmlns:a16="http://schemas.microsoft.com/office/drawing/2014/main" id="{00000000-0008-0000-3800-00000F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Validate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4</xdr:row>
          <xdr:rowOff>142875</xdr:rowOff>
        </xdr:from>
        <xdr:to>
          <xdr:col>7</xdr:col>
          <xdr:colOff>981075</xdr:colOff>
          <xdr:row>4</xdr:row>
          <xdr:rowOff>361950</xdr:rowOff>
        </xdr:to>
        <xdr:sp macro="" textlink="">
          <xdr:nvSpPr>
            <xdr:cNvPr id="105488" name="Button 16" hidden="1">
              <a:extLst>
                <a:ext uri="{63B3BB69-23CF-44E3-9099-C40C66FF867C}">
                  <a14:compatExt spid="_x0000_s105488"/>
                </a:ext>
                <a:ext uri="{FF2B5EF4-FFF2-40B4-BE49-F238E27FC236}">
                  <a16:creationId xmlns:a16="http://schemas.microsoft.com/office/drawing/2014/main" id="{00000000-0008-0000-3800-000010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4</xdr:row>
          <xdr:rowOff>371475</xdr:rowOff>
        </xdr:from>
        <xdr:to>
          <xdr:col>7</xdr:col>
          <xdr:colOff>981075</xdr:colOff>
          <xdr:row>4</xdr:row>
          <xdr:rowOff>590550</xdr:rowOff>
        </xdr:to>
        <xdr:sp macro="" textlink="">
          <xdr:nvSpPr>
            <xdr:cNvPr id="105489" name="Button 17" hidden="1">
              <a:extLst>
                <a:ext uri="{63B3BB69-23CF-44E3-9099-C40C66FF867C}">
                  <a14:compatExt spid="_x0000_s105489"/>
                </a:ext>
                <a:ext uri="{FF2B5EF4-FFF2-40B4-BE49-F238E27FC236}">
                  <a16:creationId xmlns:a16="http://schemas.microsoft.com/office/drawing/2014/main" id="{00000000-0008-0000-3800-00001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1" i="0" u="none" strike="noStrike" baseline="0">
                  <a:solidFill>
                    <a:srgbClr val="000000"/>
                  </a:solidFill>
                  <a:latin typeface="Times New Roman"/>
                  <a:cs typeface="Times New Roman"/>
                </a:rPr>
                <a:t>Generate XML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9460/Desktop/issues/ITR3_2020/ITR-2Prefillxml/ITR3_2019/ITR3_2019_V9/ITR5%20For%20OS/ITR5_2018_V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19460/Desktop/issues/ITR3_2020/ITR-2Prefillxml/ITR2_2019_V1.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92615/Downloads/ITR2_2020%20(1)/ITR2_2020/ITR2_2020_V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1-22/Efiling/Release/6/38/ITR6_V1.6.3%20-%20Cop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92615/AppData/Local/Temp/Temp2_ITR4_2018.zip/ITR4_2018/2018_ITR4_PR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PART A - GENERAL(2)"/>
      <sheetName val="BALANCE_SHEET"/>
      <sheetName val="PROFIT_LOSS"/>
      <sheetName val="PART - A OI"/>
      <sheetName val="PDTCAse"/>
      <sheetName val="Tax(N)"/>
      <sheetName val="Tax"/>
      <sheetName val="QUANTITATIVE_DETAILS"/>
      <sheetName val="PARTB - TI - TTI"/>
      <sheetName val="IT"/>
      <sheetName val="TDS"/>
      <sheetName val="HOUSE_PROPERTY"/>
      <sheetName val="BP"/>
      <sheetName val="DPM_DOA"/>
      <sheetName val="DEP_DCG"/>
      <sheetName val="ESR"/>
      <sheetName val="CG"/>
      <sheetName val="OS"/>
      <sheetName val="CYLA-BFLA"/>
      <sheetName val="CFL"/>
      <sheetName val="Schedule ICDS"/>
      <sheetName val="Unabsorbed Depriciation"/>
      <sheetName val="10A"/>
      <sheetName val="80"/>
      <sheetName val="VI-A"/>
      <sheetName val="_VIA"/>
      <sheetName val="80G"/>
      <sheetName val="SI"/>
      <sheetName val="AMT"/>
      <sheetName val="AMTC"/>
      <sheetName val="EI"/>
      <sheetName val="Schedule PTI"/>
      <sheetName val="FSI"/>
      <sheetName val="TR_FA"/>
      <sheetName val="Pre_XML"/>
      <sheetName val="Help"/>
      <sheetName val="Index"/>
      <sheetName val="DB"/>
      <sheetName val="CT"/>
      <sheetName val="GST"/>
      <sheetName val="FD"/>
      <sheetName v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0">
          <cell r="P50" t="e">
            <v>#VALUE!</v>
          </cell>
        </row>
        <row r="51">
          <cell r="P51" t="e">
            <v>#VALUE!</v>
          </cell>
        </row>
        <row r="52">
          <cell r="P52" t="e">
            <v>#VALUE!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CG"/>
      <sheetName val="OS"/>
      <sheetName val="CYLA-BFLA"/>
      <sheetName val="CFL"/>
      <sheetName val="80G"/>
      <sheetName val="80GGA"/>
      <sheetName val="AMT"/>
      <sheetName val="AMTC"/>
      <sheetName val="VIA"/>
      <sheetName val="SPI - SI"/>
      <sheetName val="EI"/>
      <sheetName val="PTI"/>
      <sheetName val="FSI"/>
      <sheetName val="TR_FA"/>
      <sheetName val="SCH5A"/>
      <sheetName val="AL"/>
      <sheetName val="Help"/>
      <sheetName val="SUMMARY"/>
      <sheetName val="DropDown List"/>
      <sheetName val="IFSC"/>
      <sheetName val="TemPoraryValues"/>
      <sheetName val="SI_Section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33-CHHATTISHGARH</v>
          </cell>
        </row>
        <row r="36">
          <cell r="B36" t="str">
            <v>34-UTTARAKHAND</v>
          </cell>
        </row>
        <row r="37">
          <cell r="B37" t="str">
            <v>35-JHARKHAND</v>
          </cell>
        </row>
        <row r="38">
          <cell r="B38" t="str">
            <v>36-TELANGANA</v>
          </cell>
        </row>
        <row r="808">
          <cell r="A808" t="str">
            <v>(Select)</v>
          </cell>
        </row>
        <row r="809">
          <cell r="A809" t="str">
            <v>80GGA(2)(a)-Sum paid to Research Association or University, college or other institution for Scientific Research</v>
          </cell>
        </row>
        <row r="810">
          <cell r="A810" t="str">
            <v>80GGA(2)(aa)-Sum paid to Research Association or University, college or other institution for Social science or Statistical Research</v>
          </cell>
        </row>
        <row r="811">
          <cell r="A811" t="str">
            <v>80GGA(2)(b)-Sum paid to an association or institution for Rural Development</v>
          </cell>
        </row>
        <row r="812">
          <cell r="A812" t="str">
            <v xml:space="preserve">80GGA(2)(bb)-Sum paid to PSU or Local Authority or  an association or institution approved by the National Committee for carrying out any eligible project </v>
          </cell>
        </row>
        <row r="813">
          <cell r="A813" t="str">
            <v>80GGA(2)(c)-Sum paid to an association or institution for Conservation of Natural Resources or for afforestation</v>
          </cell>
        </row>
        <row r="814">
          <cell r="A814" t="str">
            <v>80GGA(2)(cc)-Sum paid for Afforestation, to the funds, which are notified by Central Govt.</v>
          </cell>
        </row>
        <row r="815">
          <cell r="A815" t="str">
            <v>80GGA(2)(d)-Sum paid for Rural Development to the funds, which are notified by Central Govt.</v>
          </cell>
        </row>
        <row r="816">
          <cell r="A816" t="str">
            <v>80GGA(2)(e)-Sum paid to National Urban Poverty Eradication Fund as setup and notified by Central Govt.</v>
          </cell>
        </row>
      </sheetData>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SALARY"/>
      <sheetName val="HOUSE_PROPERTY"/>
      <sheetName val="CG"/>
      <sheetName val="Tool-112A"/>
      <sheetName val="Tool-115AD(1)(iii) proviso"/>
      <sheetName val="OS"/>
      <sheetName val="CYLA-BFLA"/>
      <sheetName val="CFL"/>
      <sheetName val="DI"/>
      <sheetName val="80D"/>
      <sheetName val="80G"/>
      <sheetName val="80GGA"/>
      <sheetName val="AMT"/>
      <sheetName val="AMTC"/>
      <sheetName val="VIA"/>
      <sheetName val="SPI - SI"/>
      <sheetName val="TaxCalculated"/>
      <sheetName val="EI"/>
      <sheetName val="PTI"/>
      <sheetName val="FSI"/>
      <sheetName val="TR_FA"/>
      <sheetName val="SCH5A"/>
      <sheetName val="AL"/>
      <sheetName val="PARTB - TI - TTI"/>
      <sheetName val="IT"/>
      <sheetName val="TDS"/>
      <sheetName val="TCS"/>
      <sheetName val="TemPoraryValues"/>
      <sheetName val="VERIFICATION"/>
      <sheetName val="SI_SectionCode"/>
      <sheetName val="IFSC"/>
      <sheetName val="Help"/>
      <sheetName val="SUMMARY"/>
      <sheetName val="ISIN List"/>
      <sheetName val="DropDown List"/>
    </sheetNames>
    <sheetDataSet>
      <sheetData sheetId="0"/>
      <sheetData sheetId="1"/>
      <sheetData sheetId="2">
        <row r="5">
          <cell r="Q5">
            <v>1</v>
          </cell>
        </row>
        <row r="25">
          <cell r="L2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L28">
            <v>0</v>
          </cell>
        </row>
      </sheetData>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GENERAL2"/>
      <sheetName val="SUBSIDIARY DETAILS"/>
      <sheetName val="NATURE OF BUSINESS"/>
      <sheetName val="BALANCE SHEET"/>
      <sheetName val="Part A-Manufacturing Account"/>
      <sheetName val="Part A-Trading Account"/>
      <sheetName val="PROFIT LOSS"/>
      <sheetName val="Part A-BS - Ind AS"/>
      <sheetName val="Part AManufacturingAccountIndas"/>
      <sheetName val="Part A-Trading Account Indas"/>
      <sheetName val="Part A-P&amp; L - Ind AS"/>
      <sheetName val="PART - A OI"/>
      <sheetName val="QUANTITATIVE DETAILS"/>
      <sheetName val="PART-A OL"/>
      <sheetName val="Tax"/>
      <sheetName val="HOUSE PROPERTY"/>
      <sheetName val="BP"/>
      <sheetName val="DPM_DOA"/>
      <sheetName val="DEP_DCG"/>
      <sheetName val="ESR"/>
      <sheetName val="CG"/>
      <sheetName val="112A"/>
      <sheetName val="115AD(1)(b)(iii) proviso"/>
      <sheetName val="HelpCSV"/>
      <sheetName val="OS"/>
      <sheetName val="OS_Old"/>
      <sheetName val="CYLA-BFLA"/>
      <sheetName val="CFL"/>
      <sheetName val="Unabsorbed Depreciation"/>
      <sheetName val="ICDS"/>
      <sheetName val="10AA"/>
      <sheetName val="80G"/>
      <sheetName val="80GGA"/>
      <sheetName val="RA"/>
      <sheetName val="80"/>
      <sheetName val="80M"/>
      <sheetName val="VIA"/>
      <sheetName val="SI"/>
      <sheetName val="EI"/>
      <sheetName val="PTI"/>
      <sheetName val="MAT"/>
      <sheetName val="MATC"/>
      <sheetName val="BBS"/>
      <sheetName val="TPSA"/>
      <sheetName val="FSI"/>
      <sheetName val="TR_FA"/>
      <sheetName val="SH-1 AND SH-2"/>
      <sheetName val="AL-1"/>
      <sheetName val="AL-2"/>
      <sheetName val="GST"/>
      <sheetName val="FD"/>
      <sheetName val="PARTB - TI - TTI"/>
      <sheetName val="IT"/>
      <sheetName val="TDS"/>
      <sheetName val="Verification"/>
      <sheetName val="Index"/>
      <sheetName val="Help"/>
      <sheetName val="SUMMARY"/>
      <sheetName val="DB"/>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Details"/>
      <sheetName val="Sheet1"/>
      <sheetName val="44AE"/>
      <sheetName val="GC"/>
      <sheetName val="NOB BP"/>
      <sheetName val="TDS"/>
      <sheetName val="IT"/>
      <sheetName val="TCS"/>
      <sheetName val="Taxes Paid and Verification"/>
      <sheetName val="OLDAL"/>
      <sheetName val="AL"/>
      <sheetName val="80G"/>
      <sheetName val="CT"/>
      <sheetName val="Pre-XML Check"/>
      <sheetName val="Help"/>
      <sheetName val="DB"/>
      <sheetName val="TaxCalc"/>
      <sheetName val="Sheet2"/>
    </sheetNames>
    <sheetDataSet>
      <sheetData sheetId="0">
        <row r="43">
          <cell r="AW4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customProperty" Target="../customProperty2.bin"/><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3.v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35.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vmlDrawing" Target="../drawings/vmlDrawing4.vml"/><Relationship Id="rId9"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drawing" Target="../drawings/drawing5.xml"/><Relationship Id="rId7" Type="http://schemas.openxmlformats.org/officeDocument/2006/relationships/ctrlProp" Target="../ctrlProps/ctrlProp42.x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vmlDrawing" Target="../drawings/vmlDrawing5.vm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drawing" Target="../drawings/drawing6.x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vmlDrawing" Target="../drawings/vmlDrawing6.vml"/><Relationship Id="rId9"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drawing" Target="../drawings/drawing7.x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customProperty" Target="../customProperty7.bin"/><Relationship Id="rId16" Type="http://schemas.openxmlformats.org/officeDocument/2006/relationships/comments" Target="../comments3.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vmlDrawing" Target="../drawings/vmlDrawing7.v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drawing" Target="../drawings/drawing8.xml"/><Relationship Id="rId7" Type="http://schemas.openxmlformats.org/officeDocument/2006/relationships/ctrlProp" Target="../ctrlProps/ctrlProp69.xml"/><Relationship Id="rId12" Type="http://schemas.openxmlformats.org/officeDocument/2006/relationships/comments" Target="../comments4.x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vmlDrawing" Target="../drawings/vmlDrawing8.vml"/><Relationship Id="rId9" Type="http://schemas.openxmlformats.org/officeDocument/2006/relationships/ctrlProp" Target="../ctrlProps/ctrlProp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drawing" Target="../drawings/drawing9.x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customProperty" Target="../customProperty9.bin"/><Relationship Id="rId1" Type="http://schemas.openxmlformats.org/officeDocument/2006/relationships/printerSettings" Target="../printerSettings/printerSettings10.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vmlDrawing" Target="../drawings/vmlDrawing9.v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10.vml"/><Relationship Id="rId7" Type="http://schemas.openxmlformats.org/officeDocument/2006/relationships/ctrlProp" Target="../ctrlProps/ctrlProp87.xml"/><Relationship Id="rId12" Type="http://schemas.openxmlformats.org/officeDocument/2006/relationships/comments" Target="../comments5.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drawing" Target="../drawings/drawing11.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omments" Target="../comments6.xml"/><Relationship Id="rId2" Type="http://schemas.openxmlformats.org/officeDocument/2006/relationships/customProperty" Target="../customProperty10.bin"/><Relationship Id="rId16" Type="http://schemas.openxmlformats.org/officeDocument/2006/relationships/ctrlProp" Target="../ctrlProps/ctrlProp103.xml"/><Relationship Id="rId1" Type="http://schemas.openxmlformats.org/officeDocument/2006/relationships/printerSettings" Target="../printerSettings/printerSettings13.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4" Type="http://schemas.openxmlformats.org/officeDocument/2006/relationships/vmlDrawing" Target="../drawings/vmlDrawing11.v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3" Type="http://schemas.openxmlformats.org/officeDocument/2006/relationships/drawing" Target="../drawings/drawing12.x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5" Type="http://schemas.openxmlformats.org/officeDocument/2006/relationships/comments" Target="../comments7.xml"/><Relationship Id="rId10" Type="http://schemas.openxmlformats.org/officeDocument/2006/relationships/ctrlProp" Target="../ctrlProps/ctrlProp109.xml"/><Relationship Id="rId4" Type="http://schemas.openxmlformats.org/officeDocument/2006/relationships/vmlDrawing" Target="../drawings/vmlDrawing12.vml"/><Relationship Id="rId9" Type="http://schemas.openxmlformats.org/officeDocument/2006/relationships/ctrlProp" Target="../ctrlProps/ctrlProp108.xml"/><Relationship Id="rId14" Type="http://schemas.openxmlformats.org/officeDocument/2006/relationships/ctrlProp" Target="../ctrlProps/ctrlProp1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3" Type="http://schemas.openxmlformats.org/officeDocument/2006/relationships/drawing" Target="../drawings/drawing13.xml"/><Relationship Id="rId7" Type="http://schemas.openxmlformats.org/officeDocument/2006/relationships/ctrlProp" Target="../ctrlProps/ctrlProp116.xml"/><Relationship Id="rId12" Type="http://schemas.openxmlformats.org/officeDocument/2006/relationships/ctrlProp" Target="../ctrlProps/ctrlProp121.xml"/><Relationship Id="rId2" Type="http://schemas.openxmlformats.org/officeDocument/2006/relationships/customProperty" Target="../customProperty12.bin"/><Relationship Id="rId1" Type="http://schemas.openxmlformats.org/officeDocument/2006/relationships/printerSettings" Target="../printerSettings/printerSettings15.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0" Type="http://schemas.openxmlformats.org/officeDocument/2006/relationships/ctrlProp" Target="../ctrlProps/ctrlProp119.xml"/><Relationship Id="rId4" Type="http://schemas.openxmlformats.org/officeDocument/2006/relationships/vmlDrawing" Target="../drawings/vmlDrawing13.vml"/><Relationship Id="rId9" Type="http://schemas.openxmlformats.org/officeDocument/2006/relationships/ctrlProp" Target="../ctrlProps/ctrlProp11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6.xml"/><Relationship Id="rId3" Type="http://schemas.openxmlformats.org/officeDocument/2006/relationships/drawing" Target="../drawings/drawing14.xml"/><Relationship Id="rId7" Type="http://schemas.openxmlformats.org/officeDocument/2006/relationships/ctrlProp" Target="../ctrlProps/ctrlProp125.xml"/><Relationship Id="rId12" Type="http://schemas.openxmlformats.org/officeDocument/2006/relationships/comments" Target="../comments8.xml"/><Relationship Id="rId2" Type="http://schemas.openxmlformats.org/officeDocument/2006/relationships/customProperty" Target="../customProperty13.bin"/><Relationship Id="rId1" Type="http://schemas.openxmlformats.org/officeDocument/2006/relationships/printerSettings" Target="../printerSettings/printerSettings16.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0" Type="http://schemas.openxmlformats.org/officeDocument/2006/relationships/ctrlProp" Target="../ctrlProps/ctrlProp128.xml"/><Relationship Id="rId4" Type="http://schemas.openxmlformats.org/officeDocument/2006/relationships/vmlDrawing" Target="../drawings/vmlDrawing14.vml"/><Relationship Id="rId9" Type="http://schemas.openxmlformats.org/officeDocument/2006/relationships/ctrlProp" Target="../ctrlProps/ctrlProp12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3.xml"/><Relationship Id="rId3" Type="http://schemas.openxmlformats.org/officeDocument/2006/relationships/drawing" Target="../drawings/drawing15.xml"/><Relationship Id="rId7" Type="http://schemas.openxmlformats.org/officeDocument/2006/relationships/ctrlProp" Target="../ctrlProps/ctrlProp132.xml"/><Relationship Id="rId2" Type="http://schemas.openxmlformats.org/officeDocument/2006/relationships/customProperty" Target="../customProperty14.bin"/><Relationship Id="rId1" Type="http://schemas.openxmlformats.org/officeDocument/2006/relationships/printerSettings" Target="../printerSettings/printerSettings17.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0" Type="http://schemas.openxmlformats.org/officeDocument/2006/relationships/ctrlProp" Target="../ctrlProps/ctrlProp135.xml"/><Relationship Id="rId4" Type="http://schemas.openxmlformats.org/officeDocument/2006/relationships/vmlDrawing" Target="../drawings/vmlDrawing15.vml"/><Relationship Id="rId9" Type="http://schemas.openxmlformats.org/officeDocument/2006/relationships/ctrlProp" Target="../ctrlProps/ctrlProp13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0.xml"/><Relationship Id="rId3" Type="http://schemas.openxmlformats.org/officeDocument/2006/relationships/drawing" Target="../drawings/drawing16.xml"/><Relationship Id="rId7" Type="http://schemas.openxmlformats.org/officeDocument/2006/relationships/ctrlProp" Target="../ctrlProps/ctrlProp139.xml"/><Relationship Id="rId12" Type="http://schemas.openxmlformats.org/officeDocument/2006/relationships/comments" Target="../comments9.xml"/><Relationship Id="rId2" Type="http://schemas.openxmlformats.org/officeDocument/2006/relationships/customProperty" Target="../customProperty15.bin"/><Relationship Id="rId1" Type="http://schemas.openxmlformats.org/officeDocument/2006/relationships/printerSettings" Target="../printerSettings/printerSettings18.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0" Type="http://schemas.openxmlformats.org/officeDocument/2006/relationships/ctrlProp" Target="../ctrlProps/ctrlProp142.xml"/><Relationship Id="rId4" Type="http://schemas.openxmlformats.org/officeDocument/2006/relationships/vmlDrawing" Target="../drawings/vmlDrawing16.vml"/><Relationship Id="rId9" Type="http://schemas.openxmlformats.org/officeDocument/2006/relationships/ctrlProp" Target="../ctrlProps/ctrlProp1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 Type="http://schemas.openxmlformats.org/officeDocument/2006/relationships/drawing" Target="../drawings/drawing17.xml"/><Relationship Id="rId21" Type="http://schemas.openxmlformats.org/officeDocument/2006/relationships/ctrlProp" Target="../ctrlProps/ctrlProp160.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2" Type="http://schemas.openxmlformats.org/officeDocument/2006/relationships/customProperty" Target="../customProperty16.bin"/><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1" Type="http://schemas.openxmlformats.org/officeDocument/2006/relationships/printerSettings" Target="../printerSettings/printerSettings19.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10" Type="http://schemas.openxmlformats.org/officeDocument/2006/relationships/ctrlProp" Target="../ctrlProps/ctrlProp149.xml"/><Relationship Id="rId19" Type="http://schemas.openxmlformats.org/officeDocument/2006/relationships/ctrlProp" Target="../ctrlProps/ctrlProp158.xml"/><Relationship Id="rId4" Type="http://schemas.openxmlformats.org/officeDocument/2006/relationships/vmlDrawing" Target="../drawings/vmlDrawing17.v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3" Type="http://schemas.openxmlformats.org/officeDocument/2006/relationships/drawing" Target="../drawings/drawing18.xml"/><Relationship Id="rId7" Type="http://schemas.openxmlformats.org/officeDocument/2006/relationships/ctrlProp" Target="../ctrlProps/ctrlProp171.xml"/><Relationship Id="rId12" Type="http://schemas.openxmlformats.org/officeDocument/2006/relationships/ctrlProp" Target="../ctrlProps/ctrlProp176.xml"/><Relationship Id="rId2" Type="http://schemas.openxmlformats.org/officeDocument/2006/relationships/customProperty" Target="../customProperty17.bin"/><Relationship Id="rId1" Type="http://schemas.openxmlformats.org/officeDocument/2006/relationships/printerSettings" Target="../printerSettings/printerSettings20.bin"/><Relationship Id="rId6" Type="http://schemas.openxmlformats.org/officeDocument/2006/relationships/ctrlProp" Target="../ctrlProps/ctrlProp170.xml"/><Relationship Id="rId11" Type="http://schemas.openxmlformats.org/officeDocument/2006/relationships/ctrlProp" Target="../ctrlProps/ctrlProp175.xml"/><Relationship Id="rId5" Type="http://schemas.openxmlformats.org/officeDocument/2006/relationships/ctrlProp" Target="../ctrlProps/ctrlProp169.xml"/><Relationship Id="rId10" Type="http://schemas.openxmlformats.org/officeDocument/2006/relationships/ctrlProp" Target="../ctrlProps/ctrlProp174.xml"/><Relationship Id="rId4" Type="http://schemas.openxmlformats.org/officeDocument/2006/relationships/vmlDrawing" Target="../drawings/vmlDrawing18.vml"/><Relationship Id="rId9" Type="http://schemas.openxmlformats.org/officeDocument/2006/relationships/ctrlProp" Target="../ctrlProps/ctrlProp173.xml"/><Relationship Id="rId1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3" Type="http://schemas.openxmlformats.org/officeDocument/2006/relationships/drawing" Target="../drawings/drawing19.xml"/><Relationship Id="rId7" Type="http://schemas.openxmlformats.org/officeDocument/2006/relationships/ctrlProp" Target="../ctrlProps/ctrlProp180.xml"/><Relationship Id="rId12" Type="http://schemas.openxmlformats.org/officeDocument/2006/relationships/ctrlProp" Target="../ctrlProps/ctrlProp185.xml"/><Relationship Id="rId2" Type="http://schemas.openxmlformats.org/officeDocument/2006/relationships/customProperty" Target="../customProperty18.bin"/><Relationship Id="rId1" Type="http://schemas.openxmlformats.org/officeDocument/2006/relationships/printerSettings" Target="../printerSettings/printerSettings22.bin"/><Relationship Id="rId6" Type="http://schemas.openxmlformats.org/officeDocument/2006/relationships/ctrlProp" Target="../ctrlProps/ctrlProp179.xml"/><Relationship Id="rId11" Type="http://schemas.openxmlformats.org/officeDocument/2006/relationships/ctrlProp" Target="../ctrlProps/ctrlProp184.xml"/><Relationship Id="rId5" Type="http://schemas.openxmlformats.org/officeDocument/2006/relationships/ctrlProp" Target="../ctrlProps/ctrlProp178.xml"/><Relationship Id="rId10" Type="http://schemas.openxmlformats.org/officeDocument/2006/relationships/ctrlProp" Target="../ctrlProps/ctrlProp183.xml"/><Relationship Id="rId4" Type="http://schemas.openxmlformats.org/officeDocument/2006/relationships/vmlDrawing" Target="../drawings/vmlDrawing19.vml"/><Relationship Id="rId9" Type="http://schemas.openxmlformats.org/officeDocument/2006/relationships/ctrlProp" Target="../ctrlProps/ctrlProp182.xml"/><Relationship Id="rId1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3" Type="http://schemas.openxmlformats.org/officeDocument/2006/relationships/drawing" Target="../drawings/drawing20.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omments" Target="../comments13.xml"/><Relationship Id="rId2" Type="http://schemas.openxmlformats.org/officeDocument/2006/relationships/customProperty" Target="../customProperty19.bin"/><Relationship Id="rId16" Type="http://schemas.openxmlformats.org/officeDocument/2006/relationships/ctrlProp" Target="../ctrlProps/ctrlProp198.xml"/><Relationship Id="rId1" Type="http://schemas.openxmlformats.org/officeDocument/2006/relationships/printerSettings" Target="../printerSettings/printerSettings23.bin"/><Relationship Id="rId6" Type="http://schemas.openxmlformats.org/officeDocument/2006/relationships/ctrlProp" Target="../ctrlProps/ctrlProp188.xml"/><Relationship Id="rId11" Type="http://schemas.openxmlformats.org/officeDocument/2006/relationships/ctrlProp" Target="../ctrlProps/ctrlProp193.xml"/><Relationship Id="rId5" Type="http://schemas.openxmlformats.org/officeDocument/2006/relationships/ctrlProp" Target="../ctrlProps/ctrlProp187.xml"/><Relationship Id="rId15" Type="http://schemas.openxmlformats.org/officeDocument/2006/relationships/ctrlProp" Target="../ctrlProps/ctrlProp197.xml"/><Relationship Id="rId10" Type="http://schemas.openxmlformats.org/officeDocument/2006/relationships/ctrlProp" Target="../ctrlProps/ctrlProp192.xml"/><Relationship Id="rId4" Type="http://schemas.openxmlformats.org/officeDocument/2006/relationships/vmlDrawing" Target="../drawings/vmlDrawing20.vml"/><Relationship Id="rId9" Type="http://schemas.openxmlformats.org/officeDocument/2006/relationships/ctrlProp" Target="../ctrlProps/ctrlProp191.xml"/><Relationship Id="rId14" Type="http://schemas.openxmlformats.org/officeDocument/2006/relationships/ctrlProp" Target="../ctrlProps/ctrlProp19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02.xml"/><Relationship Id="rId3" Type="http://schemas.openxmlformats.org/officeDocument/2006/relationships/drawing" Target="../drawings/drawing21.x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customProperty" Target="../customProperty20.bin"/><Relationship Id="rId1" Type="http://schemas.openxmlformats.org/officeDocument/2006/relationships/printerSettings" Target="../printerSettings/printerSettings24.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vmlDrawing" Target="../drawings/vmlDrawing21.vml"/><Relationship Id="rId9" Type="http://schemas.openxmlformats.org/officeDocument/2006/relationships/ctrlProp" Target="../ctrlProps/ctrlProp20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10.xml"/><Relationship Id="rId3" Type="http://schemas.openxmlformats.org/officeDocument/2006/relationships/drawing" Target="../drawings/drawing22.xml"/><Relationship Id="rId7" Type="http://schemas.openxmlformats.org/officeDocument/2006/relationships/ctrlProp" Target="../ctrlProps/ctrlProp209.xml"/><Relationship Id="rId12" Type="http://schemas.openxmlformats.org/officeDocument/2006/relationships/ctrlProp" Target="../ctrlProps/ctrlProp214.xml"/><Relationship Id="rId2" Type="http://schemas.openxmlformats.org/officeDocument/2006/relationships/customProperty" Target="../customProperty21.bin"/><Relationship Id="rId1" Type="http://schemas.openxmlformats.org/officeDocument/2006/relationships/printerSettings" Target="../printerSettings/printerSettings25.bin"/><Relationship Id="rId6" Type="http://schemas.openxmlformats.org/officeDocument/2006/relationships/ctrlProp" Target="../ctrlProps/ctrlProp208.xml"/><Relationship Id="rId11" Type="http://schemas.openxmlformats.org/officeDocument/2006/relationships/ctrlProp" Target="../ctrlProps/ctrlProp213.xml"/><Relationship Id="rId5" Type="http://schemas.openxmlformats.org/officeDocument/2006/relationships/ctrlProp" Target="../ctrlProps/ctrlProp207.xml"/><Relationship Id="rId10" Type="http://schemas.openxmlformats.org/officeDocument/2006/relationships/ctrlProp" Target="../ctrlProps/ctrlProp212.xml"/><Relationship Id="rId4" Type="http://schemas.openxmlformats.org/officeDocument/2006/relationships/vmlDrawing" Target="../drawings/vmlDrawing22.vml"/><Relationship Id="rId9" Type="http://schemas.openxmlformats.org/officeDocument/2006/relationships/ctrlProp" Target="../ctrlProps/ctrlProp21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18.xml"/><Relationship Id="rId3" Type="http://schemas.openxmlformats.org/officeDocument/2006/relationships/drawing" Target="../drawings/drawing23.xml"/><Relationship Id="rId7" Type="http://schemas.openxmlformats.org/officeDocument/2006/relationships/ctrlProp" Target="../ctrlProps/ctrlProp217.xml"/><Relationship Id="rId12" Type="http://schemas.openxmlformats.org/officeDocument/2006/relationships/ctrlProp" Target="../ctrlProps/ctrlProp222.xml"/><Relationship Id="rId2" Type="http://schemas.openxmlformats.org/officeDocument/2006/relationships/customProperty" Target="../customProperty22.bin"/><Relationship Id="rId1" Type="http://schemas.openxmlformats.org/officeDocument/2006/relationships/printerSettings" Target="../printerSettings/printerSettings26.bin"/><Relationship Id="rId6" Type="http://schemas.openxmlformats.org/officeDocument/2006/relationships/ctrlProp" Target="../ctrlProps/ctrlProp216.xml"/><Relationship Id="rId11" Type="http://schemas.openxmlformats.org/officeDocument/2006/relationships/ctrlProp" Target="../ctrlProps/ctrlProp221.xml"/><Relationship Id="rId5" Type="http://schemas.openxmlformats.org/officeDocument/2006/relationships/ctrlProp" Target="../ctrlProps/ctrlProp215.xml"/><Relationship Id="rId10" Type="http://schemas.openxmlformats.org/officeDocument/2006/relationships/ctrlProp" Target="../ctrlProps/ctrlProp220.xml"/><Relationship Id="rId4" Type="http://schemas.openxmlformats.org/officeDocument/2006/relationships/vmlDrawing" Target="../drawings/vmlDrawing23.vml"/><Relationship Id="rId9" Type="http://schemas.openxmlformats.org/officeDocument/2006/relationships/ctrlProp" Target="../ctrlProps/ctrlProp219.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26.xml"/><Relationship Id="rId3" Type="http://schemas.openxmlformats.org/officeDocument/2006/relationships/drawing" Target="../drawings/drawing24.xml"/><Relationship Id="rId7" Type="http://schemas.openxmlformats.org/officeDocument/2006/relationships/ctrlProp" Target="../ctrlProps/ctrlProp225.xml"/><Relationship Id="rId2" Type="http://schemas.openxmlformats.org/officeDocument/2006/relationships/customProperty" Target="../customProperty23.bin"/><Relationship Id="rId1" Type="http://schemas.openxmlformats.org/officeDocument/2006/relationships/printerSettings" Target="../printerSettings/printerSettings27.bin"/><Relationship Id="rId6" Type="http://schemas.openxmlformats.org/officeDocument/2006/relationships/ctrlProp" Target="../ctrlProps/ctrlProp224.xml"/><Relationship Id="rId11" Type="http://schemas.openxmlformats.org/officeDocument/2006/relationships/ctrlProp" Target="../ctrlProps/ctrlProp229.xml"/><Relationship Id="rId5" Type="http://schemas.openxmlformats.org/officeDocument/2006/relationships/ctrlProp" Target="../ctrlProps/ctrlProp223.xml"/><Relationship Id="rId10" Type="http://schemas.openxmlformats.org/officeDocument/2006/relationships/ctrlProp" Target="../ctrlProps/ctrlProp228.xml"/><Relationship Id="rId4" Type="http://schemas.openxmlformats.org/officeDocument/2006/relationships/vmlDrawing" Target="../drawings/vmlDrawing24.vml"/><Relationship Id="rId9" Type="http://schemas.openxmlformats.org/officeDocument/2006/relationships/ctrlProp" Target="../ctrlProps/ctrlProp22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omments" Target="../comments14.xml"/><Relationship Id="rId3" Type="http://schemas.openxmlformats.org/officeDocument/2006/relationships/drawing" Target="../drawings/drawing25.xml"/><Relationship Id="rId7" Type="http://schemas.openxmlformats.org/officeDocument/2006/relationships/ctrlProp" Target="../ctrlProps/ctrlProp232.xml"/><Relationship Id="rId12" Type="http://schemas.openxmlformats.org/officeDocument/2006/relationships/ctrlProp" Target="../ctrlProps/ctrlProp237.xml"/><Relationship Id="rId2" Type="http://schemas.openxmlformats.org/officeDocument/2006/relationships/customProperty" Target="../customProperty24.bin"/><Relationship Id="rId1" Type="http://schemas.openxmlformats.org/officeDocument/2006/relationships/printerSettings" Target="../printerSettings/printerSettings28.bin"/><Relationship Id="rId6" Type="http://schemas.openxmlformats.org/officeDocument/2006/relationships/ctrlProp" Target="../ctrlProps/ctrlProp231.xml"/><Relationship Id="rId11" Type="http://schemas.openxmlformats.org/officeDocument/2006/relationships/ctrlProp" Target="../ctrlProps/ctrlProp236.xml"/><Relationship Id="rId5" Type="http://schemas.openxmlformats.org/officeDocument/2006/relationships/ctrlProp" Target="../ctrlProps/ctrlProp230.xml"/><Relationship Id="rId10" Type="http://schemas.openxmlformats.org/officeDocument/2006/relationships/ctrlProp" Target="../ctrlProps/ctrlProp235.xml"/><Relationship Id="rId4" Type="http://schemas.openxmlformats.org/officeDocument/2006/relationships/vmlDrawing" Target="../drawings/vmlDrawing25.vml"/><Relationship Id="rId9" Type="http://schemas.openxmlformats.org/officeDocument/2006/relationships/ctrlProp" Target="../ctrlProps/ctrlProp234.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3" Type="http://schemas.openxmlformats.org/officeDocument/2006/relationships/drawing" Target="../drawings/drawing26.xml"/><Relationship Id="rId7" Type="http://schemas.openxmlformats.org/officeDocument/2006/relationships/ctrlProp" Target="../ctrlProps/ctrlProp240.xml"/><Relationship Id="rId12" Type="http://schemas.openxmlformats.org/officeDocument/2006/relationships/ctrlProp" Target="../ctrlProps/ctrlProp245.xml"/><Relationship Id="rId2" Type="http://schemas.openxmlformats.org/officeDocument/2006/relationships/customProperty" Target="../customProperty25.bin"/><Relationship Id="rId16" Type="http://schemas.openxmlformats.org/officeDocument/2006/relationships/comments" Target="../comments15.xml"/><Relationship Id="rId1" Type="http://schemas.openxmlformats.org/officeDocument/2006/relationships/printerSettings" Target="../printerSettings/printerSettings29.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4" Type="http://schemas.openxmlformats.org/officeDocument/2006/relationships/vmlDrawing" Target="../drawings/vmlDrawing26.v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53.xml"/><Relationship Id="rId3" Type="http://schemas.openxmlformats.org/officeDocument/2006/relationships/vmlDrawing" Target="../drawings/vmlDrawing27.vml"/><Relationship Id="rId7" Type="http://schemas.openxmlformats.org/officeDocument/2006/relationships/ctrlProp" Target="../ctrlProps/ctrlProp252.xml"/><Relationship Id="rId2" Type="http://schemas.openxmlformats.org/officeDocument/2006/relationships/drawing" Target="../drawings/drawing27.xml"/><Relationship Id="rId1" Type="http://schemas.openxmlformats.org/officeDocument/2006/relationships/printerSettings" Target="../printerSettings/printerSettings30.bin"/><Relationship Id="rId6" Type="http://schemas.openxmlformats.org/officeDocument/2006/relationships/ctrlProp" Target="../ctrlProps/ctrlProp251.xml"/><Relationship Id="rId5" Type="http://schemas.openxmlformats.org/officeDocument/2006/relationships/ctrlProp" Target="../ctrlProps/ctrlProp250.xml"/><Relationship Id="rId10" Type="http://schemas.openxmlformats.org/officeDocument/2006/relationships/ctrlProp" Target="../ctrlProps/ctrlProp255.xml"/><Relationship Id="rId4" Type="http://schemas.openxmlformats.org/officeDocument/2006/relationships/ctrlProp" Target="../ctrlProps/ctrlProp249.xml"/><Relationship Id="rId9" Type="http://schemas.openxmlformats.org/officeDocument/2006/relationships/ctrlProp" Target="../ctrlProps/ctrlProp254.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60.xml"/><Relationship Id="rId3" Type="http://schemas.openxmlformats.org/officeDocument/2006/relationships/vmlDrawing" Target="../drawings/vmlDrawing28.vml"/><Relationship Id="rId7" Type="http://schemas.openxmlformats.org/officeDocument/2006/relationships/ctrlProp" Target="../ctrlProps/ctrlProp259.xml"/><Relationship Id="rId12" Type="http://schemas.openxmlformats.org/officeDocument/2006/relationships/comments" Target="../comments16.xml"/><Relationship Id="rId2" Type="http://schemas.openxmlformats.org/officeDocument/2006/relationships/drawing" Target="../drawings/drawing28.xml"/><Relationship Id="rId1" Type="http://schemas.openxmlformats.org/officeDocument/2006/relationships/printerSettings" Target="../printerSettings/printerSettings31.bin"/><Relationship Id="rId6" Type="http://schemas.openxmlformats.org/officeDocument/2006/relationships/ctrlProp" Target="../ctrlProps/ctrlProp258.xml"/><Relationship Id="rId11" Type="http://schemas.openxmlformats.org/officeDocument/2006/relationships/ctrlProp" Target="../ctrlProps/ctrlProp263.xml"/><Relationship Id="rId5" Type="http://schemas.openxmlformats.org/officeDocument/2006/relationships/ctrlProp" Target="../ctrlProps/ctrlProp257.xml"/><Relationship Id="rId10" Type="http://schemas.openxmlformats.org/officeDocument/2006/relationships/ctrlProp" Target="../ctrlProps/ctrlProp262.xml"/><Relationship Id="rId4" Type="http://schemas.openxmlformats.org/officeDocument/2006/relationships/ctrlProp" Target="../ctrlProps/ctrlProp256.xml"/><Relationship Id="rId9" Type="http://schemas.openxmlformats.org/officeDocument/2006/relationships/ctrlProp" Target="../ctrlProps/ctrlProp2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omments" Target="../comments17.xml"/><Relationship Id="rId3" Type="http://schemas.openxmlformats.org/officeDocument/2006/relationships/drawing" Target="../drawings/drawing29.xml"/><Relationship Id="rId7" Type="http://schemas.openxmlformats.org/officeDocument/2006/relationships/ctrlProp" Target="../ctrlProps/ctrlProp266.xml"/><Relationship Id="rId12" Type="http://schemas.openxmlformats.org/officeDocument/2006/relationships/ctrlProp" Target="../ctrlProps/ctrlProp271.xml"/><Relationship Id="rId2" Type="http://schemas.openxmlformats.org/officeDocument/2006/relationships/customProperty" Target="../customProperty26.bin"/><Relationship Id="rId1" Type="http://schemas.openxmlformats.org/officeDocument/2006/relationships/printerSettings" Target="../printerSettings/printerSettings32.bin"/><Relationship Id="rId6" Type="http://schemas.openxmlformats.org/officeDocument/2006/relationships/ctrlProp" Target="../ctrlProps/ctrlProp265.xml"/><Relationship Id="rId11" Type="http://schemas.openxmlformats.org/officeDocument/2006/relationships/ctrlProp" Target="../ctrlProps/ctrlProp270.xml"/><Relationship Id="rId5" Type="http://schemas.openxmlformats.org/officeDocument/2006/relationships/ctrlProp" Target="../ctrlProps/ctrlProp264.xml"/><Relationship Id="rId10" Type="http://schemas.openxmlformats.org/officeDocument/2006/relationships/ctrlProp" Target="../ctrlProps/ctrlProp269.xml"/><Relationship Id="rId4" Type="http://schemas.openxmlformats.org/officeDocument/2006/relationships/vmlDrawing" Target="../drawings/vmlDrawing29.vml"/><Relationship Id="rId9" Type="http://schemas.openxmlformats.org/officeDocument/2006/relationships/ctrlProp" Target="../ctrlProps/ctrlProp268.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26" Type="http://schemas.openxmlformats.org/officeDocument/2006/relationships/ctrlProp" Target="../ctrlProps/ctrlProp293.xml"/><Relationship Id="rId3" Type="http://schemas.openxmlformats.org/officeDocument/2006/relationships/drawing" Target="../drawings/drawing30.xml"/><Relationship Id="rId21" Type="http://schemas.openxmlformats.org/officeDocument/2006/relationships/ctrlProp" Target="../ctrlProps/ctrlProp288.x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5" Type="http://schemas.openxmlformats.org/officeDocument/2006/relationships/ctrlProp" Target="../ctrlProps/ctrlProp292.xml"/><Relationship Id="rId2" Type="http://schemas.openxmlformats.org/officeDocument/2006/relationships/customProperty" Target="../customProperty27.bin"/><Relationship Id="rId16" Type="http://schemas.openxmlformats.org/officeDocument/2006/relationships/ctrlProp" Target="../ctrlProps/ctrlProp283.xml"/><Relationship Id="rId20" Type="http://schemas.openxmlformats.org/officeDocument/2006/relationships/ctrlProp" Target="../ctrlProps/ctrlProp287.xml"/><Relationship Id="rId29" Type="http://schemas.openxmlformats.org/officeDocument/2006/relationships/ctrlProp" Target="../ctrlProps/ctrlProp296.xml"/><Relationship Id="rId1" Type="http://schemas.openxmlformats.org/officeDocument/2006/relationships/printerSettings" Target="../printerSettings/printerSettings33.bin"/><Relationship Id="rId6" Type="http://schemas.openxmlformats.org/officeDocument/2006/relationships/ctrlProp" Target="../ctrlProps/ctrlProp273.xml"/><Relationship Id="rId11" Type="http://schemas.openxmlformats.org/officeDocument/2006/relationships/ctrlProp" Target="../ctrlProps/ctrlProp278.xml"/><Relationship Id="rId24" Type="http://schemas.openxmlformats.org/officeDocument/2006/relationships/ctrlProp" Target="../ctrlProps/ctrlProp291.xml"/><Relationship Id="rId5" Type="http://schemas.openxmlformats.org/officeDocument/2006/relationships/ctrlProp" Target="../ctrlProps/ctrlProp272.xml"/><Relationship Id="rId15" Type="http://schemas.openxmlformats.org/officeDocument/2006/relationships/ctrlProp" Target="../ctrlProps/ctrlProp282.xml"/><Relationship Id="rId23" Type="http://schemas.openxmlformats.org/officeDocument/2006/relationships/ctrlProp" Target="../ctrlProps/ctrlProp290.xml"/><Relationship Id="rId28" Type="http://schemas.openxmlformats.org/officeDocument/2006/relationships/ctrlProp" Target="../ctrlProps/ctrlProp295.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vmlDrawing" Target="../drawings/vmlDrawing30.vml"/><Relationship Id="rId9" Type="http://schemas.openxmlformats.org/officeDocument/2006/relationships/ctrlProp" Target="../ctrlProps/ctrlProp276.xml"/><Relationship Id="rId14" Type="http://schemas.openxmlformats.org/officeDocument/2006/relationships/ctrlProp" Target="../ctrlProps/ctrlProp281.xml"/><Relationship Id="rId22" Type="http://schemas.openxmlformats.org/officeDocument/2006/relationships/ctrlProp" Target="../ctrlProps/ctrlProp289.xml"/><Relationship Id="rId27" Type="http://schemas.openxmlformats.org/officeDocument/2006/relationships/ctrlProp" Target="../ctrlProps/ctrlProp294.xml"/><Relationship Id="rId30" Type="http://schemas.openxmlformats.org/officeDocument/2006/relationships/ctrlProp" Target="../ctrlProps/ctrlProp29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01.xml"/><Relationship Id="rId13" Type="http://schemas.openxmlformats.org/officeDocument/2006/relationships/comments" Target="../comments18.xml"/><Relationship Id="rId3" Type="http://schemas.openxmlformats.org/officeDocument/2006/relationships/drawing" Target="../drawings/drawing31.xml"/><Relationship Id="rId7" Type="http://schemas.openxmlformats.org/officeDocument/2006/relationships/ctrlProp" Target="../ctrlProps/ctrlProp300.xml"/><Relationship Id="rId12" Type="http://schemas.openxmlformats.org/officeDocument/2006/relationships/ctrlProp" Target="../ctrlProps/ctrlProp305.xml"/><Relationship Id="rId2" Type="http://schemas.openxmlformats.org/officeDocument/2006/relationships/customProperty" Target="../customProperty28.bin"/><Relationship Id="rId1" Type="http://schemas.openxmlformats.org/officeDocument/2006/relationships/printerSettings" Target="../printerSettings/printerSettings34.bin"/><Relationship Id="rId6" Type="http://schemas.openxmlformats.org/officeDocument/2006/relationships/ctrlProp" Target="../ctrlProps/ctrlProp299.xml"/><Relationship Id="rId11" Type="http://schemas.openxmlformats.org/officeDocument/2006/relationships/ctrlProp" Target="../ctrlProps/ctrlProp304.xml"/><Relationship Id="rId5" Type="http://schemas.openxmlformats.org/officeDocument/2006/relationships/ctrlProp" Target="../ctrlProps/ctrlProp298.xml"/><Relationship Id="rId10" Type="http://schemas.openxmlformats.org/officeDocument/2006/relationships/ctrlProp" Target="../ctrlProps/ctrlProp303.xml"/><Relationship Id="rId4" Type="http://schemas.openxmlformats.org/officeDocument/2006/relationships/vmlDrawing" Target="../drawings/vmlDrawing31.vml"/><Relationship Id="rId9" Type="http://schemas.openxmlformats.org/officeDocument/2006/relationships/ctrlProp" Target="../ctrlProps/ctrlProp302.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10.xml"/><Relationship Id="rId13" Type="http://schemas.openxmlformats.org/officeDocument/2006/relationships/comments" Target="../comments19.xml"/><Relationship Id="rId3" Type="http://schemas.openxmlformats.org/officeDocument/2006/relationships/vmlDrawing" Target="../drawings/vmlDrawing32.vml"/><Relationship Id="rId7" Type="http://schemas.openxmlformats.org/officeDocument/2006/relationships/ctrlProp" Target="../ctrlProps/ctrlProp309.xml"/><Relationship Id="rId12" Type="http://schemas.openxmlformats.org/officeDocument/2006/relationships/ctrlProp" Target="../ctrlProps/ctrlProp314.xml"/><Relationship Id="rId2" Type="http://schemas.openxmlformats.org/officeDocument/2006/relationships/drawing" Target="../drawings/drawing32.xml"/><Relationship Id="rId1" Type="http://schemas.openxmlformats.org/officeDocument/2006/relationships/printerSettings" Target="../printerSettings/printerSettings35.bin"/><Relationship Id="rId6" Type="http://schemas.openxmlformats.org/officeDocument/2006/relationships/ctrlProp" Target="../ctrlProps/ctrlProp308.xml"/><Relationship Id="rId11" Type="http://schemas.openxmlformats.org/officeDocument/2006/relationships/ctrlProp" Target="../ctrlProps/ctrlProp313.xml"/><Relationship Id="rId5" Type="http://schemas.openxmlformats.org/officeDocument/2006/relationships/ctrlProp" Target="../ctrlProps/ctrlProp307.xml"/><Relationship Id="rId10" Type="http://schemas.openxmlformats.org/officeDocument/2006/relationships/ctrlProp" Target="../ctrlProps/ctrlProp312.xml"/><Relationship Id="rId4" Type="http://schemas.openxmlformats.org/officeDocument/2006/relationships/ctrlProp" Target="../ctrlProps/ctrlProp306.xml"/><Relationship Id="rId9" Type="http://schemas.openxmlformats.org/officeDocument/2006/relationships/ctrlProp" Target="../ctrlProps/ctrlProp311.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19.xml"/><Relationship Id="rId3" Type="http://schemas.openxmlformats.org/officeDocument/2006/relationships/vmlDrawing" Target="../drawings/vmlDrawing33.vml"/><Relationship Id="rId7" Type="http://schemas.openxmlformats.org/officeDocument/2006/relationships/ctrlProp" Target="../ctrlProps/ctrlProp318.xml"/><Relationship Id="rId2" Type="http://schemas.openxmlformats.org/officeDocument/2006/relationships/drawing" Target="../drawings/drawing33.xml"/><Relationship Id="rId1" Type="http://schemas.openxmlformats.org/officeDocument/2006/relationships/printerSettings" Target="../printerSettings/printerSettings36.bin"/><Relationship Id="rId6" Type="http://schemas.openxmlformats.org/officeDocument/2006/relationships/ctrlProp" Target="../ctrlProps/ctrlProp317.xml"/><Relationship Id="rId5" Type="http://schemas.openxmlformats.org/officeDocument/2006/relationships/ctrlProp" Target="../ctrlProps/ctrlProp316.xml"/><Relationship Id="rId10" Type="http://schemas.openxmlformats.org/officeDocument/2006/relationships/ctrlProp" Target="../ctrlProps/ctrlProp321.xml"/><Relationship Id="rId4" Type="http://schemas.openxmlformats.org/officeDocument/2006/relationships/ctrlProp" Target="../ctrlProps/ctrlProp315.xml"/><Relationship Id="rId9" Type="http://schemas.openxmlformats.org/officeDocument/2006/relationships/ctrlProp" Target="../ctrlProps/ctrlProp320.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vmlDrawing" Target="../drawings/vmlDrawing34.vml"/><Relationship Id="rId7" Type="http://schemas.openxmlformats.org/officeDocument/2006/relationships/ctrlProp" Target="../ctrlProps/ctrlProp325.xml"/><Relationship Id="rId2" Type="http://schemas.openxmlformats.org/officeDocument/2006/relationships/drawing" Target="../drawings/drawing34.xml"/><Relationship Id="rId1" Type="http://schemas.openxmlformats.org/officeDocument/2006/relationships/printerSettings" Target="../printerSettings/printerSettings37.bin"/><Relationship Id="rId6" Type="http://schemas.openxmlformats.org/officeDocument/2006/relationships/ctrlProp" Target="../ctrlProps/ctrlProp324.xml"/><Relationship Id="rId5" Type="http://schemas.openxmlformats.org/officeDocument/2006/relationships/ctrlProp" Target="../ctrlProps/ctrlProp323.xml"/><Relationship Id="rId10" Type="http://schemas.openxmlformats.org/officeDocument/2006/relationships/ctrlProp" Target="../ctrlProps/ctrlProp328.xml"/><Relationship Id="rId4" Type="http://schemas.openxmlformats.org/officeDocument/2006/relationships/ctrlProp" Target="../ctrlProps/ctrlProp322.xml"/><Relationship Id="rId9" Type="http://schemas.openxmlformats.org/officeDocument/2006/relationships/ctrlProp" Target="../ctrlProps/ctrlProp327.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333.xml"/><Relationship Id="rId13" Type="http://schemas.openxmlformats.org/officeDocument/2006/relationships/ctrlProp" Target="../ctrlProps/ctrlProp338.xml"/><Relationship Id="rId3" Type="http://schemas.openxmlformats.org/officeDocument/2006/relationships/vmlDrawing" Target="../drawings/vmlDrawing35.vml"/><Relationship Id="rId7" Type="http://schemas.openxmlformats.org/officeDocument/2006/relationships/ctrlProp" Target="../ctrlProps/ctrlProp332.xml"/><Relationship Id="rId12" Type="http://schemas.openxmlformats.org/officeDocument/2006/relationships/ctrlProp" Target="../ctrlProps/ctrlProp337.xml"/><Relationship Id="rId2" Type="http://schemas.openxmlformats.org/officeDocument/2006/relationships/drawing" Target="../drawings/drawing35.xml"/><Relationship Id="rId1" Type="http://schemas.openxmlformats.org/officeDocument/2006/relationships/printerSettings" Target="../printerSettings/printerSettings38.bin"/><Relationship Id="rId6" Type="http://schemas.openxmlformats.org/officeDocument/2006/relationships/ctrlProp" Target="../ctrlProps/ctrlProp331.xml"/><Relationship Id="rId11" Type="http://schemas.openxmlformats.org/officeDocument/2006/relationships/ctrlProp" Target="../ctrlProps/ctrlProp336.xml"/><Relationship Id="rId5" Type="http://schemas.openxmlformats.org/officeDocument/2006/relationships/ctrlProp" Target="../ctrlProps/ctrlProp330.xml"/><Relationship Id="rId10" Type="http://schemas.openxmlformats.org/officeDocument/2006/relationships/ctrlProp" Target="../ctrlProps/ctrlProp335.xml"/><Relationship Id="rId4" Type="http://schemas.openxmlformats.org/officeDocument/2006/relationships/ctrlProp" Target="../ctrlProps/ctrlProp329.xml"/><Relationship Id="rId9" Type="http://schemas.openxmlformats.org/officeDocument/2006/relationships/ctrlProp" Target="../ctrlProps/ctrlProp334.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343.xml"/><Relationship Id="rId13" Type="http://schemas.openxmlformats.org/officeDocument/2006/relationships/comments" Target="../comments20.xml"/><Relationship Id="rId3" Type="http://schemas.openxmlformats.org/officeDocument/2006/relationships/vmlDrawing" Target="../drawings/vmlDrawing36.vml"/><Relationship Id="rId7" Type="http://schemas.openxmlformats.org/officeDocument/2006/relationships/ctrlProp" Target="../ctrlProps/ctrlProp342.xml"/><Relationship Id="rId12" Type="http://schemas.openxmlformats.org/officeDocument/2006/relationships/ctrlProp" Target="../ctrlProps/ctrlProp347.xml"/><Relationship Id="rId2" Type="http://schemas.openxmlformats.org/officeDocument/2006/relationships/drawing" Target="../drawings/drawing36.xml"/><Relationship Id="rId1" Type="http://schemas.openxmlformats.org/officeDocument/2006/relationships/printerSettings" Target="../printerSettings/printerSettings39.bin"/><Relationship Id="rId6" Type="http://schemas.openxmlformats.org/officeDocument/2006/relationships/ctrlProp" Target="../ctrlProps/ctrlProp341.xml"/><Relationship Id="rId11" Type="http://schemas.openxmlformats.org/officeDocument/2006/relationships/ctrlProp" Target="../ctrlProps/ctrlProp346.xml"/><Relationship Id="rId5" Type="http://schemas.openxmlformats.org/officeDocument/2006/relationships/ctrlProp" Target="../ctrlProps/ctrlProp340.xml"/><Relationship Id="rId10" Type="http://schemas.openxmlformats.org/officeDocument/2006/relationships/ctrlProp" Target="../ctrlProps/ctrlProp345.xml"/><Relationship Id="rId4" Type="http://schemas.openxmlformats.org/officeDocument/2006/relationships/ctrlProp" Target="../ctrlProps/ctrlProp339.xml"/><Relationship Id="rId9" Type="http://schemas.openxmlformats.org/officeDocument/2006/relationships/ctrlProp" Target="../ctrlProps/ctrlProp344.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352.xml"/><Relationship Id="rId3" Type="http://schemas.openxmlformats.org/officeDocument/2006/relationships/vmlDrawing" Target="../drawings/vmlDrawing37.vml"/><Relationship Id="rId7" Type="http://schemas.openxmlformats.org/officeDocument/2006/relationships/ctrlProp" Target="../ctrlProps/ctrlProp351.xml"/><Relationship Id="rId2" Type="http://schemas.openxmlformats.org/officeDocument/2006/relationships/drawing" Target="../drawings/drawing37.xml"/><Relationship Id="rId1" Type="http://schemas.openxmlformats.org/officeDocument/2006/relationships/printerSettings" Target="../printerSettings/printerSettings40.bin"/><Relationship Id="rId6" Type="http://schemas.openxmlformats.org/officeDocument/2006/relationships/ctrlProp" Target="../ctrlProps/ctrlProp350.xml"/><Relationship Id="rId11" Type="http://schemas.openxmlformats.org/officeDocument/2006/relationships/ctrlProp" Target="../ctrlProps/ctrlProp355.xml"/><Relationship Id="rId5" Type="http://schemas.openxmlformats.org/officeDocument/2006/relationships/ctrlProp" Target="../ctrlProps/ctrlProp349.xml"/><Relationship Id="rId10" Type="http://schemas.openxmlformats.org/officeDocument/2006/relationships/ctrlProp" Target="../ctrlProps/ctrlProp354.xml"/><Relationship Id="rId4" Type="http://schemas.openxmlformats.org/officeDocument/2006/relationships/ctrlProp" Target="../ctrlProps/ctrlProp348.xml"/><Relationship Id="rId9" Type="http://schemas.openxmlformats.org/officeDocument/2006/relationships/ctrlProp" Target="../ctrlProps/ctrlProp353.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360.xml"/><Relationship Id="rId3" Type="http://schemas.openxmlformats.org/officeDocument/2006/relationships/vmlDrawing" Target="../drawings/vmlDrawing38.vml"/><Relationship Id="rId7" Type="http://schemas.openxmlformats.org/officeDocument/2006/relationships/ctrlProp" Target="../ctrlProps/ctrlProp359.xml"/><Relationship Id="rId2" Type="http://schemas.openxmlformats.org/officeDocument/2006/relationships/drawing" Target="../drawings/drawing38.xml"/><Relationship Id="rId1" Type="http://schemas.openxmlformats.org/officeDocument/2006/relationships/printerSettings" Target="../printerSettings/printerSettings41.bin"/><Relationship Id="rId6" Type="http://schemas.openxmlformats.org/officeDocument/2006/relationships/ctrlProp" Target="../ctrlProps/ctrlProp358.xml"/><Relationship Id="rId11" Type="http://schemas.openxmlformats.org/officeDocument/2006/relationships/ctrlProp" Target="../ctrlProps/ctrlProp363.xml"/><Relationship Id="rId5" Type="http://schemas.openxmlformats.org/officeDocument/2006/relationships/ctrlProp" Target="../ctrlProps/ctrlProp357.xml"/><Relationship Id="rId10" Type="http://schemas.openxmlformats.org/officeDocument/2006/relationships/ctrlProp" Target="../ctrlProps/ctrlProp362.xml"/><Relationship Id="rId4" Type="http://schemas.openxmlformats.org/officeDocument/2006/relationships/ctrlProp" Target="../ctrlProps/ctrlProp356.xml"/><Relationship Id="rId9" Type="http://schemas.openxmlformats.org/officeDocument/2006/relationships/ctrlProp" Target="../ctrlProps/ctrlProp361.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367.xml"/><Relationship Id="rId13" Type="http://schemas.openxmlformats.org/officeDocument/2006/relationships/comments" Target="../comments21.xml"/><Relationship Id="rId3" Type="http://schemas.openxmlformats.org/officeDocument/2006/relationships/drawing" Target="../drawings/drawing39.xml"/><Relationship Id="rId7" Type="http://schemas.openxmlformats.org/officeDocument/2006/relationships/ctrlProp" Target="../ctrlProps/ctrlProp366.xml"/><Relationship Id="rId12" Type="http://schemas.openxmlformats.org/officeDocument/2006/relationships/ctrlProp" Target="../ctrlProps/ctrlProp371.xml"/><Relationship Id="rId2" Type="http://schemas.openxmlformats.org/officeDocument/2006/relationships/customProperty" Target="../customProperty29.bin"/><Relationship Id="rId1" Type="http://schemas.openxmlformats.org/officeDocument/2006/relationships/printerSettings" Target="../printerSettings/printerSettings42.bin"/><Relationship Id="rId6" Type="http://schemas.openxmlformats.org/officeDocument/2006/relationships/ctrlProp" Target="../ctrlProps/ctrlProp365.xml"/><Relationship Id="rId11" Type="http://schemas.openxmlformats.org/officeDocument/2006/relationships/ctrlProp" Target="../ctrlProps/ctrlProp370.xml"/><Relationship Id="rId5" Type="http://schemas.openxmlformats.org/officeDocument/2006/relationships/ctrlProp" Target="../ctrlProps/ctrlProp364.xml"/><Relationship Id="rId10" Type="http://schemas.openxmlformats.org/officeDocument/2006/relationships/ctrlProp" Target="../ctrlProps/ctrlProp369.xml"/><Relationship Id="rId4" Type="http://schemas.openxmlformats.org/officeDocument/2006/relationships/vmlDrawing" Target="../drawings/vmlDrawing39.vml"/><Relationship Id="rId9" Type="http://schemas.openxmlformats.org/officeDocument/2006/relationships/ctrlProp" Target="../ctrlProps/ctrlProp368.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376.xml"/><Relationship Id="rId13" Type="http://schemas.openxmlformats.org/officeDocument/2006/relationships/ctrlProp" Target="../ctrlProps/ctrlProp381.xml"/><Relationship Id="rId18" Type="http://schemas.openxmlformats.org/officeDocument/2006/relationships/ctrlProp" Target="../ctrlProps/ctrlProp386.xml"/><Relationship Id="rId3" Type="http://schemas.openxmlformats.org/officeDocument/2006/relationships/vmlDrawing" Target="../drawings/vmlDrawing40.vml"/><Relationship Id="rId21" Type="http://schemas.openxmlformats.org/officeDocument/2006/relationships/ctrlProp" Target="../ctrlProps/ctrlProp389.x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 Type="http://schemas.openxmlformats.org/officeDocument/2006/relationships/drawing" Target="../drawings/drawing40.xml"/><Relationship Id="rId16" Type="http://schemas.openxmlformats.org/officeDocument/2006/relationships/ctrlProp" Target="../ctrlProps/ctrlProp384.xml"/><Relationship Id="rId20" Type="http://schemas.openxmlformats.org/officeDocument/2006/relationships/ctrlProp" Target="../ctrlProps/ctrlProp388.xml"/><Relationship Id="rId1" Type="http://schemas.openxmlformats.org/officeDocument/2006/relationships/printerSettings" Target="../printerSettings/printerSettings43.bin"/><Relationship Id="rId6" Type="http://schemas.openxmlformats.org/officeDocument/2006/relationships/ctrlProp" Target="../ctrlProps/ctrlProp374.xml"/><Relationship Id="rId11" Type="http://schemas.openxmlformats.org/officeDocument/2006/relationships/ctrlProp" Target="../ctrlProps/ctrlProp379.xml"/><Relationship Id="rId5" Type="http://schemas.openxmlformats.org/officeDocument/2006/relationships/ctrlProp" Target="../ctrlProps/ctrlProp373.xml"/><Relationship Id="rId15" Type="http://schemas.openxmlformats.org/officeDocument/2006/relationships/ctrlProp" Target="../ctrlProps/ctrlProp383.xml"/><Relationship Id="rId10" Type="http://schemas.openxmlformats.org/officeDocument/2006/relationships/ctrlProp" Target="../ctrlProps/ctrlProp378.xml"/><Relationship Id="rId19" Type="http://schemas.openxmlformats.org/officeDocument/2006/relationships/ctrlProp" Target="../ctrlProps/ctrlProp387.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omments" Target="../comments22.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394.xml"/><Relationship Id="rId3" Type="http://schemas.openxmlformats.org/officeDocument/2006/relationships/vmlDrawing" Target="../drawings/vmlDrawing41.vml"/><Relationship Id="rId7" Type="http://schemas.openxmlformats.org/officeDocument/2006/relationships/ctrlProp" Target="../ctrlProps/ctrlProp393.xml"/><Relationship Id="rId2" Type="http://schemas.openxmlformats.org/officeDocument/2006/relationships/drawing" Target="../drawings/drawing41.xml"/><Relationship Id="rId1" Type="http://schemas.openxmlformats.org/officeDocument/2006/relationships/printerSettings" Target="../printerSettings/printerSettings44.bin"/><Relationship Id="rId6" Type="http://schemas.openxmlformats.org/officeDocument/2006/relationships/ctrlProp" Target="../ctrlProps/ctrlProp392.xml"/><Relationship Id="rId5" Type="http://schemas.openxmlformats.org/officeDocument/2006/relationships/ctrlProp" Target="../ctrlProps/ctrlProp391.xml"/><Relationship Id="rId10" Type="http://schemas.openxmlformats.org/officeDocument/2006/relationships/ctrlProp" Target="../ctrlProps/ctrlProp396.xml"/><Relationship Id="rId4" Type="http://schemas.openxmlformats.org/officeDocument/2006/relationships/ctrlProp" Target="../ctrlProps/ctrlProp390.xml"/><Relationship Id="rId9" Type="http://schemas.openxmlformats.org/officeDocument/2006/relationships/ctrlProp" Target="../ctrlProps/ctrlProp395.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401.xml"/><Relationship Id="rId3" Type="http://schemas.openxmlformats.org/officeDocument/2006/relationships/vmlDrawing" Target="../drawings/vmlDrawing42.vml"/><Relationship Id="rId7" Type="http://schemas.openxmlformats.org/officeDocument/2006/relationships/ctrlProp" Target="../ctrlProps/ctrlProp400.xml"/><Relationship Id="rId12" Type="http://schemas.openxmlformats.org/officeDocument/2006/relationships/ctrlProp" Target="../ctrlProps/ctrlProp405.xml"/><Relationship Id="rId2" Type="http://schemas.openxmlformats.org/officeDocument/2006/relationships/drawing" Target="../drawings/drawing42.xml"/><Relationship Id="rId1" Type="http://schemas.openxmlformats.org/officeDocument/2006/relationships/printerSettings" Target="../printerSettings/printerSettings45.bin"/><Relationship Id="rId6" Type="http://schemas.openxmlformats.org/officeDocument/2006/relationships/ctrlProp" Target="../ctrlProps/ctrlProp399.xml"/><Relationship Id="rId11" Type="http://schemas.openxmlformats.org/officeDocument/2006/relationships/ctrlProp" Target="../ctrlProps/ctrlProp404.xml"/><Relationship Id="rId5" Type="http://schemas.openxmlformats.org/officeDocument/2006/relationships/ctrlProp" Target="../ctrlProps/ctrlProp398.xml"/><Relationship Id="rId10" Type="http://schemas.openxmlformats.org/officeDocument/2006/relationships/ctrlProp" Target="../ctrlProps/ctrlProp403.xml"/><Relationship Id="rId4" Type="http://schemas.openxmlformats.org/officeDocument/2006/relationships/ctrlProp" Target="../ctrlProps/ctrlProp397.xml"/><Relationship Id="rId9" Type="http://schemas.openxmlformats.org/officeDocument/2006/relationships/ctrlProp" Target="../ctrlProps/ctrlProp402.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410.xml"/><Relationship Id="rId3" Type="http://schemas.openxmlformats.org/officeDocument/2006/relationships/vmlDrawing" Target="../drawings/vmlDrawing43.vml"/><Relationship Id="rId7" Type="http://schemas.openxmlformats.org/officeDocument/2006/relationships/ctrlProp" Target="../ctrlProps/ctrlProp409.xml"/><Relationship Id="rId12" Type="http://schemas.openxmlformats.org/officeDocument/2006/relationships/ctrlProp" Target="../ctrlProps/ctrlProp414.xml"/><Relationship Id="rId2" Type="http://schemas.openxmlformats.org/officeDocument/2006/relationships/drawing" Target="../drawings/drawing43.xml"/><Relationship Id="rId1" Type="http://schemas.openxmlformats.org/officeDocument/2006/relationships/printerSettings" Target="../printerSettings/printerSettings46.bin"/><Relationship Id="rId6" Type="http://schemas.openxmlformats.org/officeDocument/2006/relationships/ctrlProp" Target="../ctrlProps/ctrlProp408.xml"/><Relationship Id="rId11" Type="http://schemas.openxmlformats.org/officeDocument/2006/relationships/ctrlProp" Target="../ctrlProps/ctrlProp413.xml"/><Relationship Id="rId5" Type="http://schemas.openxmlformats.org/officeDocument/2006/relationships/ctrlProp" Target="../ctrlProps/ctrlProp407.xml"/><Relationship Id="rId10" Type="http://schemas.openxmlformats.org/officeDocument/2006/relationships/ctrlProp" Target="../ctrlProps/ctrlProp412.xml"/><Relationship Id="rId4" Type="http://schemas.openxmlformats.org/officeDocument/2006/relationships/ctrlProp" Target="../ctrlProps/ctrlProp406.xml"/><Relationship Id="rId9" Type="http://schemas.openxmlformats.org/officeDocument/2006/relationships/ctrlProp" Target="../ctrlProps/ctrlProp41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418.xml"/><Relationship Id="rId13" Type="http://schemas.openxmlformats.org/officeDocument/2006/relationships/comments" Target="../comments23.xml"/><Relationship Id="rId3" Type="http://schemas.openxmlformats.org/officeDocument/2006/relationships/drawing" Target="../drawings/drawing44.xml"/><Relationship Id="rId7" Type="http://schemas.openxmlformats.org/officeDocument/2006/relationships/ctrlProp" Target="../ctrlProps/ctrlProp417.xml"/><Relationship Id="rId12" Type="http://schemas.openxmlformats.org/officeDocument/2006/relationships/ctrlProp" Target="../ctrlProps/ctrlProp422.xml"/><Relationship Id="rId2" Type="http://schemas.openxmlformats.org/officeDocument/2006/relationships/customProperty" Target="../customProperty30.bin"/><Relationship Id="rId1" Type="http://schemas.openxmlformats.org/officeDocument/2006/relationships/printerSettings" Target="../printerSettings/printerSettings48.bin"/><Relationship Id="rId6" Type="http://schemas.openxmlformats.org/officeDocument/2006/relationships/ctrlProp" Target="../ctrlProps/ctrlProp416.xml"/><Relationship Id="rId11" Type="http://schemas.openxmlformats.org/officeDocument/2006/relationships/ctrlProp" Target="../ctrlProps/ctrlProp421.xml"/><Relationship Id="rId5" Type="http://schemas.openxmlformats.org/officeDocument/2006/relationships/ctrlProp" Target="../ctrlProps/ctrlProp415.xml"/><Relationship Id="rId10" Type="http://schemas.openxmlformats.org/officeDocument/2006/relationships/ctrlProp" Target="../ctrlProps/ctrlProp420.xml"/><Relationship Id="rId4" Type="http://schemas.openxmlformats.org/officeDocument/2006/relationships/vmlDrawing" Target="../drawings/vmlDrawing44.vml"/><Relationship Id="rId9" Type="http://schemas.openxmlformats.org/officeDocument/2006/relationships/ctrlProp" Target="../ctrlProps/ctrlProp419.x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427.xml"/><Relationship Id="rId3" Type="http://schemas.openxmlformats.org/officeDocument/2006/relationships/vmlDrawing" Target="../drawings/vmlDrawing45.vml"/><Relationship Id="rId7" Type="http://schemas.openxmlformats.org/officeDocument/2006/relationships/ctrlProp" Target="../ctrlProps/ctrlProp426.xml"/><Relationship Id="rId2" Type="http://schemas.openxmlformats.org/officeDocument/2006/relationships/drawing" Target="../drawings/drawing45.xml"/><Relationship Id="rId1" Type="http://schemas.openxmlformats.org/officeDocument/2006/relationships/printerSettings" Target="../printerSettings/printerSettings49.bin"/><Relationship Id="rId6" Type="http://schemas.openxmlformats.org/officeDocument/2006/relationships/ctrlProp" Target="../ctrlProps/ctrlProp425.xml"/><Relationship Id="rId11" Type="http://schemas.openxmlformats.org/officeDocument/2006/relationships/ctrlProp" Target="../ctrlProps/ctrlProp430.xml"/><Relationship Id="rId5" Type="http://schemas.openxmlformats.org/officeDocument/2006/relationships/ctrlProp" Target="../ctrlProps/ctrlProp424.xml"/><Relationship Id="rId10" Type="http://schemas.openxmlformats.org/officeDocument/2006/relationships/ctrlProp" Target="../ctrlProps/ctrlProp429.xml"/><Relationship Id="rId4" Type="http://schemas.openxmlformats.org/officeDocument/2006/relationships/ctrlProp" Target="../ctrlProps/ctrlProp423.xml"/><Relationship Id="rId9" Type="http://schemas.openxmlformats.org/officeDocument/2006/relationships/ctrlProp" Target="../ctrlProps/ctrlProp428.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434.xml"/><Relationship Id="rId13" Type="http://schemas.openxmlformats.org/officeDocument/2006/relationships/ctrlProp" Target="../ctrlProps/ctrlProp439.xml"/><Relationship Id="rId3" Type="http://schemas.openxmlformats.org/officeDocument/2006/relationships/drawing" Target="../drawings/drawing46.xml"/><Relationship Id="rId7" Type="http://schemas.openxmlformats.org/officeDocument/2006/relationships/ctrlProp" Target="../ctrlProps/ctrlProp433.xml"/><Relationship Id="rId12" Type="http://schemas.openxmlformats.org/officeDocument/2006/relationships/ctrlProp" Target="../ctrlProps/ctrlProp438.xml"/><Relationship Id="rId2" Type="http://schemas.openxmlformats.org/officeDocument/2006/relationships/customProperty" Target="../customProperty31.bin"/><Relationship Id="rId16" Type="http://schemas.openxmlformats.org/officeDocument/2006/relationships/comments" Target="../comments24.xml"/><Relationship Id="rId1" Type="http://schemas.openxmlformats.org/officeDocument/2006/relationships/printerSettings" Target="../printerSettings/printerSettings50.bin"/><Relationship Id="rId6" Type="http://schemas.openxmlformats.org/officeDocument/2006/relationships/ctrlProp" Target="../ctrlProps/ctrlProp432.xml"/><Relationship Id="rId11" Type="http://schemas.openxmlformats.org/officeDocument/2006/relationships/ctrlProp" Target="../ctrlProps/ctrlProp437.xml"/><Relationship Id="rId5" Type="http://schemas.openxmlformats.org/officeDocument/2006/relationships/ctrlProp" Target="../ctrlProps/ctrlProp431.xml"/><Relationship Id="rId15" Type="http://schemas.openxmlformats.org/officeDocument/2006/relationships/ctrlProp" Target="../ctrlProps/ctrlProp441.xml"/><Relationship Id="rId10" Type="http://schemas.openxmlformats.org/officeDocument/2006/relationships/ctrlProp" Target="../ctrlProps/ctrlProp436.xml"/><Relationship Id="rId4" Type="http://schemas.openxmlformats.org/officeDocument/2006/relationships/vmlDrawing" Target="../drawings/vmlDrawing46.vml"/><Relationship Id="rId9" Type="http://schemas.openxmlformats.org/officeDocument/2006/relationships/ctrlProp" Target="../ctrlProps/ctrlProp435.xml"/><Relationship Id="rId14" Type="http://schemas.openxmlformats.org/officeDocument/2006/relationships/ctrlProp" Target="../ctrlProps/ctrlProp440.xm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18" Type="http://schemas.openxmlformats.org/officeDocument/2006/relationships/comments" Target="../comments25.xml"/><Relationship Id="rId3" Type="http://schemas.openxmlformats.org/officeDocument/2006/relationships/drawing" Target="../drawings/drawing47.xml"/><Relationship Id="rId7" Type="http://schemas.openxmlformats.org/officeDocument/2006/relationships/ctrlProp" Target="../ctrlProps/ctrlProp444.xml"/><Relationship Id="rId12" Type="http://schemas.openxmlformats.org/officeDocument/2006/relationships/ctrlProp" Target="../ctrlProps/ctrlProp449.xml"/><Relationship Id="rId17" Type="http://schemas.openxmlformats.org/officeDocument/2006/relationships/ctrlProp" Target="../ctrlProps/ctrlProp454.xml"/><Relationship Id="rId2" Type="http://schemas.openxmlformats.org/officeDocument/2006/relationships/customProperty" Target="../customProperty32.bin"/><Relationship Id="rId16" Type="http://schemas.openxmlformats.org/officeDocument/2006/relationships/ctrlProp" Target="../ctrlProps/ctrlProp453.xml"/><Relationship Id="rId1" Type="http://schemas.openxmlformats.org/officeDocument/2006/relationships/printerSettings" Target="../printerSettings/printerSettings51.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5" Type="http://schemas.openxmlformats.org/officeDocument/2006/relationships/ctrlProp" Target="../ctrlProps/ctrlProp452.xml"/><Relationship Id="rId10" Type="http://schemas.openxmlformats.org/officeDocument/2006/relationships/ctrlProp" Target="../ctrlProps/ctrlProp447.xml"/><Relationship Id="rId4" Type="http://schemas.openxmlformats.org/officeDocument/2006/relationships/vmlDrawing" Target="../drawings/vmlDrawing47.vml"/><Relationship Id="rId9" Type="http://schemas.openxmlformats.org/officeDocument/2006/relationships/ctrlProp" Target="../ctrlProps/ctrlProp446.xml"/><Relationship Id="rId14" Type="http://schemas.openxmlformats.org/officeDocument/2006/relationships/ctrlProp" Target="../ctrlProps/ctrlProp451.xml"/></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459.xml"/><Relationship Id="rId3" Type="http://schemas.openxmlformats.org/officeDocument/2006/relationships/vmlDrawing" Target="../drawings/vmlDrawing48.vml"/><Relationship Id="rId7" Type="http://schemas.openxmlformats.org/officeDocument/2006/relationships/ctrlProp" Target="../ctrlProps/ctrlProp458.xml"/><Relationship Id="rId2" Type="http://schemas.openxmlformats.org/officeDocument/2006/relationships/drawing" Target="../drawings/drawing48.xml"/><Relationship Id="rId1" Type="http://schemas.openxmlformats.org/officeDocument/2006/relationships/printerSettings" Target="../printerSettings/printerSettings52.bin"/><Relationship Id="rId6" Type="http://schemas.openxmlformats.org/officeDocument/2006/relationships/ctrlProp" Target="../ctrlProps/ctrlProp457.xml"/><Relationship Id="rId5" Type="http://schemas.openxmlformats.org/officeDocument/2006/relationships/ctrlProp" Target="../ctrlProps/ctrlProp456.xml"/><Relationship Id="rId10" Type="http://schemas.openxmlformats.org/officeDocument/2006/relationships/comments" Target="../comments26.xml"/><Relationship Id="rId4" Type="http://schemas.openxmlformats.org/officeDocument/2006/relationships/ctrlProp" Target="../ctrlProps/ctrlProp455.xml"/><Relationship Id="rId9" Type="http://schemas.openxmlformats.org/officeDocument/2006/relationships/ctrlProp" Target="../ctrlProps/ctrlProp460.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465.xml"/><Relationship Id="rId3" Type="http://schemas.openxmlformats.org/officeDocument/2006/relationships/vmlDrawing" Target="../drawings/vmlDrawing49.vml"/><Relationship Id="rId7" Type="http://schemas.openxmlformats.org/officeDocument/2006/relationships/ctrlProp" Target="../ctrlProps/ctrlProp464.xml"/><Relationship Id="rId2" Type="http://schemas.openxmlformats.org/officeDocument/2006/relationships/drawing" Target="../drawings/drawing49.xml"/><Relationship Id="rId1" Type="http://schemas.openxmlformats.org/officeDocument/2006/relationships/printerSettings" Target="../printerSettings/printerSettings53.bin"/><Relationship Id="rId6" Type="http://schemas.openxmlformats.org/officeDocument/2006/relationships/ctrlProp" Target="../ctrlProps/ctrlProp463.xml"/><Relationship Id="rId5" Type="http://schemas.openxmlformats.org/officeDocument/2006/relationships/ctrlProp" Target="../ctrlProps/ctrlProp462.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0.xml"/><Relationship Id="rId1" Type="http://schemas.openxmlformats.org/officeDocument/2006/relationships/printerSettings" Target="../printerSettings/printerSettings56.bin"/><Relationship Id="rId4" Type="http://schemas.openxmlformats.org/officeDocument/2006/relationships/ctrlProp" Target="../ctrlProps/ctrlProp467.xml"/></Relationships>
</file>

<file path=xl/worksheets/_rels/sheet57.xml.rels><?xml version="1.0" encoding="UTF-8" standalone="yes"?>
<Relationships xmlns="http://schemas.openxmlformats.org/package/2006/relationships"><Relationship Id="rId8" Type="http://schemas.openxmlformats.org/officeDocument/2006/relationships/ctrlProp" Target="../ctrlProps/ctrlProp472.xml"/><Relationship Id="rId3" Type="http://schemas.openxmlformats.org/officeDocument/2006/relationships/vmlDrawing" Target="../drawings/vmlDrawing51.vml"/><Relationship Id="rId7" Type="http://schemas.openxmlformats.org/officeDocument/2006/relationships/ctrlProp" Target="../ctrlProps/ctrlProp471.xml"/><Relationship Id="rId2" Type="http://schemas.openxmlformats.org/officeDocument/2006/relationships/drawing" Target="../drawings/drawing51.xml"/><Relationship Id="rId1" Type="http://schemas.openxmlformats.org/officeDocument/2006/relationships/printerSettings" Target="../printerSettings/printerSettings57.bin"/><Relationship Id="rId6" Type="http://schemas.openxmlformats.org/officeDocument/2006/relationships/ctrlProp" Target="../ctrlProps/ctrlProp470.xml"/><Relationship Id="rId11" Type="http://schemas.openxmlformats.org/officeDocument/2006/relationships/ctrlProp" Target="../ctrlProps/ctrlProp475.xml"/><Relationship Id="rId5" Type="http://schemas.openxmlformats.org/officeDocument/2006/relationships/ctrlProp" Target="../ctrlProps/ctrlProp469.xml"/><Relationship Id="rId10" Type="http://schemas.openxmlformats.org/officeDocument/2006/relationships/ctrlProp" Target="../ctrlProps/ctrlProp474.xml"/><Relationship Id="rId4" Type="http://schemas.openxmlformats.org/officeDocument/2006/relationships/ctrlProp" Target="../ctrlProps/ctrlProp468.xml"/><Relationship Id="rId9" Type="http://schemas.openxmlformats.org/officeDocument/2006/relationships/ctrlProp" Target="../ctrlProps/ctrlProp473.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1000"/>
  <sheetViews>
    <sheetView showGridLines="0" showRowColHeaders="0" workbookViewId="0"/>
  </sheetViews>
  <sheetFormatPr defaultColWidth="0" defaultRowHeight="15" x14ac:dyDescent="0.25"/>
  <cols>
    <col min="1" max="1" width="15.85546875" style="1916" customWidth="1"/>
    <col min="2" max="2" width="57.140625" style="1916" customWidth="1"/>
    <col min="3" max="3" width="9.140625" style="1916" customWidth="1"/>
    <col min="4" max="16384" width="9.140625" style="1916" hidden="1"/>
  </cols>
  <sheetData>
    <row r="1" spans="1:2" ht="12.75" customHeight="1" x14ac:dyDescent="0.25">
      <c r="A1" s="1918" t="s">
        <v>12663</v>
      </c>
      <c r="B1" s="1918" t="s">
        <v>12662</v>
      </c>
    </row>
    <row r="2" spans="1:2" x14ac:dyDescent="0.25">
      <c r="A2" s="1917" t="s">
        <v>12</v>
      </c>
      <c r="B2" s="1917" t="s">
        <v>12</v>
      </c>
    </row>
    <row r="3" spans="1:2" x14ac:dyDescent="0.25">
      <c r="A3" s="1917" t="s">
        <v>12661</v>
      </c>
      <c r="B3" s="1917" t="s">
        <v>12660</v>
      </c>
    </row>
    <row r="4" spans="1:2" x14ac:dyDescent="0.25">
      <c r="A4" s="1917" t="s">
        <v>9819</v>
      </c>
      <c r="B4" s="1917" t="s">
        <v>10819</v>
      </c>
    </row>
    <row r="5" spans="1:2" x14ac:dyDescent="0.25">
      <c r="A5" s="1917" t="s">
        <v>9820</v>
      </c>
      <c r="B5" s="1917" t="s">
        <v>10820</v>
      </c>
    </row>
    <row r="6" spans="1:2" x14ac:dyDescent="0.25">
      <c r="A6" s="1917" t="s">
        <v>9821</v>
      </c>
      <c r="B6" s="1917" t="s">
        <v>10821</v>
      </c>
    </row>
    <row r="7" spans="1:2" x14ac:dyDescent="0.25">
      <c r="A7" s="1917" t="s">
        <v>9822</v>
      </c>
      <c r="B7" s="1917" t="s">
        <v>10822</v>
      </c>
    </row>
    <row r="8" spans="1:2" x14ac:dyDescent="0.25">
      <c r="A8" s="1917" t="s">
        <v>12659</v>
      </c>
      <c r="B8" s="1917" t="s">
        <v>12658</v>
      </c>
    </row>
    <row r="9" spans="1:2" x14ac:dyDescent="0.25">
      <c r="A9" s="1917" t="s">
        <v>12657</v>
      </c>
      <c r="B9" s="1917" t="s">
        <v>12656</v>
      </c>
    </row>
    <row r="10" spans="1:2" ht="30" x14ac:dyDescent="0.25">
      <c r="A10" s="1917" t="s">
        <v>9827</v>
      </c>
      <c r="B10" s="1917" t="s">
        <v>10827</v>
      </c>
    </row>
    <row r="11" spans="1:2" ht="30" x14ac:dyDescent="0.25">
      <c r="A11" s="1917" t="s">
        <v>9828</v>
      </c>
      <c r="B11" s="1917" t="s">
        <v>10828</v>
      </c>
    </row>
    <row r="12" spans="1:2" ht="30" x14ac:dyDescent="0.25">
      <c r="A12" s="1917" t="s">
        <v>9829</v>
      </c>
      <c r="B12" s="1917" t="s">
        <v>10829</v>
      </c>
    </row>
    <row r="13" spans="1:2" ht="30" x14ac:dyDescent="0.25">
      <c r="A13" s="1917" t="s">
        <v>9830</v>
      </c>
      <c r="B13" s="1917" t="s">
        <v>10830</v>
      </c>
    </row>
    <row r="14" spans="1:2" ht="30" x14ac:dyDescent="0.25">
      <c r="A14" s="1917" t="s">
        <v>12655</v>
      </c>
      <c r="B14" s="1917" t="s">
        <v>12654</v>
      </c>
    </row>
    <row r="15" spans="1:2" x14ac:dyDescent="0.25">
      <c r="A15" s="1917" t="s">
        <v>12653</v>
      </c>
      <c r="B15" s="1917" t="s">
        <v>12652</v>
      </c>
    </row>
    <row r="16" spans="1:2" x14ac:dyDescent="0.25">
      <c r="A16" s="1917" t="s">
        <v>12651</v>
      </c>
      <c r="B16" s="1917" t="s">
        <v>12650</v>
      </c>
    </row>
    <row r="17" spans="1:2" x14ac:dyDescent="0.25">
      <c r="A17" s="1917" t="s">
        <v>12649</v>
      </c>
      <c r="B17" s="1917" t="s">
        <v>12648</v>
      </c>
    </row>
    <row r="18" spans="1:2" x14ac:dyDescent="0.25">
      <c r="A18" s="1917" t="s">
        <v>12647</v>
      </c>
      <c r="B18" s="1917" t="s">
        <v>12646</v>
      </c>
    </row>
    <row r="19" spans="1:2" x14ac:dyDescent="0.25">
      <c r="A19" s="1917" t="s">
        <v>12645</v>
      </c>
      <c r="B19" s="1917" t="s">
        <v>12644</v>
      </c>
    </row>
    <row r="20" spans="1:2" x14ac:dyDescent="0.25">
      <c r="A20" s="1917" t="s">
        <v>9831</v>
      </c>
      <c r="B20" s="1917" t="s">
        <v>10831</v>
      </c>
    </row>
    <row r="21" spans="1:2" x14ac:dyDescent="0.25">
      <c r="A21" s="1917" t="s">
        <v>9832</v>
      </c>
      <c r="B21" s="1917" t="s">
        <v>10832</v>
      </c>
    </row>
    <row r="22" spans="1:2" x14ac:dyDescent="0.25">
      <c r="A22" s="1917" t="s">
        <v>12643</v>
      </c>
      <c r="B22" s="1917" t="s">
        <v>12642</v>
      </c>
    </row>
    <row r="23" spans="1:2" ht="30" x14ac:dyDescent="0.25">
      <c r="A23" s="1917" t="s">
        <v>12641</v>
      </c>
      <c r="B23" s="1917" t="s">
        <v>12640</v>
      </c>
    </row>
    <row r="24" spans="1:2" ht="30" x14ac:dyDescent="0.25">
      <c r="A24" s="1917" t="s">
        <v>12639</v>
      </c>
      <c r="B24" s="1917" t="s">
        <v>12638</v>
      </c>
    </row>
    <row r="25" spans="1:2" ht="30" x14ac:dyDescent="0.25">
      <c r="A25" s="1917" t="s">
        <v>9833</v>
      </c>
      <c r="B25" s="1917" t="s">
        <v>10833</v>
      </c>
    </row>
    <row r="26" spans="1:2" ht="30" x14ac:dyDescent="0.25">
      <c r="A26" s="1917" t="s">
        <v>12637</v>
      </c>
      <c r="B26" s="1917" t="s">
        <v>12636</v>
      </c>
    </row>
    <row r="27" spans="1:2" x14ac:dyDescent="0.25">
      <c r="A27" s="1917" t="s">
        <v>9834</v>
      </c>
      <c r="B27" s="1917" t="s">
        <v>10834</v>
      </c>
    </row>
    <row r="28" spans="1:2" ht="30" x14ac:dyDescent="0.25">
      <c r="A28" s="1917" t="s">
        <v>12635</v>
      </c>
      <c r="B28" s="1917" t="s">
        <v>12634</v>
      </c>
    </row>
    <row r="29" spans="1:2" ht="30" x14ac:dyDescent="0.25">
      <c r="A29" s="1917" t="s">
        <v>12633</v>
      </c>
      <c r="B29" s="1917" t="s">
        <v>12632</v>
      </c>
    </row>
    <row r="30" spans="1:2" ht="30" x14ac:dyDescent="0.25">
      <c r="A30" s="1917" t="s">
        <v>12631</v>
      </c>
      <c r="B30" s="1917" t="s">
        <v>12630</v>
      </c>
    </row>
    <row r="31" spans="1:2" x14ac:dyDescent="0.25">
      <c r="A31" s="1917" t="s">
        <v>12629</v>
      </c>
      <c r="B31" s="1917" t="s">
        <v>12628</v>
      </c>
    </row>
    <row r="32" spans="1:2" ht="30" x14ac:dyDescent="0.25">
      <c r="A32" s="1917" t="s">
        <v>12627</v>
      </c>
      <c r="B32" s="1917" t="s">
        <v>12626</v>
      </c>
    </row>
    <row r="33" spans="1:2" x14ac:dyDescent="0.25">
      <c r="A33" s="1917" t="s">
        <v>9835</v>
      </c>
      <c r="B33" s="1917" t="s">
        <v>12625</v>
      </c>
    </row>
    <row r="34" spans="1:2" ht="30" x14ac:dyDescent="0.25">
      <c r="A34" s="1917" t="s">
        <v>12624</v>
      </c>
      <c r="B34" s="1917" t="s">
        <v>12623</v>
      </c>
    </row>
    <row r="35" spans="1:2" ht="30" x14ac:dyDescent="0.25">
      <c r="A35" s="1917" t="s">
        <v>12622</v>
      </c>
      <c r="B35" s="1917" t="s">
        <v>12621</v>
      </c>
    </row>
    <row r="36" spans="1:2" ht="30" x14ac:dyDescent="0.25">
      <c r="A36" s="1917" t="s">
        <v>12620</v>
      </c>
      <c r="B36" s="1917" t="s">
        <v>12619</v>
      </c>
    </row>
    <row r="37" spans="1:2" ht="30" x14ac:dyDescent="0.25">
      <c r="A37" s="1917" t="s">
        <v>12618</v>
      </c>
      <c r="B37" s="1917" t="s">
        <v>12617</v>
      </c>
    </row>
    <row r="38" spans="1:2" ht="30" x14ac:dyDescent="0.25">
      <c r="A38" s="1917" t="s">
        <v>12616</v>
      </c>
      <c r="B38" s="1917" t="s">
        <v>12615</v>
      </c>
    </row>
    <row r="39" spans="1:2" ht="30" x14ac:dyDescent="0.25">
      <c r="A39" s="1917" t="s">
        <v>12614</v>
      </c>
      <c r="B39" s="1917" t="s">
        <v>12613</v>
      </c>
    </row>
    <row r="40" spans="1:2" ht="30" x14ac:dyDescent="0.25">
      <c r="A40" s="1917" t="s">
        <v>12612</v>
      </c>
      <c r="B40" s="1917" t="s">
        <v>12611</v>
      </c>
    </row>
    <row r="41" spans="1:2" ht="30" x14ac:dyDescent="0.25">
      <c r="A41" s="1917" t="s">
        <v>12610</v>
      </c>
      <c r="B41" s="1917" t="s">
        <v>12609</v>
      </c>
    </row>
    <row r="42" spans="1:2" ht="30" x14ac:dyDescent="0.25">
      <c r="A42" s="1917" t="s">
        <v>12608</v>
      </c>
      <c r="B42" s="1917" t="s">
        <v>12607</v>
      </c>
    </row>
    <row r="43" spans="1:2" ht="30" x14ac:dyDescent="0.25">
      <c r="A43" s="1917" t="s">
        <v>12606</v>
      </c>
      <c r="B43" s="1917" t="s">
        <v>12605</v>
      </c>
    </row>
    <row r="44" spans="1:2" x14ac:dyDescent="0.25">
      <c r="A44" s="1917" t="s">
        <v>9836</v>
      </c>
      <c r="B44" s="1917" t="s">
        <v>10836</v>
      </c>
    </row>
    <row r="45" spans="1:2" ht="30" x14ac:dyDescent="0.25">
      <c r="A45" s="1917" t="s">
        <v>9837</v>
      </c>
      <c r="B45" s="1917" t="s">
        <v>10837</v>
      </c>
    </row>
    <row r="46" spans="1:2" ht="30" x14ac:dyDescent="0.25">
      <c r="A46" s="1917" t="s">
        <v>9838</v>
      </c>
      <c r="B46" s="1917" t="s">
        <v>10838</v>
      </c>
    </row>
    <row r="47" spans="1:2" ht="30" x14ac:dyDescent="0.25">
      <c r="A47" s="1917" t="s">
        <v>9839</v>
      </c>
      <c r="B47" s="1917" t="s">
        <v>10839</v>
      </c>
    </row>
    <row r="48" spans="1:2" ht="30" x14ac:dyDescent="0.25">
      <c r="A48" s="1917" t="s">
        <v>9840</v>
      </c>
      <c r="B48" s="1917" t="s">
        <v>10840</v>
      </c>
    </row>
    <row r="49" spans="1:2" ht="30" x14ac:dyDescent="0.25">
      <c r="A49" s="1917" t="s">
        <v>9841</v>
      </c>
      <c r="B49" s="1917" t="s">
        <v>10841</v>
      </c>
    </row>
    <row r="50" spans="1:2" ht="30" x14ac:dyDescent="0.25">
      <c r="A50" s="1917" t="s">
        <v>9842</v>
      </c>
      <c r="B50" s="1917" t="s">
        <v>10842</v>
      </c>
    </row>
    <row r="51" spans="1:2" ht="30" x14ac:dyDescent="0.25">
      <c r="A51" s="1917" t="s">
        <v>9843</v>
      </c>
      <c r="B51" s="1917" t="s">
        <v>10843</v>
      </c>
    </row>
    <row r="52" spans="1:2" ht="30" x14ac:dyDescent="0.25">
      <c r="A52" s="1917" t="s">
        <v>9844</v>
      </c>
      <c r="B52" s="1917" t="s">
        <v>10844</v>
      </c>
    </row>
    <row r="53" spans="1:2" ht="30" x14ac:dyDescent="0.25">
      <c r="A53" s="1917" t="s">
        <v>9845</v>
      </c>
      <c r="B53" s="1917" t="s">
        <v>10845</v>
      </c>
    </row>
    <row r="54" spans="1:2" ht="30" x14ac:dyDescent="0.25">
      <c r="A54" s="1917" t="s">
        <v>9846</v>
      </c>
      <c r="B54" s="1917" t="s">
        <v>10846</v>
      </c>
    </row>
    <row r="55" spans="1:2" ht="30" x14ac:dyDescent="0.25">
      <c r="A55" s="1917" t="s">
        <v>9847</v>
      </c>
      <c r="B55" s="1917" t="s">
        <v>10847</v>
      </c>
    </row>
    <row r="56" spans="1:2" x14ac:dyDescent="0.25">
      <c r="A56" s="1917" t="s">
        <v>12604</v>
      </c>
      <c r="B56" s="1917" t="s">
        <v>12603</v>
      </c>
    </row>
    <row r="57" spans="1:2" x14ac:dyDescent="0.25">
      <c r="A57" s="1917" t="s">
        <v>12602</v>
      </c>
      <c r="B57" s="1917" t="s">
        <v>12601</v>
      </c>
    </row>
    <row r="58" spans="1:2" x14ac:dyDescent="0.25">
      <c r="A58" s="1917" t="s">
        <v>12600</v>
      </c>
      <c r="B58" s="1917" t="s">
        <v>12599</v>
      </c>
    </row>
    <row r="59" spans="1:2" ht="30" x14ac:dyDescent="0.25">
      <c r="A59" s="1917" t="s">
        <v>12598</v>
      </c>
      <c r="B59" s="1917" t="s">
        <v>12597</v>
      </c>
    </row>
    <row r="60" spans="1:2" x14ac:dyDescent="0.25">
      <c r="A60" s="1917" t="s">
        <v>9848</v>
      </c>
      <c r="B60" s="1917" t="s">
        <v>10848</v>
      </c>
    </row>
    <row r="61" spans="1:2" x14ac:dyDescent="0.25">
      <c r="A61" s="1917" t="s">
        <v>9849</v>
      </c>
      <c r="B61" s="1917" t="s">
        <v>10849</v>
      </c>
    </row>
    <row r="62" spans="1:2" ht="30" x14ac:dyDescent="0.25">
      <c r="A62" s="1917" t="s">
        <v>12596</v>
      </c>
      <c r="B62" s="1917" t="s">
        <v>12595</v>
      </c>
    </row>
    <row r="63" spans="1:2" x14ac:dyDescent="0.25">
      <c r="A63" s="1917" t="s">
        <v>12594</v>
      </c>
      <c r="B63" s="1917" t="s">
        <v>12593</v>
      </c>
    </row>
    <row r="64" spans="1:2" x14ac:dyDescent="0.25">
      <c r="A64" s="1917" t="s">
        <v>12592</v>
      </c>
      <c r="B64" s="1917" t="s">
        <v>12591</v>
      </c>
    </row>
    <row r="65" spans="1:2" x14ac:dyDescent="0.25">
      <c r="A65" s="1917" t="s">
        <v>12590</v>
      </c>
      <c r="B65" s="1917" t="s">
        <v>12589</v>
      </c>
    </row>
    <row r="66" spans="1:2" x14ac:dyDescent="0.25">
      <c r="A66" s="1917" t="s">
        <v>12588</v>
      </c>
      <c r="B66" s="1917" t="s">
        <v>12587</v>
      </c>
    </row>
    <row r="67" spans="1:2" x14ac:dyDescent="0.25">
      <c r="A67" s="1917" t="s">
        <v>9850</v>
      </c>
      <c r="B67" s="1917" t="s">
        <v>10850</v>
      </c>
    </row>
    <row r="68" spans="1:2" x14ac:dyDescent="0.25">
      <c r="A68" s="1917" t="s">
        <v>9851</v>
      </c>
      <c r="B68" s="1917" t="s">
        <v>10851</v>
      </c>
    </row>
    <row r="69" spans="1:2" ht="30" x14ac:dyDescent="0.25">
      <c r="A69" s="1917" t="s">
        <v>12586</v>
      </c>
      <c r="B69" s="1917" t="s">
        <v>12585</v>
      </c>
    </row>
    <row r="70" spans="1:2" ht="30" x14ac:dyDescent="0.25">
      <c r="A70" s="1917" t="s">
        <v>9852</v>
      </c>
      <c r="B70" s="1917" t="s">
        <v>10852</v>
      </c>
    </row>
    <row r="71" spans="1:2" x14ac:dyDescent="0.25">
      <c r="A71" s="1917" t="s">
        <v>9853</v>
      </c>
      <c r="B71" s="1917" t="s">
        <v>10853</v>
      </c>
    </row>
    <row r="72" spans="1:2" x14ac:dyDescent="0.25">
      <c r="A72" s="1917" t="s">
        <v>9854</v>
      </c>
      <c r="B72" s="1917" t="s">
        <v>10854</v>
      </c>
    </row>
    <row r="73" spans="1:2" x14ac:dyDescent="0.25">
      <c r="A73" s="1917" t="s">
        <v>9855</v>
      </c>
      <c r="B73" s="1917" t="s">
        <v>10855</v>
      </c>
    </row>
    <row r="74" spans="1:2" x14ac:dyDescent="0.25">
      <c r="A74" s="1917" t="s">
        <v>9856</v>
      </c>
      <c r="B74" s="1917" t="s">
        <v>10856</v>
      </c>
    </row>
    <row r="75" spans="1:2" x14ac:dyDescent="0.25">
      <c r="A75" s="1917" t="s">
        <v>9857</v>
      </c>
      <c r="B75" s="1917" t="s">
        <v>10857</v>
      </c>
    </row>
    <row r="76" spans="1:2" x14ac:dyDescent="0.25">
      <c r="A76" s="1917" t="s">
        <v>9858</v>
      </c>
      <c r="B76" s="1917" t="s">
        <v>10858</v>
      </c>
    </row>
    <row r="77" spans="1:2" x14ac:dyDescent="0.25">
      <c r="A77" s="1917" t="s">
        <v>9859</v>
      </c>
      <c r="B77" s="1917" t="s">
        <v>10859</v>
      </c>
    </row>
    <row r="78" spans="1:2" ht="30" x14ac:dyDescent="0.25">
      <c r="A78" s="1917" t="s">
        <v>12584</v>
      </c>
      <c r="B78" s="1917" t="s">
        <v>12583</v>
      </c>
    </row>
    <row r="79" spans="1:2" ht="30" x14ac:dyDescent="0.25">
      <c r="A79" s="1917" t="s">
        <v>9860</v>
      </c>
      <c r="B79" s="1917" t="s">
        <v>10860</v>
      </c>
    </row>
    <row r="80" spans="1:2" ht="30" x14ac:dyDescent="0.25">
      <c r="A80" s="1917" t="s">
        <v>9861</v>
      </c>
      <c r="B80" s="1917" t="s">
        <v>10861</v>
      </c>
    </row>
    <row r="81" spans="1:2" ht="30" x14ac:dyDescent="0.25">
      <c r="A81" s="1917" t="s">
        <v>9862</v>
      </c>
      <c r="B81" s="1917" t="s">
        <v>10862</v>
      </c>
    </row>
    <row r="82" spans="1:2" ht="30" x14ac:dyDescent="0.25">
      <c r="A82" s="1917" t="s">
        <v>9863</v>
      </c>
      <c r="B82" s="1917" t="s">
        <v>10863</v>
      </c>
    </row>
    <row r="83" spans="1:2" ht="30" x14ac:dyDescent="0.25">
      <c r="A83" s="1917" t="s">
        <v>9864</v>
      </c>
      <c r="B83" s="1917" t="s">
        <v>10864</v>
      </c>
    </row>
    <row r="84" spans="1:2" ht="30" x14ac:dyDescent="0.25">
      <c r="A84" s="1917" t="s">
        <v>9865</v>
      </c>
      <c r="B84" s="1917" t="s">
        <v>10865</v>
      </c>
    </row>
    <row r="85" spans="1:2" ht="30" x14ac:dyDescent="0.25">
      <c r="A85" s="1917" t="s">
        <v>9866</v>
      </c>
      <c r="B85" s="1917" t="s">
        <v>10866</v>
      </c>
    </row>
    <row r="86" spans="1:2" ht="30" x14ac:dyDescent="0.25">
      <c r="A86" s="1917" t="s">
        <v>9867</v>
      </c>
      <c r="B86" s="1917" t="s">
        <v>10867</v>
      </c>
    </row>
    <row r="87" spans="1:2" ht="30" x14ac:dyDescent="0.25">
      <c r="A87" s="1917" t="s">
        <v>9868</v>
      </c>
      <c r="B87" s="1917" t="s">
        <v>10868</v>
      </c>
    </row>
    <row r="88" spans="1:2" ht="30" x14ac:dyDescent="0.25">
      <c r="A88" s="1917" t="s">
        <v>9869</v>
      </c>
      <c r="B88" s="1917" t="s">
        <v>10869</v>
      </c>
    </row>
    <row r="89" spans="1:2" ht="30" x14ac:dyDescent="0.25">
      <c r="A89" s="1917" t="s">
        <v>9870</v>
      </c>
      <c r="B89" s="1917" t="s">
        <v>10870</v>
      </c>
    </row>
    <row r="90" spans="1:2" ht="30" x14ac:dyDescent="0.25">
      <c r="A90" s="1917" t="s">
        <v>9871</v>
      </c>
      <c r="B90" s="1917" t="s">
        <v>10871</v>
      </c>
    </row>
    <row r="91" spans="1:2" ht="30" x14ac:dyDescent="0.25">
      <c r="A91" s="1917" t="s">
        <v>9872</v>
      </c>
      <c r="B91" s="1917" t="s">
        <v>10872</v>
      </c>
    </row>
    <row r="92" spans="1:2" ht="30" x14ac:dyDescent="0.25">
      <c r="A92" s="1917" t="s">
        <v>9873</v>
      </c>
      <c r="B92" s="1917" t="s">
        <v>10873</v>
      </c>
    </row>
    <row r="93" spans="1:2" ht="30" x14ac:dyDescent="0.25">
      <c r="A93" s="1917" t="s">
        <v>9874</v>
      </c>
      <c r="B93" s="1917" t="s">
        <v>10874</v>
      </c>
    </row>
    <row r="94" spans="1:2" ht="30" x14ac:dyDescent="0.25">
      <c r="A94" s="1917" t="s">
        <v>9875</v>
      </c>
      <c r="B94" s="1917" t="s">
        <v>10875</v>
      </c>
    </row>
    <row r="95" spans="1:2" ht="30" x14ac:dyDescent="0.25">
      <c r="A95" s="1917" t="s">
        <v>9876</v>
      </c>
      <c r="B95" s="1917" t="s">
        <v>10876</v>
      </c>
    </row>
    <row r="96" spans="1:2" ht="30" x14ac:dyDescent="0.25">
      <c r="A96" s="1917" t="s">
        <v>9877</v>
      </c>
      <c r="B96" s="1917" t="s">
        <v>10877</v>
      </c>
    </row>
    <row r="97" spans="1:2" ht="30" x14ac:dyDescent="0.25">
      <c r="A97" s="1917" t="s">
        <v>9878</v>
      </c>
      <c r="B97" s="1917" t="s">
        <v>10878</v>
      </c>
    </row>
    <row r="98" spans="1:2" x14ac:dyDescent="0.25">
      <c r="A98" s="1917" t="s">
        <v>12582</v>
      </c>
      <c r="B98" s="1917" t="s">
        <v>12581</v>
      </c>
    </row>
    <row r="99" spans="1:2" x14ac:dyDescent="0.25">
      <c r="A99" s="1917" t="s">
        <v>12580</v>
      </c>
      <c r="B99" s="1917" t="s">
        <v>12579</v>
      </c>
    </row>
    <row r="100" spans="1:2" ht="30" x14ac:dyDescent="0.25">
      <c r="A100" s="1917" t="s">
        <v>12578</v>
      </c>
      <c r="B100" s="1917" t="s">
        <v>12577</v>
      </c>
    </row>
    <row r="101" spans="1:2" ht="30" x14ac:dyDescent="0.25">
      <c r="A101" s="1917" t="s">
        <v>12576</v>
      </c>
      <c r="B101" s="1917" t="s">
        <v>12575</v>
      </c>
    </row>
    <row r="102" spans="1:2" x14ac:dyDescent="0.25">
      <c r="A102" s="1917" t="s">
        <v>12574</v>
      </c>
      <c r="B102" s="1917" t="s">
        <v>12573</v>
      </c>
    </row>
    <row r="103" spans="1:2" ht="30" x14ac:dyDescent="0.25">
      <c r="A103" s="1917" t="s">
        <v>12572</v>
      </c>
      <c r="B103" s="1917" t="s">
        <v>12571</v>
      </c>
    </row>
    <row r="104" spans="1:2" x14ac:dyDescent="0.25">
      <c r="A104" s="1917" t="s">
        <v>12570</v>
      </c>
      <c r="B104" s="1917" t="s">
        <v>12569</v>
      </c>
    </row>
    <row r="105" spans="1:2" x14ac:dyDescent="0.25">
      <c r="A105" s="1917" t="s">
        <v>12568</v>
      </c>
      <c r="B105" s="1917" t="s">
        <v>12567</v>
      </c>
    </row>
    <row r="106" spans="1:2" ht="30" x14ac:dyDescent="0.25">
      <c r="A106" s="1917" t="s">
        <v>12566</v>
      </c>
      <c r="B106" s="1917" t="s">
        <v>12565</v>
      </c>
    </row>
    <row r="107" spans="1:2" ht="30" x14ac:dyDescent="0.25">
      <c r="A107" s="1917" t="s">
        <v>12564</v>
      </c>
      <c r="B107" s="1917" t="s">
        <v>12563</v>
      </c>
    </row>
    <row r="108" spans="1:2" ht="30" x14ac:dyDescent="0.25">
      <c r="A108" s="1917" t="s">
        <v>12562</v>
      </c>
      <c r="B108" s="1917" t="s">
        <v>12561</v>
      </c>
    </row>
    <row r="109" spans="1:2" x14ac:dyDescent="0.25">
      <c r="A109" s="1917" t="s">
        <v>9879</v>
      </c>
      <c r="B109" s="1917" t="s">
        <v>10879</v>
      </c>
    </row>
    <row r="110" spans="1:2" ht="30" x14ac:dyDescent="0.25">
      <c r="A110" s="1917" t="s">
        <v>12560</v>
      </c>
      <c r="B110" s="1917" t="s">
        <v>12559</v>
      </c>
    </row>
    <row r="111" spans="1:2" x14ac:dyDescent="0.25">
      <c r="A111" s="1917" t="s">
        <v>9880</v>
      </c>
      <c r="B111" s="1917" t="s">
        <v>10880</v>
      </c>
    </row>
    <row r="112" spans="1:2" x14ac:dyDescent="0.25">
      <c r="A112" s="1917" t="s">
        <v>9881</v>
      </c>
      <c r="B112" s="1917" t="s">
        <v>10881</v>
      </c>
    </row>
    <row r="113" spans="1:2" x14ac:dyDescent="0.25">
      <c r="A113" s="1917" t="s">
        <v>9882</v>
      </c>
      <c r="B113" s="1917" t="s">
        <v>10882</v>
      </c>
    </row>
    <row r="114" spans="1:2" x14ac:dyDescent="0.25">
      <c r="A114" s="1917" t="s">
        <v>9883</v>
      </c>
      <c r="B114" s="1917" t="s">
        <v>10883</v>
      </c>
    </row>
    <row r="115" spans="1:2" x14ac:dyDescent="0.25">
      <c r="A115" s="1917" t="s">
        <v>9884</v>
      </c>
      <c r="B115" s="1917" t="s">
        <v>10884</v>
      </c>
    </row>
    <row r="116" spans="1:2" x14ac:dyDescent="0.25">
      <c r="A116" s="1917" t="s">
        <v>9885</v>
      </c>
      <c r="B116" s="1917" t="s">
        <v>10885</v>
      </c>
    </row>
    <row r="117" spans="1:2" x14ac:dyDescent="0.25">
      <c r="A117" s="1917" t="s">
        <v>9886</v>
      </c>
      <c r="B117" s="1917" t="s">
        <v>10886</v>
      </c>
    </row>
    <row r="118" spans="1:2" x14ac:dyDescent="0.25">
      <c r="A118" s="1917" t="s">
        <v>9887</v>
      </c>
      <c r="B118" s="1917" t="s">
        <v>10887</v>
      </c>
    </row>
    <row r="119" spans="1:2" x14ac:dyDescent="0.25">
      <c r="A119" s="1917" t="s">
        <v>12558</v>
      </c>
      <c r="B119" s="1917" t="s">
        <v>12557</v>
      </c>
    </row>
    <row r="120" spans="1:2" x14ac:dyDescent="0.25">
      <c r="A120" s="1917" t="s">
        <v>12556</v>
      </c>
      <c r="B120" s="1917" t="s">
        <v>12555</v>
      </c>
    </row>
    <row r="121" spans="1:2" x14ac:dyDescent="0.25">
      <c r="A121" s="1917" t="s">
        <v>12554</v>
      </c>
      <c r="B121" s="1917" t="s">
        <v>12553</v>
      </c>
    </row>
    <row r="122" spans="1:2" x14ac:dyDescent="0.25">
      <c r="A122" s="1917" t="s">
        <v>12552</v>
      </c>
      <c r="B122" s="1917" t="s">
        <v>12551</v>
      </c>
    </row>
    <row r="123" spans="1:2" x14ac:dyDescent="0.25">
      <c r="A123" s="1917" t="s">
        <v>12550</v>
      </c>
      <c r="B123" s="1917" t="s">
        <v>12549</v>
      </c>
    </row>
    <row r="124" spans="1:2" x14ac:dyDescent="0.25">
      <c r="A124" s="1917" t="s">
        <v>12548</v>
      </c>
      <c r="B124" s="1917" t="s">
        <v>12547</v>
      </c>
    </row>
    <row r="125" spans="1:2" x14ac:dyDescent="0.25">
      <c r="A125" s="1917" t="s">
        <v>12546</v>
      </c>
      <c r="B125" s="1917" t="s">
        <v>12545</v>
      </c>
    </row>
    <row r="126" spans="1:2" x14ac:dyDescent="0.25">
      <c r="A126" s="1917" t="s">
        <v>12544</v>
      </c>
      <c r="B126" s="1917" t="s">
        <v>12543</v>
      </c>
    </row>
    <row r="127" spans="1:2" x14ac:dyDescent="0.25">
      <c r="A127" s="1917" t="s">
        <v>12542</v>
      </c>
      <c r="B127" s="1917" t="s">
        <v>12541</v>
      </c>
    </row>
    <row r="128" spans="1:2" ht="30" x14ac:dyDescent="0.25">
      <c r="A128" s="1917" t="s">
        <v>9888</v>
      </c>
      <c r="B128" s="1917" t="s">
        <v>10888</v>
      </c>
    </row>
    <row r="129" spans="1:2" ht="30" x14ac:dyDescent="0.25">
      <c r="A129" s="1917" t="s">
        <v>9889</v>
      </c>
      <c r="B129" s="1917" t="s">
        <v>10889</v>
      </c>
    </row>
    <row r="130" spans="1:2" ht="30" x14ac:dyDescent="0.25">
      <c r="A130" s="1917" t="s">
        <v>9890</v>
      </c>
      <c r="B130" s="1917" t="s">
        <v>10890</v>
      </c>
    </row>
    <row r="131" spans="1:2" ht="30" x14ac:dyDescent="0.25">
      <c r="A131" s="1917" t="s">
        <v>9891</v>
      </c>
      <c r="B131" s="1917" t="s">
        <v>10891</v>
      </c>
    </row>
    <row r="132" spans="1:2" ht="30" x14ac:dyDescent="0.25">
      <c r="A132" s="1917" t="s">
        <v>9892</v>
      </c>
      <c r="B132" s="1917" t="s">
        <v>10892</v>
      </c>
    </row>
    <row r="133" spans="1:2" ht="30" x14ac:dyDescent="0.25">
      <c r="A133" s="1917" t="s">
        <v>9893</v>
      </c>
      <c r="B133" s="1917" t="s">
        <v>10893</v>
      </c>
    </row>
    <row r="134" spans="1:2" ht="30" x14ac:dyDescent="0.25">
      <c r="A134" s="1917" t="s">
        <v>9894</v>
      </c>
      <c r="B134" s="1917" t="s">
        <v>10894</v>
      </c>
    </row>
    <row r="135" spans="1:2" x14ac:dyDescent="0.25">
      <c r="A135" s="1917" t="s">
        <v>12540</v>
      </c>
      <c r="B135" s="1917" t="s">
        <v>12539</v>
      </c>
    </row>
    <row r="136" spans="1:2" x14ac:dyDescent="0.25">
      <c r="A136" s="1917" t="s">
        <v>9895</v>
      </c>
      <c r="B136" s="1917" t="s">
        <v>10895</v>
      </c>
    </row>
    <row r="137" spans="1:2" ht="30" x14ac:dyDescent="0.25">
      <c r="A137" s="1917" t="s">
        <v>12538</v>
      </c>
      <c r="B137" s="1917" t="s">
        <v>12537</v>
      </c>
    </row>
    <row r="138" spans="1:2" x14ac:dyDescent="0.25">
      <c r="A138" s="1917" t="s">
        <v>12536</v>
      </c>
      <c r="B138" s="1917" t="s">
        <v>12535</v>
      </c>
    </row>
    <row r="139" spans="1:2" ht="30" x14ac:dyDescent="0.25">
      <c r="A139" s="1917" t="s">
        <v>9896</v>
      </c>
      <c r="B139" s="1917" t="s">
        <v>10896</v>
      </c>
    </row>
    <row r="140" spans="1:2" ht="30" x14ac:dyDescent="0.25">
      <c r="A140" s="1917" t="s">
        <v>9897</v>
      </c>
      <c r="B140" s="1917" t="s">
        <v>10897</v>
      </c>
    </row>
    <row r="141" spans="1:2" ht="30" x14ac:dyDescent="0.25">
      <c r="A141" s="1917" t="s">
        <v>9898</v>
      </c>
      <c r="B141" s="1917" t="s">
        <v>10898</v>
      </c>
    </row>
    <row r="142" spans="1:2" ht="30" x14ac:dyDescent="0.25">
      <c r="A142" s="1917" t="s">
        <v>9899</v>
      </c>
      <c r="B142" s="1917" t="s">
        <v>10899</v>
      </c>
    </row>
    <row r="143" spans="1:2" ht="30" x14ac:dyDescent="0.25">
      <c r="A143" s="1917" t="s">
        <v>9900</v>
      </c>
      <c r="B143" s="1917" t="s">
        <v>10900</v>
      </c>
    </row>
    <row r="144" spans="1:2" ht="30" x14ac:dyDescent="0.25">
      <c r="A144" s="1917" t="s">
        <v>9901</v>
      </c>
      <c r="B144" s="1917" t="s">
        <v>10901</v>
      </c>
    </row>
    <row r="145" spans="1:2" ht="30" x14ac:dyDescent="0.25">
      <c r="A145" s="1917" t="s">
        <v>9902</v>
      </c>
      <c r="B145" s="1917" t="s">
        <v>10902</v>
      </c>
    </row>
    <row r="146" spans="1:2" ht="30" x14ac:dyDescent="0.25">
      <c r="A146" s="1917" t="s">
        <v>9903</v>
      </c>
      <c r="B146" s="1917" t="s">
        <v>10903</v>
      </c>
    </row>
    <row r="147" spans="1:2" ht="30" x14ac:dyDescent="0.25">
      <c r="A147" s="1917" t="s">
        <v>9904</v>
      </c>
      <c r="B147" s="1917" t="s">
        <v>10904</v>
      </c>
    </row>
    <row r="148" spans="1:2" ht="30" x14ac:dyDescent="0.25">
      <c r="A148" s="1917" t="s">
        <v>9905</v>
      </c>
      <c r="B148" s="1917" t="s">
        <v>10905</v>
      </c>
    </row>
    <row r="149" spans="1:2" ht="30" x14ac:dyDescent="0.25">
      <c r="A149" s="1917" t="s">
        <v>12534</v>
      </c>
      <c r="B149" s="1917" t="s">
        <v>12533</v>
      </c>
    </row>
    <row r="150" spans="1:2" x14ac:dyDescent="0.25">
      <c r="A150" s="1917" t="s">
        <v>12532</v>
      </c>
      <c r="B150" s="1917" t="s">
        <v>12531</v>
      </c>
    </row>
    <row r="151" spans="1:2" ht="30" x14ac:dyDescent="0.25">
      <c r="A151" s="1917" t="s">
        <v>9906</v>
      </c>
      <c r="B151" s="1917" t="s">
        <v>10906</v>
      </c>
    </row>
    <row r="152" spans="1:2" x14ac:dyDescent="0.25">
      <c r="A152" s="1917" t="s">
        <v>9910</v>
      </c>
      <c r="B152" s="1917" t="s">
        <v>10910</v>
      </c>
    </row>
    <row r="153" spans="1:2" x14ac:dyDescent="0.25">
      <c r="A153" s="1917" t="s">
        <v>9911</v>
      </c>
      <c r="B153" s="1917" t="s">
        <v>10911</v>
      </c>
    </row>
    <row r="154" spans="1:2" ht="30" x14ac:dyDescent="0.25">
      <c r="A154" s="1917" t="s">
        <v>9912</v>
      </c>
      <c r="B154" s="1917" t="s">
        <v>10912</v>
      </c>
    </row>
    <row r="155" spans="1:2" ht="30" x14ac:dyDescent="0.25">
      <c r="A155" s="1917" t="s">
        <v>9913</v>
      </c>
      <c r="B155" s="1917" t="s">
        <v>10913</v>
      </c>
    </row>
    <row r="156" spans="1:2" ht="30" x14ac:dyDescent="0.25">
      <c r="A156" s="1917" t="s">
        <v>9914</v>
      </c>
      <c r="B156" s="1917" t="s">
        <v>10914</v>
      </c>
    </row>
    <row r="157" spans="1:2" ht="30" x14ac:dyDescent="0.25">
      <c r="A157" s="1917" t="s">
        <v>9915</v>
      </c>
      <c r="B157" s="1917" t="s">
        <v>10915</v>
      </c>
    </row>
    <row r="158" spans="1:2" ht="30" x14ac:dyDescent="0.25">
      <c r="A158" s="1917" t="s">
        <v>9916</v>
      </c>
      <c r="B158" s="1917" t="s">
        <v>10916</v>
      </c>
    </row>
    <row r="159" spans="1:2" ht="30" x14ac:dyDescent="0.25">
      <c r="A159" s="1917" t="s">
        <v>9917</v>
      </c>
      <c r="B159" s="1917" t="s">
        <v>10917</v>
      </c>
    </row>
    <row r="160" spans="1:2" ht="30" x14ac:dyDescent="0.25">
      <c r="A160" s="1917" t="s">
        <v>9918</v>
      </c>
      <c r="B160" s="1917" t="s">
        <v>10918</v>
      </c>
    </row>
    <row r="161" spans="1:2" ht="30" x14ac:dyDescent="0.25">
      <c r="A161" s="1917" t="s">
        <v>9919</v>
      </c>
      <c r="B161" s="1917" t="s">
        <v>10919</v>
      </c>
    </row>
    <row r="162" spans="1:2" ht="30" x14ac:dyDescent="0.25">
      <c r="A162" s="1917" t="s">
        <v>9920</v>
      </c>
      <c r="B162" s="1917" t="s">
        <v>10920</v>
      </c>
    </row>
    <row r="163" spans="1:2" x14ac:dyDescent="0.25">
      <c r="A163" s="1917" t="s">
        <v>12530</v>
      </c>
      <c r="B163" s="1917" t="s">
        <v>12529</v>
      </c>
    </row>
    <row r="164" spans="1:2" x14ac:dyDescent="0.25">
      <c r="A164" s="1917" t="s">
        <v>9921</v>
      </c>
      <c r="B164" s="1917" t="s">
        <v>10921</v>
      </c>
    </row>
    <row r="165" spans="1:2" x14ac:dyDescent="0.25">
      <c r="A165" s="1917" t="s">
        <v>9922</v>
      </c>
      <c r="B165" s="1917" t="s">
        <v>10922</v>
      </c>
    </row>
    <row r="166" spans="1:2" x14ac:dyDescent="0.25">
      <c r="A166" s="1917" t="s">
        <v>9923</v>
      </c>
      <c r="B166" s="1917" t="s">
        <v>10923</v>
      </c>
    </row>
    <row r="167" spans="1:2" x14ac:dyDescent="0.25">
      <c r="A167" s="1917" t="s">
        <v>9924</v>
      </c>
      <c r="B167" s="1917" t="s">
        <v>10924</v>
      </c>
    </row>
    <row r="168" spans="1:2" x14ac:dyDescent="0.25">
      <c r="A168" s="1917" t="s">
        <v>9925</v>
      </c>
      <c r="B168" s="1917" t="s">
        <v>10925</v>
      </c>
    </row>
    <row r="169" spans="1:2" x14ac:dyDescent="0.25">
      <c r="A169" s="1917" t="s">
        <v>9926</v>
      </c>
      <c r="B169" s="1917" t="s">
        <v>10926</v>
      </c>
    </row>
    <row r="170" spans="1:2" x14ac:dyDescent="0.25">
      <c r="A170" s="1917" t="s">
        <v>12528</v>
      </c>
      <c r="B170" s="1917" t="s">
        <v>12527</v>
      </c>
    </row>
    <row r="171" spans="1:2" x14ac:dyDescent="0.25">
      <c r="A171" s="1917" t="s">
        <v>12526</v>
      </c>
      <c r="B171" s="1917" t="s">
        <v>12525</v>
      </c>
    </row>
    <row r="172" spans="1:2" ht="30" x14ac:dyDescent="0.25">
      <c r="A172" s="1917" t="s">
        <v>9927</v>
      </c>
      <c r="B172" s="1917" t="s">
        <v>12524</v>
      </c>
    </row>
    <row r="173" spans="1:2" ht="30" x14ac:dyDescent="0.25">
      <c r="A173" s="1917" t="s">
        <v>9928</v>
      </c>
      <c r="B173" s="1917" t="s">
        <v>12523</v>
      </c>
    </row>
    <row r="174" spans="1:2" ht="30" x14ac:dyDescent="0.25">
      <c r="A174" s="1917" t="s">
        <v>9929</v>
      </c>
      <c r="B174" s="1917" t="s">
        <v>12522</v>
      </c>
    </row>
    <row r="175" spans="1:2" ht="30" x14ac:dyDescent="0.25">
      <c r="A175" s="1917" t="s">
        <v>9930</v>
      </c>
      <c r="B175" s="1917" t="s">
        <v>12521</v>
      </c>
    </row>
    <row r="176" spans="1:2" ht="30" x14ac:dyDescent="0.25">
      <c r="A176" s="1917" t="s">
        <v>9931</v>
      </c>
      <c r="B176" s="1917" t="s">
        <v>12520</v>
      </c>
    </row>
    <row r="177" spans="1:2" ht="30" x14ac:dyDescent="0.25">
      <c r="A177" s="1917" t="s">
        <v>9932</v>
      </c>
      <c r="B177" s="1917" t="s">
        <v>12519</v>
      </c>
    </row>
    <row r="178" spans="1:2" ht="30" x14ac:dyDescent="0.25">
      <c r="A178" s="1917" t="s">
        <v>9933</v>
      </c>
      <c r="B178" s="1917" t="s">
        <v>12518</v>
      </c>
    </row>
    <row r="179" spans="1:2" x14ac:dyDescent="0.25">
      <c r="A179" s="1917" t="s">
        <v>12517</v>
      </c>
      <c r="B179" s="1917" t="s">
        <v>12516</v>
      </c>
    </row>
    <row r="180" spans="1:2" ht="30" x14ac:dyDescent="0.25">
      <c r="A180" s="1917" t="s">
        <v>12515</v>
      </c>
      <c r="B180" s="1917" t="s">
        <v>12514</v>
      </c>
    </row>
    <row r="181" spans="1:2" ht="30" x14ac:dyDescent="0.25">
      <c r="A181" s="1917" t="s">
        <v>12513</v>
      </c>
      <c r="B181" s="1917" t="s">
        <v>12512</v>
      </c>
    </row>
    <row r="182" spans="1:2" ht="30" x14ac:dyDescent="0.25">
      <c r="A182" s="1917" t="s">
        <v>12511</v>
      </c>
      <c r="B182" s="1917" t="s">
        <v>12510</v>
      </c>
    </row>
    <row r="183" spans="1:2" ht="30" x14ac:dyDescent="0.25">
      <c r="A183" s="1917" t="s">
        <v>12509</v>
      </c>
      <c r="B183" s="1917" t="s">
        <v>12508</v>
      </c>
    </row>
    <row r="184" spans="1:2" ht="30" x14ac:dyDescent="0.25">
      <c r="A184" s="1917" t="s">
        <v>12507</v>
      </c>
      <c r="B184" s="1917" t="s">
        <v>12506</v>
      </c>
    </row>
    <row r="185" spans="1:2" ht="30" x14ac:dyDescent="0.25">
      <c r="A185" s="1917" t="s">
        <v>12505</v>
      </c>
      <c r="B185" s="1917" t="s">
        <v>12504</v>
      </c>
    </row>
    <row r="186" spans="1:2" x14ac:dyDescent="0.25">
      <c r="A186" s="1917" t="s">
        <v>12503</v>
      </c>
      <c r="B186" s="1917" t="s">
        <v>12502</v>
      </c>
    </row>
    <row r="187" spans="1:2" x14ac:dyDescent="0.25">
      <c r="A187" s="1917" t="s">
        <v>12501</v>
      </c>
      <c r="B187" s="1917" t="s">
        <v>12500</v>
      </c>
    </row>
    <row r="188" spans="1:2" x14ac:dyDescent="0.25">
      <c r="A188" s="1917" t="s">
        <v>9934</v>
      </c>
      <c r="B188" s="1917" t="s">
        <v>10934</v>
      </c>
    </row>
    <row r="189" spans="1:2" x14ac:dyDescent="0.25">
      <c r="A189" s="1917" t="s">
        <v>9935</v>
      </c>
      <c r="B189" s="1917" t="s">
        <v>10935</v>
      </c>
    </row>
    <row r="190" spans="1:2" x14ac:dyDescent="0.25">
      <c r="A190" s="1917" t="s">
        <v>9936</v>
      </c>
      <c r="B190" s="1917" t="s">
        <v>10936</v>
      </c>
    </row>
    <row r="191" spans="1:2" x14ac:dyDescent="0.25">
      <c r="A191" s="1917" t="s">
        <v>9937</v>
      </c>
      <c r="B191" s="1917" t="s">
        <v>10937</v>
      </c>
    </row>
    <row r="192" spans="1:2" x14ac:dyDescent="0.25">
      <c r="A192" s="1917" t="s">
        <v>9938</v>
      </c>
      <c r="B192" s="1917" t="s">
        <v>10938</v>
      </c>
    </row>
    <row r="193" spans="1:2" x14ac:dyDescent="0.25">
      <c r="A193" s="1917" t="s">
        <v>9939</v>
      </c>
      <c r="B193" s="1917" t="s">
        <v>10939</v>
      </c>
    </row>
    <row r="194" spans="1:2" ht="30" x14ac:dyDescent="0.25">
      <c r="A194" s="1917" t="s">
        <v>12499</v>
      </c>
      <c r="B194" s="1917" t="s">
        <v>12498</v>
      </c>
    </row>
    <row r="195" spans="1:2" ht="30" x14ac:dyDescent="0.25">
      <c r="A195" s="1917" t="s">
        <v>12497</v>
      </c>
      <c r="B195" s="1917" t="s">
        <v>12496</v>
      </c>
    </row>
    <row r="196" spans="1:2" x14ac:dyDescent="0.25">
      <c r="A196" s="1917" t="s">
        <v>9940</v>
      </c>
      <c r="B196" s="1917" t="s">
        <v>10940</v>
      </c>
    </row>
    <row r="197" spans="1:2" x14ac:dyDescent="0.25">
      <c r="A197" s="1917" t="s">
        <v>9941</v>
      </c>
      <c r="B197" s="1917" t="s">
        <v>10941</v>
      </c>
    </row>
    <row r="198" spans="1:2" x14ac:dyDescent="0.25">
      <c r="A198" s="1917" t="s">
        <v>9942</v>
      </c>
      <c r="B198" s="1917" t="s">
        <v>10942</v>
      </c>
    </row>
    <row r="199" spans="1:2" x14ac:dyDescent="0.25">
      <c r="A199" s="1917" t="s">
        <v>9943</v>
      </c>
      <c r="B199" s="1917" t="s">
        <v>10943</v>
      </c>
    </row>
    <row r="200" spans="1:2" ht="30" x14ac:dyDescent="0.25">
      <c r="A200" s="1917" t="s">
        <v>9944</v>
      </c>
      <c r="B200" s="1917" t="s">
        <v>10944</v>
      </c>
    </row>
    <row r="201" spans="1:2" ht="30" x14ac:dyDescent="0.25">
      <c r="A201" s="1917" t="s">
        <v>12495</v>
      </c>
      <c r="B201" s="1917" t="s">
        <v>12494</v>
      </c>
    </row>
    <row r="202" spans="1:2" ht="30" x14ac:dyDescent="0.25">
      <c r="A202" s="1917" t="s">
        <v>12493</v>
      </c>
      <c r="B202" s="1917" t="s">
        <v>12492</v>
      </c>
    </row>
    <row r="203" spans="1:2" ht="30" x14ac:dyDescent="0.25">
      <c r="A203" s="1917" t="s">
        <v>12491</v>
      </c>
      <c r="B203" s="1917" t="s">
        <v>12490</v>
      </c>
    </row>
    <row r="204" spans="1:2" x14ac:dyDescent="0.25">
      <c r="A204" s="1917" t="s">
        <v>9945</v>
      </c>
      <c r="B204" s="1917" t="s">
        <v>10945</v>
      </c>
    </row>
    <row r="205" spans="1:2" ht="30" x14ac:dyDescent="0.25">
      <c r="A205" s="1917" t="s">
        <v>9946</v>
      </c>
      <c r="B205" s="1917" t="s">
        <v>10946</v>
      </c>
    </row>
    <row r="206" spans="1:2" ht="30" x14ac:dyDescent="0.25">
      <c r="A206" s="1917" t="s">
        <v>9947</v>
      </c>
      <c r="B206" s="1917" t="s">
        <v>10947</v>
      </c>
    </row>
    <row r="207" spans="1:2" x14ac:dyDescent="0.25">
      <c r="A207" s="1917" t="s">
        <v>9948</v>
      </c>
      <c r="B207" s="1917" t="s">
        <v>10948</v>
      </c>
    </row>
    <row r="208" spans="1:2" ht="30" x14ac:dyDescent="0.25">
      <c r="A208" s="1917" t="s">
        <v>9949</v>
      </c>
      <c r="B208" s="1917" t="s">
        <v>10949</v>
      </c>
    </row>
    <row r="209" spans="1:2" ht="30" x14ac:dyDescent="0.25">
      <c r="A209" s="1917" t="s">
        <v>9950</v>
      </c>
      <c r="B209" s="1917" t="s">
        <v>10950</v>
      </c>
    </row>
    <row r="210" spans="1:2" x14ac:dyDescent="0.25">
      <c r="A210" s="1917" t="s">
        <v>9951</v>
      </c>
      <c r="B210" s="1917" t="s">
        <v>10951</v>
      </c>
    </row>
    <row r="211" spans="1:2" x14ac:dyDescent="0.25">
      <c r="A211" s="1917" t="s">
        <v>9952</v>
      </c>
      <c r="B211" s="1917" t="s">
        <v>10952</v>
      </c>
    </row>
    <row r="212" spans="1:2" ht="30" x14ac:dyDescent="0.25">
      <c r="A212" s="1917" t="s">
        <v>9953</v>
      </c>
      <c r="B212" s="1917" t="s">
        <v>10953</v>
      </c>
    </row>
    <row r="213" spans="1:2" ht="30" x14ac:dyDescent="0.25">
      <c r="A213" s="1917" t="s">
        <v>9954</v>
      </c>
      <c r="B213" s="1917" t="s">
        <v>10954</v>
      </c>
    </row>
    <row r="214" spans="1:2" ht="30" x14ac:dyDescent="0.25">
      <c r="A214" s="1917" t="s">
        <v>9955</v>
      </c>
      <c r="B214" s="1917" t="s">
        <v>10955</v>
      </c>
    </row>
    <row r="215" spans="1:2" ht="30" x14ac:dyDescent="0.25">
      <c r="A215" s="1917" t="s">
        <v>9956</v>
      </c>
      <c r="B215" s="1917" t="s">
        <v>10956</v>
      </c>
    </row>
    <row r="216" spans="1:2" ht="30" x14ac:dyDescent="0.25">
      <c r="A216" s="1917" t="s">
        <v>9957</v>
      </c>
      <c r="B216" s="1917" t="s">
        <v>10957</v>
      </c>
    </row>
    <row r="217" spans="1:2" ht="30" x14ac:dyDescent="0.25">
      <c r="A217" s="1917" t="s">
        <v>9958</v>
      </c>
      <c r="B217" s="1917" t="s">
        <v>10958</v>
      </c>
    </row>
    <row r="218" spans="1:2" x14ac:dyDescent="0.25">
      <c r="A218" s="1917" t="s">
        <v>12489</v>
      </c>
      <c r="B218" s="1917" t="s">
        <v>12488</v>
      </c>
    </row>
    <row r="219" spans="1:2" ht="30" x14ac:dyDescent="0.25">
      <c r="A219" s="1917" t="s">
        <v>9959</v>
      </c>
      <c r="B219" s="1917" t="s">
        <v>10959</v>
      </c>
    </row>
    <row r="220" spans="1:2" x14ac:dyDescent="0.25">
      <c r="A220" s="1917" t="s">
        <v>9960</v>
      </c>
      <c r="B220" s="1917" t="s">
        <v>10960</v>
      </c>
    </row>
    <row r="221" spans="1:2" x14ac:dyDescent="0.25">
      <c r="A221" s="1917" t="s">
        <v>9961</v>
      </c>
      <c r="B221" s="1917" t="s">
        <v>10961</v>
      </c>
    </row>
    <row r="222" spans="1:2" x14ac:dyDescent="0.25">
      <c r="A222" s="1917" t="s">
        <v>9962</v>
      </c>
      <c r="B222" s="1917" t="s">
        <v>10962</v>
      </c>
    </row>
    <row r="223" spans="1:2" ht="30" x14ac:dyDescent="0.25">
      <c r="A223" s="1917" t="s">
        <v>9963</v>
      </c>
      <c r="B223" s="1917" t="s">
        <v>10963</v>
      </c>
    </row>
    <row r="224" spans="1:2" x14ac:dyDescent="0.25">
      <c r="A224" s="1917" t="s">
        <v>9964</v>
      </c>
      <c r="B224" s="1917" t="s">
        <v>10964</v>
      </c>
    </row>
    <row r="225" spans="1:2" ht="30" x14ac:dyDescent="0.25">
      <c r="A225" s="1917" t="s">
        <v>9965</v>
      </c>
      <c r="B225" s="1917" t="s">
        <v>10965</v>
      </c>
    </row>
    <row r="226" spans="1:2" x14ac:dyDescent="0.25">
      <c r="A226" s="1917" t="s">
        <v>9966</v>
      </c>
      <c r="B226" s="1917" t="s">
        <v>10966</v>
      </c>
    </row>
    <row r="227" spans="1:2" x14ac:dyDescent="0.25">
      <c r="A227" s="1917" t="s">
        <v>9967</v>
      </c>
      <c r="B227" s="1917" t="s">
        <v>10967</v>
      </c>
    </row>
    <row r="228" spans="1:2" x14ac:dyDescent="0.25">
      <c r="A228" s="1917" t="s">
        <v>9968</v>
      </c>
      <c r="B228" s="1917" t="s">
        <v>10968</v>
      </c>
    </row>
    <row r="229" spans="1:2" ht="30" x14ac:dyDescent="0.25">
      <c r="A229" s="1917" t="s">
        <v>9969</v>
      </c>
      <c r="B229" s="1917" t="s">
        <v>10969</v>
      </c>
    </row>
    <row r="230" spans="1:2" ht="30" x14ac:dyDescent="0.25">
      <c r="A230" s="1917" t="s">
        <v>9970</v>
      </c>
      <c r="B230" s="1917" t="s">
        <v>10970</v>
      </c>
    </row>
    <row r="231" spans="1:2" ht="30" x14ac:dyDescent="0.25">
      <c r="A231" s="1917" t="s">
        <v>9971</v>
      </c>
      <c r="B231" s="1917" t="s">
        <v>10971</v>
      </c>
    </row>
    <row r="232" spans="1:2" x14ac:dyDescent="0.25">
      <c r="A232" s="1917" t="s">
        <v>12487</v>
      </c>
      <c r="B232" s="1917" t="s">
        <v>12486</v>
      </c>
    </row>
    <row r="233" spans="1:2" x14ac:dyDescent="0.25">
      <c r="A233" s="1917" t="s">
        <v>12485</v>
      </c>
      <c r="B233" s="1917" t="s">
        <v>12484</v>
      </c>
    </row>
    <row r="234" spans="1:2" ht="30" x14ac:dyDescent="0.25">
      <c r="A234" s="1917" t="s">
        <v>12483</v>
      </c>
      <c r="B234" s="1917" t="s">
        <v>12482</v>
      </c>
    </row>
    <row r="235" spans="1:2" x14ac:dyDescent="0.25">
      <c r="A235" s="1917" t="s">
        <v>12481</v>
      </c>
      <c r="B235" s="1917" t="s">
        <v>12480</v>
      </c>
    </row>
    <row r="236" spans="1:2" x14ac:dyDescent="0.25">
      <c r="A236" s="1917" t="s">
        <v>12479</v>
      </c>
      <c r="B236" s="1917" t="s">
        <v>12478</v>
      </c>
    </row>
    <row r="237" spans="1:2" x14ac:dyDescent="0.25">
      <c r="A237" s="1917" t="s">
        <v>12477</v>
      </c>
      <c r="B237" s="1917" t="s">
        <v>12476</v>
      </c>
    </row>
    <row r="238" spans="1:2" x14ac:dyDescent="0.25">
      <c r="A238" s="1917" t="s">
        <v>12475</v>
      </c>
      <c r="B238" s="1917" t="s">
        <v>12474</v>
      </c>
    </row>
    <row r="239" spans="1:2" x14ac:dyDescent="0.25">
      <c r="A239" s="1917" t="s">
        <v>12473</v>
      </c>
      <c r="B239" s="1917" t="s">
        <v>12472</v>
      </c>
    </row>
    <row r="240" spans="1:2" ht="30" x14ac:dyDescent="0.25">
      <c r="A240" s="1917" t="s">
        <v>9972</v>
      </c>
      <c r="B240" s="1917" t="s">
        <v>10972</v>
      </c>
    </row>
    <row r="241" spans="1:2" ht="30" x14ac:dyDescent="0.25">
      <c r="A241" s="1917" t="s">
        <v>9973</v>
      </c>
      <c r="B241" s="1917" t="s">
        <v>10973</v>
      </c>
    </row>
    <row r="242" spans="1:2" x14ac:dyDescent="0.25">
      <c r="A242" s="1917" t="s">
        <v>12471</v>
      </c>
      <c r="B242" s="1917" t="s">
        <v>12470</v>
      </c>
    </row>
    <row r="243" spans="1:2" x14ac:dyDescent="0.25">
      <c r="A243" s="1917" t="s">
        <v>9974</v>
      </c>
      <c r="B243" s="1917" t="s">
        <v>10974</v>
      </c>
    </row>
    <row r="244" spans="1:2" x14ac:dyDescent="0.25">
      <c r="A244" s="1917" t="s">
        <v>12469</v>
      </c>
      <c r="B244" s="1917" t="s">
        <v>12468</v>
      </c>
    </row>
    <row r="245" spans="1:2" x14ac:dyDescent="0.25">
      <c r="A245" s="1917" t="s">
        <v>9975</v>
      </c>
      <c r="B245" s="1917" t="s">
        <v>10975</v>
      </c>
    </row>
    <row r="246" spans="1:2" x14ac:dyDescent="0.25">
      <c r="A246" s="1917" t="s">
        <v>9976</v>
      </c>
      <c r="B246" s="1917" t="s">
        <v>10976</v>
      </c>
    </row>
    <row r="247" spans="1:2" x14ac:dyDescent="0.25">
      <c r="A247" s="1917" t="s">
        <v>12467</v>
      </c>
      <c r="B247" s="1917" t="s">
        <v>12466</v>
      </c>
    </row>
    <row r="248" spans="1:2" x14ac:dyDescent="0.25">
      <c r="A248" s="1917" t="s">
        <v>12465</v>
      </c>
      <c r="B248" s="1917" t="s">
        <v>12464</v>
      </c>
    </row>
    <row r="249" spans="1:2" x14ac:dyDescent="0.25">
      <c r="A249" s="1917" t="s">
        <v>9977</v>
      </c>
      <c r="B249" s="1917" t="s">
        <v>10977</v>
      </c>
    </row>
    <row r="250" spans="1:2" ht="30" x14ac:dyDescent="0.25">
      <c r="A250" s="1917" t="s">
        <v>9978</v>
      </c>
      <c r="B250" s="1917" t="s">
        <v>10978</v>
      </c>
    </row>
    <row r="251" spans="1:2" ht="30" x14ac:dyDescent="0.25">
      <c r="A251" s="1917" t="s">
        <v>9979</v>
      </c>
      <c r="B251" s="1917" t="s">
        <v>10979</v>
      </c>
    </row>
    <row r="252" spans="1:2" ht="30" x14ac:dyDescent="0.25">
      <c r="A252" s="1917" t="s">
        <v>9980</v>
      </c>
      <c r="B252" s="1917" t="s">
        <v>10980</v>
      </c>
    </row>
    <row r="253" spans="1:2" ht="30" x14ac:dyDescent="0.25">
      <c r="A253" s="1917" t="s">
        <v>9981</v>
      </c>
      <c r="B253" s="1917" t="s">
        <v>10981</v>
      </c>
    </row>
    <row r="254" spans="1:2" ht="30" x14ac:dyDescent="0.25">
      <c r="A254" s="1917" t="s">
        <v>9982</v>
      </c>
      <c r="B254" s="1917" t="s">
        <v>10982</v>
      </c>
    </row>
    <row r="255" spans="1:2" ht="30" x14ac:dyDescent="0.25">
      <c r="A255" s="1917" t="s">
        <v>9983</v>
      </c>
      <c r="B255" s="1917" t="s">
        <v>10983</v>
      </c>
    </row>
    <row r="256" spans="1:2" ht="30" x14ac:dyDescent="0.25">
      <c r="A256" s="1917" t="s">
        <v>12463</v>
      </c>
      <c r="B256" s="1917" t="s">
        <v>12462</v>
      </c>
    </row>
    <row r="257" spans="1:2" x14ac:dyDescent="0.25">
      <c r="A257" s="1917" t="s">
        <v>12461</v>
      </c>
      <c r="B257" s="1917" t="s">
        <v>12460</v>
      </c>
    </row>
    <row r="258" spans="1:2" ht="30" x14ac:dyDescent="0.25">
      <c r="A258" s="1917" t="s">
        <v>12459</v>
      </c>
      <c r="B258" s="1917" t="s">
        <v>12458</v>
      </c>
    </row>
    <row r="259" spans="1:2" x14ac:dyDescent="0.25">
      <c r="A259" s="1917" t="s">
        <v>9984</v>
      </c>
      <c r="B259" s="1917" t="s">
        <v>12457</v>
      </c>
    </row>
    <row r="260" spans="1:2" x14ac:dyDescent="0.25">
      <c r="A260" s="1917" t="s">
        <v>9985</v>
      </c>
      <c r="B260" s="1917" t="s">
        <v>12456</v>
      </c>
    </row>
    <row r="261" spans="1:2" x14ac:dyDescent="0.25">
      <c r="A261" s="1917" t="s">
        <v>9986</v>
      </c>
      <c r="B261" s="1917" t="s">
        <v>12455</v>
      </c>
    </row>
    <row r="262" spans="1:2" ht="30" x14ac:dyDescent="0.25">
      <c r="A262" s="1917" t="s">
        <v>9987</v>
      </c>
      <c r="B262" s="1917" t="s">
        <v>12454</v>
      </c>
    </row>
    <row r="263" spans="1:2" x14ac:dyDescent="0.25">
      <c r="A263" s="1917" t="s">
        <v>9988</v>
      </c>
      <c r="B263" s="1917" t="s">
        <v>12453</v>
      </c>
    </row>
    <row r="264" spans="1:2" ht="30" x14ac:dyDescent="0.25">
      <c r="A264" s="1917" t="s">
        <v>9989</v>
      </c>
      <c r="B264" s="1917" t="s">
        <v>12452</v>
      </c>
    </row>
    <row r="265" spans="1:2" ht="30" x14ac:dyDescent="0.25">
      <c r="A265" s="1917" t="s">
        <v>9990</v>
      </c>
      <c r="B265" s="1917" t="s">
        <v>12451</v>
      </c>
    </row>
    <row r="266" spans="1:2" ht="30" x14ac:dyDescent="0.25">
      <c r="A266" s="1917" t="s">
        <v>9991</v>
      </c>
      <c r="B266" s="1917" t="s">
        <v>12450</v>
      </c>
    </row>
    <row r="267" spans="1:2" ht="30" x14ac:dyDescent="0.25">
      <c r="A267" s="1917" t="s">
        <v>9992</v>
      </c>
      <c r="B267" s="1917" t="s">
        <v>12449</v>
      </c>
    </row>
    <row r="268" spans="1:2" ht="30" x14ac:dyDescent="0.25">
      <c r="A268" s="1917" t="s">
        <v>9993</v>
      </c>
      <c r="B268" s="1917" t="s">
        <v>10993</v>
      </c>
    </row>
    <row r="269" spans="1:2" x14ac:dyDescent="0.25">
      <c r="A269" s="1917" t="s">
        <v>9994</v>
      </c>
      <c r="B269" s="1917" t="s">
        <v>12448</v>
      </c>
    </row>
    <row r="270" spans="1:2" ht="30" x14ac:dyDescent="0.25">
      <c r="A270" s="1917" t="s">
        <v>9995</v>
      </c>
      <c r="B270" s="1917" t="s">
        <v>12447</v>
      </c>
    </row>
    <row r="271" spans="1:2" ht="30" x14ac:dyDescent="0.25">
      <c r="A271" s="1917" t="s">
        <v>9996</v>
      </c>
      <c r="B271" s="1917" t="s">
        <v>12446</v>
      </c>
    </row>
    <row r="272" spans="1:2" x14ac:dyDescent="0.25">
      <c r="A272" s="1917" t="s">
        <v>9997</v>
      </c>
      <c r="B272" s="1917" t="s">
        <v>10997</v>
      </c>
    </row>
    <row r="273" spans="1:2" x14ac:dyDescent="0.25">
      <c r="A273" s="1917" t="s">
        <v>9998</v>
      </c>
      <c r="B273" s="1917" t="s">
        <v>10998</v>
      </c>
    </row>
    <row r="274" spans="1:2" x14ac:dyDescent="0.25">
      <c r="A274" s="1917" t="s">
        <v>9999</v>
      </c>
      <c r="B274" s="1917" t="s">
        <v>10999</v>
      </c>
    </row>
    <row r="275" spans="1:2" ht="30" x14ac:dyDescent="0.25">
      <c r="A275" s="1917" t="s">
        <v>10000</v>
      </c>
      <c r="B275" s="1917" t="s">
        <v>11000</v>
      </c>
    </row>
    <row r="276" spans="1:2" x14ac:dyDescent="0.25">
      <c r="A276" s="1917" t="s">
        <v>10001</v>
      </c>
      <c r="B276" s="1917" t="s">
        <v>11001</v>
      </c>
    </row>
    <row r="277" spans="1:2" x14ac:dyDescent="0.25">
      <c r="A277" s="1917" t="s">
        <v>10002</v>
      </c>
      <c r="B277" s="1917" t="s">
        <v>11002</v>
      </c>
    </row>
    <row r="278" spans="1:2" ht="30" x14ac:dyDescent="0.25">
      <c r="A278" s="1917" t="s">
        <v>10003</v>
      </c>
      <c r="B278" s="1917" t="s">
        <v>11003</v>
      </c>
    </row>
    <row r="279" spans="1:2" ht="30" x14ac:dyDescent="0.25">
      <c r="A279" s="1917" t="s">
        <v>10004</v>
      </c>
      <c r="B279" s="1917" t="s">
        <v>11004</v>
      </c>
    </row>
    <row r="280" spans="1:2" ht="30" x14ac:dyDescent="0.25">
      <c r="A280" s="1917" t="s">
        <v>10005</v>
      </c>
      <c r="B280" s="1917" t="s">
        <v>11005</v>
      </c>
    </row>
    <row r="281" spans="1:2" ht="30" x14ac:dyDescent="0.25">
      <c r="A281" s="1917" t="s">
        <v>10006</v>
      </c>
      <c r="B281" s="1917" t="s">
        <v>11006</v>
      </c>
    </row>
    <row r="282" spans="1:2" ht="30" x14ac:dyDescent="0.25">
      <c r="A282" s="1917" t="s">
        <v>10007</v>
      </c>
      <c r="B282" s="1917" t="s">
        <v>11007</v>
      </c>
    </row>
    <row r="283" spans="1:2" ht="30" x14ac:dyDescent="0.25">
      <c r="A283" s="1917" t="s">
        <v>10008</v>
      </c>
      <c r="B283" s="1917" t="s">
        <v>11008</v>
      </c>
    </row>
    <row r="284" spans="1:2" ht="30" x14ac:dyDescent="0.25">
      <c r="A284" s="1917" t="s">
        <v>10009</v>
      </c>
      <c r="B284" s="1917" t="s">
        <v>11009</v>
      </c>
    </row>
    <row r="285" spans="1:2" x14ac:dyDescent="0.25">
      <c r="A285" s="1917" t="s">
        <v>10010</v>
      </c>
      <c r="B285" s="1917" t="s">
        <v>11010</v>
      </c>
    </row>
    <row r="286" spans="1:2" ht="30" x14ac:dyDescent="0.25">
      <c r="A286" s="1917" t="s">
        <v>10011</v>
      </c>
      <c r="B286" s="1917" t="s">
        <v>11011</v>
      </c>
    </row>
    <row r="287" spans="1:2" x14ac:dyDescent="0.25">
      <c r="A287" s="1917" t="s">
        <v>10012</v>
      </c>
      <c r="B287" s="1917" t="s">
        <v>11012</v>
      </c>
    </row>
    <row r="288" spans="1:2" ht="30" x14ac:dyDescent="0.25">
      <c r="A288" s="1917" t="s">
        <v>10013</v>
      </c>
      <c r="B288" s="1917" t="s">
        <v>11013</v>
      </c>
    </row>
    <row r="289" spans="1:2" ht="30" x14ac:dyDescent="0.25">
      <c r="A289" s="1917" t="s">
        <v>10014</v>
      </c>
      <c r="B289" s="1917" t="s">
        <v>11014</v>
      </c>
    </row>
    <row r="290" spans="1:2" ht="30" x14ac:dyDescent="0.25">
      <c r="A290" s="1917" t="s">
        <v>10015</v>
      </c>
      <c r="B290" s="1917" t="s">
        <v>11015</v>
      </c>
    </row>
    <row r="291" spans="1:2" ht="30" x14ac:dyDescent="0.25">
      <c r="A291" s="1917" t="s">
        <v>10016</v>
      </c>
      <c r="B291" s="1917" t="s">
        <v>11016</v>
      </c>
    </row>
    <row r="292" spans="1:2" ht="30" x14ac:dyDescent="0.25">
      <c r="A292" s="1917" t="s">
        <v>10017</v>
      </c>
      <c r="B292" s="1917" t="s">
        <v>11017</v>
      </c>
    </row>
    <row r="293" spans="1:2" ht="30" x14ac:dyDescent="0.25">
      <c r="A293" s="1917" t="s">
        <v>10018</v>
      </c>
      <c r="B293" s="1917" t="s">
        <v>11018</v>
      </c>
    </row>
    <row r="294" spans="1:2" ht="30" x14ac:dyDescent="0.25">
      <c r="A294" s="1917" t="s">
        <v>10019</v>
      </c>
      <c r="B294" s="1917" t="s">
        <v>11019</v>
      </c>
    </row>
    <row r="295" spans="1:2" ht="30" x14ac:dyDescent="0.25">
      <c r="A295" s="1917" t="s">
        <v>10020</v>
      </c>
      <c r="B295" s="1917" t="s">
        <v>11020</v>
      </c>
    </row>
    <row r="296" spans="1:2" ht="30" x14ac:dyDescent="0.25">
      <c r="A296" s="1917" t="s">
        <v>10021</v>
      </c>
      <c r="B296" s="1917" t="s">
        <v>11021</v>
      </c>
    </row>
    <row r="297" spans="1:2" ht="30" x14ac:dyDescent="0.25">
      <c r="A297" s="1917" t="s">
        <v>10022</v>
      </c>
      <c r="B297" s="1917" t="s">
        <v>11022</v>
      </c>
    </row>
    <row r="298" spans="1:2" ht="30" x14ac:dyDescent="0.25">
      <c r="A298" s="1917" t="s">
        <v>12445</v>
      </c>
      <c r="B298" s="1917" t="s">
        <v>12444</v>
      </c>
    </row>
    <row r="299" spans="1:2" ht="30" x14ac:dyDescent="0.25">
      <c r="A299" s="1917" t="s">
        <v>12443</v>
      </c>
      <c r="B299" s="1917" t="s">
        <v>12442</v>
      </c>
    </row>
    <row r="300" spans="1:2" x14ac:dyDescent="0.25">
      <c r="A300" s="1917" t="s">
        <v>10023</v>
      </c>
      <c r="B300" s="1917" t="s">
        <v>11023</v>
      </c>
    </row>
    <row r="301" spans="1:2" x14ac:dyDescent="0.25">
      <c r="A301" s="1917" t="s">
        <v>10024</v>
      </c>
      <c r="B301" s="1917" t="s">
        <v>11024</v>
      </c>
    </row>
    <row r="302" spans="1:2" x14ac:dyDescent="0.25">
      <c r="A302" s="1917" t="s">
        <v>12441</v>
      </c>
      <c r="B302" s="1917" t="s">
        <v>12440</v>
      </c>
    </row>
    <row r="303" spans="1:2" ht="30" x14ac:dyDescent="0.25">
      <c r="A303" s="1917" t="s">
        <v>12439</v>
      </c>
      <c r="B303" s="1917" t="s">
        <v>12438</v>
      </c>
    </row>
    <row r="304" spans="1:2" x14ac:dyDescent="0.25">
      <c r="A304" s="1917" t="s">
        <v>12437</v>
      </c>
      <c r="B304" s="1917" t="s">
        <v>12436</v>
      </c>
    </row>
    <row r="305" spans="1:2" x14ac:dyDescent="0.25">
      <c r="A305" s="1917" t="s">
        <v>12435</v>
      </c>
      <c r="B305" s="1917" t="s">
        <v>12434</v>
      </c>
    </row>
    <row r="306" spans="1:2" x14ac:dyDescent="0.25">
      <c r="A306" s="1917" t="s">
        <v>10025</v>
      </c>
      <c r="B306" s="1917" t="s">
        <v>11025</v>
      </c>
    </row>
    <row r="307" spans="1:2" x14ac:dyDescent="0.25">
      <c r="A307" s="1917" t="s">
        <v>10026</v>
      </c>
      <c r="B307" s="1917" t="s">
        <v>12433</v>
      </c>
    </row>
    <row r="308" spans="1:2" x14ac:dyDescent="0.25">
      <c r="A308" s="1917" t="s">
        <v>10027</v>
      </c>
      <c r="B308" s="1917" t="s">
        <v>11027</v>
      </c>
    </row>
    <row r="309" spans="1:2" x14ac:dyDescent="0.25">
      <c r="A309" s="1917" t="s">
        <v>10028</v>
      </c>
      <c r="B309" s="1917" t="s">
        <v>11028</v>
      </c>
    </row>
    <row r="310" spans="1:2" x14ac:dyDescent="0.25">
      <c r="A310" s="1917" t="s">
        <v>10029</v>
      </c>
      <c r="B310" s="1917" t="s">
        <v>11029</v>
      </c>
    </row>
    <row r="311" spans="1:2" ht="30" x14ac:dyDescent="0.25">
      <c r="A311" s="1917" t="s">
        <v>12432</v>
      </c>
      <c r="B311" s="1917" t="s">
        <v>12431</v>
      </c>
    </row>
    <row r="312" spans="1:2" x14ac:dyDescent="0.25">
      <c r="A312" s="1917" t="s">
        <v>12430</v>
      </c>
      <c r="B312" s="1917" t="s">
        <v>12147</v>
      </c>
    </row>
    <row r="313" spans="1:2" ht="30" x14ac:dyDescent="0.25">
      <c r="A313" s="1917" t="s">
        <v>10030</v>
      </c>
      <c r="B313" s="1917" t="s">
        <v>11030</v>
      </c>
    </row>
    <row r="314" spans="1:2" ht="30" x14ac:dyDescent="0.25">
      <c r="A314" s="1917" t="s">
        <v>10031</v>
      </c>
      <c r="B314" s="1917" t="s">
        <v>11031</v>
      </c>
    </row>
    <row r="315" spans="1:2" ht="30" x14ac:dyDescent="0.25">
      <c r="A315" s="1917" t="s">
        <v>10032</v>
      </c>
      <c r="B315" s="1917" t="s">
        <v>11032</v>
      </c>
    </row>
    <row r="316" spans="1:2" ht="30" x14ac:dyDescent="0.25">
      <c r="A316" s="1917" t="s">
        <v>10033</v>
      </c>
      <c r="B316" s="1917" t="s">
        <v>11033</v>
      </c>
    </row>
    <row r="317" spans="1:2" ht="30" x14ac:dyDescent="0.25">
      <c r="A317" s="1917" t="s">
        <v>10034</v>
      </c>
      <c r="B317" s="1917" t="s">
        <v>11034</v>
      </c>
    </row>
    <row r="318" spans="1:2" ht="30" x14ac:dyDescent="0.25">
      <c r="A318" s="1917" t="s">
        <v>10035</v>
      </c>
      <c r="B318" s="1917" t="s">
        <v>11035</v>
      </c>
    </row>
    <row r="319" spans="1:2" ht="30" x14ac:dyDescent="0.25">
      <c r="A319" s="1917" t="s">
        <v>10036</v>
      </c>
      <c r="B319" s="1917" t="s">
        <v>11036</v>
      </c>
    </row>
    <row r="320" spans="1:2" ht="30" x14ac:dyDescent="0.25">
      <c r="A320" s="1917" t="s">
        <v>10037</v>
      </c>
      <c r="B320" s="1917" t="s">
        <v>11037</v>
      </c>
    </row>
    <row r="321" spans="1:2" ht="30" x14ac:dyDescent="0.25">
      <c r="A321" s="1917" t="s">
        <v>10038</v>
      </c>
      <c r="B321" s="1917" t="s">
        <v>11038</v>
      </c>
    </row>
    <row r="322" spans="1:2" ht="30" x14ac:dyDescent="0.25">
      <c r="A322" s="1917" t="s">
        <v>10039</v>
      </c>
      <c r="B322" s="1917" t="s">
        <v>11039</v>
      </c>
    </row>
    <row r="323" spans="1:2" ht="30" x14ac:dyDescent="0.25">
      <c r="A323" s="1917" t="s">
        <v>10040</v>
      </c>
      <c r="B323" s="1917" t="s">
        <v>11040</v>
      </c>
    </row>
    <row r="324" spans="1:2" ht="30" x14ac:dyDescent="0.25">
      <c r="A324" s="1917" t="s">
        <v>10041</v>
      </c>
      <c r="B324" s="1917" t="s">
        <v>11041</v>
      </c>
    </row>
    <row r="325" spans="1:2" ht="30" x14ac:dyDescent="0.25">
      <c r="A325" s="1917" t="s">
        <v>10042</v>
      </c>
      <c r="B325" s="1917" t="s">
        <v>11042</v>
      </c>
    </row>
    <row r="326" spans="1:2" x14ac:dyDescent="0.25">
      <c r="A326" s="1917" t="s">
        <v>10043</v>
      </c>
      <c r="B326" s="1917" t="s">
        <v>11043</v>
      </c>
    </row>
    <row r="327" spans="1:2" x14ac:dyDescent="0.25">
      <c r="A327" s="1917" t="s">
        <v>10044</v>
      </c>
      <c r="B327" s="1917" t="s">
        <v>11044</v>
      </c>
    </row>
    <row r="328" spans="1:2" x14ac:dyDescent="0.25">
      <c r="A328" s="1917" t="s">
        <v>10045</v>
      </c>
      <c r="B328" s="1917" t="s">
        <v>11045</v>
      </c>
    </row>
    <row r="329" spans="1:2" x14ac:dyDescent="0.25">
      <c r="A329" s="1917" t="s">
        <v>10046</v>
      </c>
      <c r="B329" s="1917" t="s">
        <v>11046</v>
      </c>
    </row>
    <row r="330" spans="1:2" ht="30" x14ac:dyDescent="0.25">
      <c r="A330" s="1917" t="s">
        <v>10047</v>
      </c>
      <c r="B330" s="1917" t="s">
        <v>11047</v>
      </c>
    </row>
    <row r="331" spans="1:2" ht="30" x14ac:dyDescent="0.25">
      <c r="A331" s="1917" t="s">
        <v>10048</v>
      </c>
      <c r="B331" s="1917" t="s">
        <v>11048</v>
      </c>
    </row>
    <row r="332" spans="1:2" ht="30" x14ac:dyDescent="0.25">
      <c r="A332" s="1917" t="s">
        <v>10049</v>
      </c>
      <c r="B332" s="1917" t="s">
        <v>11049</v>
      </c>
    </row>
    <row r="333" spans="1:2" ht="30" x14ac:dyDescent="0.25">
      <c r="A333" s="1917" t="s">
        <v>10050</v>
      </c>
      <c r="B333" s="1917" t="s">
        <v>11050</v>
      </c>
    </row>
    <row r="334" spans="1:2" ht="30" x14ac:dyDescent="0.25">
      <c r="A334" s="1917" t="s">
        <v>10051</v>
      </c>
      <c r="B334" s="1917" t="s">
        <v>11051</v>
      </c>
    </row>
    <row r="335" spans="1:2" ht="30" x14ac:dyDescent="0.25">
      <c r="A335" s="1917" t="s">
        <v>10052</v>
      </c>
      <c r="B335" s="1917" t="s">
        <v>11052</v>
      </c>
    </row>
    <row r="336" spans="1:2" ht="30" x14ac:dyDescent="0.25">
      <c r="A336" s="1917" t="s">
        <v>10053</v>
      </c>
      <c r="B336" s="1917" t="s">
        <v>11053</v>
      </c>
    </row>
    <row r="337" spans="1:2" ht="30" x14ac:dyDescent="0.25">
      <c r="A337" s="1917" t="s">
        <v>10054</v>
      </c>
      <c r="B337" s="1917" t="s">
        <v>11054</v>
      </c>
    </row>
    <row r="338" spans="1:2" ht="30" x14ac:dyDescent="0.25">
      <c r="A338" s="1917" t="s">
        <v>12429</v>
      </c>
      <c r="B338" s="1917" t="s">
        <v>12428</v>
      </c>
    </row>
    <row r="339" spans="1:2" x14ac:dyDescent="0.25">
      <c r="A339" s="1917" t="s">
        <v>12427</v>
      </c>
      <c r="B339" s="1917" t="s">
        <v>12426</v>
      </c>
    </row>
    <row r="340" spans="1:2" x14ac:dyDescent="0.25">
      <c r="A340" s="1917" t="s">
        <v>10055</v>
      </c>
      <c r="B340" s="1917" t="s">
        <v>11055</v>
      </c>
    </row>
    <row r="341" spans="1:2" x14ac:dyDescent="0.25">
      <c r="A341" s="1917" t="s">
        <v>10056</v>
      </c>
      <c r="B341" s="1917" t="s">
        <v>11056</v>
      </c>
    </row>
    <row r="342" spans="1:2" ht="30" x14ac:dyDescent="0.25">
      <c r="A342" s="1917" t="s">
        <v>12425</v>
      </c>
      <c r="B342" s="1917" t="s">
        <v>12424</v>
      </c>
    </row>
    <row r="343" spans="1:2" ht="30" x14ac:dyDescent="0.25">
      <c r="A343" s="1917" t="s">
        <v>10057</v>
      </c>
      <c r="B343" s="1917" t="s">
        <v>11057</v>
      </c>
    </row>
    <row r="344" spans="1:2" ht="30" x14ac:dyDescent="0.25">
      <c r="A344" s="1917" t="s">
        <v>10058</v>
      </c>
      <c r="B344" s="1917" t="s">
        <v>12423</v>
      </c>
    </row>
    <row r="345" spans="1:2" ht="30" x14ac:dyDescent="0.25">
      <c r="A345" s="1917" t="s">
        <v>10059</v>
      </c>
      <c r="B345" s="1917" t="s">
        <v>12422</v>
      </c>
    </row>
    <row r="346" spans="1:2" ht="30" x14ac:dyDescent="0.25">
      <c r="A346" s="1917" t="s">
        <v>10060</v>
      </c>
      <c r="B346" s="1917" t="s">
        <v>12421</v>
      </c>
    </row>
    <row r="347" spans="1:2" ht="30" x14ac:dyDescent="0.25">
      <c r="A347" s="1917" t="s">
        <v>10061</v>
      </c>
      <c r="B347" s="1917" t="s">
        <v>12420</v>
      </c>
    </row>
    <row r="348" spans="1:2" ht="30" x14ac:dyDescent="0.25">
      <c r="A348" s="1917" t="s">
        <v>10062</v>
      </c>
      <c r="B348" s="1917" t="s">
        <v>11062</v>
      </c>
    </row>
    <row r="349" spans="1:2" ht="30" x14ac:dyDescent="0.25">
      <c r="A349" s="1917" t="s">
        <v>12419</v>
      </c>
      <c r="B349" s="1917" t="s">
        <v>12418</v>
      </c>
    </row>
    <row r="350" spans="1:2" x14ac:dyDescent="0.25">
      <c r="A350" s="1917" t="s">
        <v>12417</v>
      </c>
      <c r="B350" s="1917" t="s">
        <v>12416</v>
      </c>
    </row>
    <row r="351" spans="1:2" ht="30" x14ac:dyDescent="0.25">
      <c r="A351" s="1917" t="s">
        <v>10063</v>
      </c>
      <c r="B351" s="1917" t="s">
        <v>11063</v>
      </c>
    </row>
    <row r="352" spans="1:2" ht="30" x14ac:dyDescent="0.25">
      <c r="A352" s="1917" t="s">
        <v>10064</v>
      </c>
      <c r="B352" s="1917" t="s">
        <v>11064</v>
      </c>
    </row>
    <row r="353" spans="1:2" ht="30" x14ac:dyDescent="0.25">
      <c r="A353" s="1917" t="s">
        <v>10065</v>
      </c>
      <c r="B353" s="1917" t="s">
        <v>11065</v>
      </c>
    </row>
    <row r="354" spans="1:2" ht="30" x14ac:dyDescent="0.25">
      <c r="A354" s="1917" t="s">
        <v>10066</v>
      </c>
      <c r="B354" s="1917" t="s">
        <v>11066</v>
      </c>
    </row>
    <row r="355" spans="1:2" ht="30" x14ac:dyDescent="0.25">
      <c r="A355" s="1917" t="s">
        <v>10067</v>
      </c>
      <c r="B355" s="1917" t="s">
        <v>11067</v>
      </c>
    </row>
    <row r="356" spans="1:2" ht="30" x14ac:dyDescent="0.25">
      <c r="A356" s="1917" t="s">
        <v>10068</v>
      </c>
      <c r="B356" s="1917" t="s">
        <v>11068</v>
      </c>
    </row>
    <row r="357" spans="1:2" ht="30" x14ac:dyDescent="0.25">
      <c r="A357" s="1917" t="s">
        <v>10069</v>
      </c>
      <c r="B357" s="1917" t="s">
        <v>11069</v>
      </c>
    </row>
    <row r="358" spans="1:2" ht="30" x14ac:dyDescent="0.25">
      <c r="A358" s="1917" t="s">
        <v>10070</v>
      </c>
      <c r="B358" s="1917" t="s">
        <v>11070</v>
      </c>
    </row>
    <row r="359" spans="1:2" ht="30" x14ac:dyDescent="0.25">
      <c r="A359" s="1917" t="s">
        <v>12415</v>
      </c>
      <c r="B359" s="1917" t="s">
        <v>12414</v>
      </c>
    </row>
    <row r="360" spans="1:2" x14ac:dyDescent="0.25">
      <c r="A360" s="1917" t="s">
        <v>10071</v>
      </c>
      <c r="B360" s="1917" t="s">
        <v>11071</v>
      </c>
    </row>
    <row r="361" spans="1:2" x14ac:dyDescent="0.25">
      <c r="A361" s="1917" t="s">
        <v>10072</v>
      </c>
      <c r="B361" s="1917" t="s">
        <v>11072</v>
      </c>
    </row>
    <row r="362" spans="1:2" x14ac:dyDescent="0.25">
      <c r="A362" s="1917" t="s">
        <v>10073</v>
      </c>
      <c r="B362" s="1917" t="s">
        <v>11073</v>
      </c>
    </row>
    <row r="363" spans="1:2" x14ac:dyDescent="0.25">
      <c r="A363" s="1917" t="s">
        <v>10074</v>
      </c>
      <c r="B363" s="1917" t="s">
        <v>11074</v>
      </c>
    </row>
    <row r="364" spans="1:2" x14ac:dyDescent="0.25">
      <c r="A364" s="1917" t="s">
        <v>10075</v>
      </c>
      <c r="B364" s="1917" t="s">
        <v>11075</v>
      </c>
    </row>
    <row r="365" spans="1:2" x14ac:dyDescent="0.25">
      <c r="A365" s="1917" t="s">
        <v>10076</v>
      </c>
      <c r="B365" s="1917" t="s">
        <v>11076</v>
      </c>
    </row>
    <row r="366" spans="1:2" ht="30" x14ac:dyDescent="0.25">
      <c r="A366" s="1917" t="s">
        <v>12413</v>
      </c>
      <c r="B366" s="1917" t="s">
        <v>12412</v>
      </c>
    </row>
    <row r="367" spans="1:2" x14ac:dyDescent="0.25">
      <c r="A367" s="1917" t="s">
        <v>12411</v>
      </c>
      <c r="B367" s="1917" t="s">
        <v>12410</v>
      </c>
    </row>
    <row r="368" spans="1:2" ht="30" x14ac:dyDescent="0.25">
      <c r="A368" s="1917" t="s">
        <v>12409</v>
      </c>
      <c r="B368" s="1917" t="s">
        <v>12408</v>
      </c>
    </row>
    <row r="369" spans="1:2" x14ac:dyDescent="0.25">
      <c r="A369" s="1917" t="s">
        <v>10077</v>
      </c>
      <c r="B369" s="1917" t="s">
        <v>11077</v>
      </c>
    </row>
    <row r="370" spans="1:2" ht="30" x14ac:dyDescent="0.25">
      <c r="A370" s="1917" t="s">
        <v>12407</v>
      </c>
      <c r="B370" s="1917" t="s">
        <v>12406</v>
      </c>
    </row>
    <row r="371" spans="1:2" x14ac:dyDescent="0.25">
      <c r="A371" s="1917" t="s">
        <v>12405</v>
      </c>
      <c r="B371" s="1917" t="s">
        <v>12404</v>
      </c>
    </row>
    <row r="372" spans="1:2" x14ac:dyDescent="0.25">
      <c r="A372" s="1917" t="s">
        <v>10078</v>
      </c>
      <c r="B372" s="1917" t="s">
        <v>11078</v>
      </c>
    </row>
    <row r="373" spans="1:2" x14ac:dyDescent="0.25">
      <c r="A373" s="1917" t="s">
        <v>10079</v>
      </c>
      <c r="B373" s="1917" t="s">
        <v>11079</v>
      </c>
    </row>
    <row r="374" spans="1:2" ht="30" x14ac:dyDescent="0.25">
      <c r="A374" s="1917" t="s">
        <v>10080</v>
      </c>
      <c r="B374" s="1917" t="s">
        <v>11080</v>
      </c>
    </row>
    <row r="375" spans="1:2" x14ac:dyDescent="0.25">
      <c r="A375" s="1917" t="s">
        <v>10081</v>
      </c>
      <c r="B375" s="1917" t="s">
        <v>11081</v>
      </c>
    </row>
    <row r="376" spans="1:2" x14ac:dyDescent="0.25">
      <c r="A376" s="1917" t="s">
        <v>10082</v>
      </c>
      <c r="B376" s="1917" t="s">
        <v>11082</v>
      </c>
    </row>
    <row r="377" spans="1:2" x14ac:dyDescent="0.25">
      <c r="A377" s="1917" t="s">
        <v>10083</v>
      </c>
      <c r="B377" s="1917" t="s">
        <v>11083</v>
      </c>
    </row>
    <row r="378" spans="1:2" x14ac:dyDescent="0.25">
      <c r="A378" s="1917" t="s">
        <v>10084</v>
      </c>
      <c r="B378" s="1917" t="s">
        <v>11084</v>
      </c>
    </row>
    <row r="379" spans="1:2" x14ac:dyDescent="0.25">
      <c r="A379" s="1917" t="s">
        <v>10085</v>
      </c>
      <c r="B379" s="1917" t="s">
        <v>12403</v>
      </c>
    </row>
    <row r="380" spans="1:2" x14ac:dyDescent="0.25">
      <c r="A380" s="1917" t="s">
        <v>10086</v>
      </c>
      <c r="B380" s="1917" t="s">
        <v>12402</v>
      </c>
    </row>
    <row r="381" spans="1:2" x14ac:dyDescent="0.25">
      <c r="A381" s="1917" t="s">
        <v>10087</v>
      </c>
      <c r="B381" s="1917" t="s">
        <v>12401</v>
      </c>
    </row>
    <row r="382" spans="1:2" ht="30" x14ac:dyDescent="0.25">
      <c r="A382" s="1917" t="s">
        <v>10088</v>
      </c>
      <c r="B382" s="1917" t="s">
        <v>11088</v>
      </c>
    </row>
    <row r="383" spans="1:2" ht="30" x14ac:dyDescent="0.25">
      <c r="A383" s="1917" t="s">
        <v>10089</v>
      </c>
      <c r="B383" s="1917" t="s">
        <v>11089</v>
      </c>
    </row>
    <row r="384" spans="1:2" ht="30" x14ac:dyDescent="0.25">
      <c r="A384" s="1917" t="s">
        <v>10090</v>
      </c>
      <c r="B384" s="1917" t="s">
        <v>11090</v>
      </c>
    </row>
    <row r="385" spans="1:2" ht="30" x14ac:dyDescent="0.25">
      <c r="A385" s="1917" t="s">
        <v>10091</v>
      </c>
      <c r="B385" s="1917" t="s">
        <v>11091</v>
      </c>
    </row>
    <row r="386" spans="1:2" ht="30" x14ac:dyDescent="0.25">
      <c r="A386" s="1917" t="s">
        <v>10092</v>
      </c>
      <c r="B386" s="1917" t="s">
        <v>11092</v>
      </c>
    </row>
    <row r="387" spans="1:2" ht="30" x14ac:dyDescent="0.25">
      <c r="A387" s="1917" t="s">
        <v>10093</v>
      </c>
      <c r="B387" s="1917" t="s">
        <v>11093</v>
      </c>
    </row>
    <row r="388" spans="1:2" ht="30" x14ac:dyDescent="0.25">
      <c r="A388" s="1917" t="s">
        <v>10094</v>
      </c>
      <c r="B388" s="1917" t="s">
        <v>11094</v>
      </c>
    </row>
    <row r="389" spans="1:2" ht="30" x14ac:dyDescent="0.25">
      <c r="A389" s="1917" t="s">
        <v>10095</v>
      </c>
      <c r="B389" s="1917" t="s">
        <v>11095</v>
      </c>
    </row>
    <row r="390" spans="1:2" ht="30" x14ac:dyDescent="0.25">
      <c r="A390" s="1917" t="s">
        <v>10096</v>
      </c>
      <c r="B390" s="1917" t="s">
        <v>11096</v>
      </c>
    </row>
    <row r="391" spans="1:2" ht="30" x14ac:dyDescent="0.25">
      <c r="A391" s="1917" t="s">
        <v>12400</v>
      </c>
      <c r="B391" s="1917" t="s">
        <v>12399</v>
      </c>
    </row>
    <row r="392" spans="1:2" x14ac:dyDescent="0.25">
      <c r="A392" s="1917" t="s">
        <v>10097</v>
      </c>
      <c r="B392" s="1917" t="s">
        <v>11097</v>
      </c>
    </row>
    <row r="393" spans="1:2" x14ac:dyDescent="0.25">
      <c r="A393" s="1917" t="s">
        <v>10098</v>
      </c>
      <c r="B393" s="1917" t="s">
        <v>11098</v>
      </c>
    </row>
    <row r="394" spans="1:2" x14ac:dyDescent="0.25">
      <c r="A394" s="1917" t="s">
        <v>12398</v>
      </c>
      <c r="B394" s="1917" t="s">
        <v>12397</v>
      </c>
    </row>
    <row r="395" spans="1:2" x14ac:dyDescent="0.25">
      <c r="A395" s="1917" t="s">
        <v>12396</v>
      </c>
      <c r="B395" s="1917" t="s">
        <v>12395</v>
      </c>
    </row>
    <row r="396" spans="1:2" x14ac:dyDescent="0.25">
      <c r="A396" s="1917" t="s">
        <v>12394</v>
      </c>
      <c r="B396" s="1917" t="s">
        <v>12393</v>
      </c>
    </row>
    <row r="397" spans="1:2" ht="30" x14ac:dyDescent="0.25">
      <c r="A397" s="1917" t="s">
        <v>12392</v>
      </c>
      <c r="B397" s="1917" t="s">
        <v>12391</v>
      </c>
    </row>
    <row r="398" spans="1:2" ht="30" x14ac:dyDescent="0.25">
      <c r="A398" s="1917" t="s">
        <v>12390</v>
      </c>
      <c r="B398" s="1917" t="s">
        <v>12389</v>
      </c>
    </row>
    <row r="399" spans="1:2" ht="30" x14ac:dyDescent="0.25">
      <c r="A399" s="1917" t="s">
        <v>12388</v>
      </c>
      <c r="B399" s="1917" t="s">
        <v>12387</v>
      </c>
    </row>
    <row r="400" spans="1:2" ht="30" x14ac:dyDescent="0.25">
      <c r="A400" s="1917" t="s">
        <v>10099</v>
      </c>
      <c r="B400" s="1917" t="s">
        <v>11099</v>
      </c>
    </row>
    <row r="401" spans="1:2" ht="30" x14ac:dyDescent="0.25">
      <c r="A401" s="1917" t="s">
        <v>10100</v>
      </c>
      <c r="B401" s="1917" t="s">
        <v>11100</v>
      </c>
    </row>
    <row r="402" spans="1:2" ht="30" x14ac:dyDescent="0.25">
      <c r="A402" s="1917" t="s">
        <v>10101</v>
      </c>
      <c r="B402" s="1917" t="s">
        <v>11101</v>
      </c>
    </row>
    <row r="403" spans="1:2" ht="30" x14ac:dyDescent="0.25">
      <c r="A403" s="1917" t="s">
        <v>10102</v>
      </c>
      <c r="B403" s="1917" t="s">
        <v>11102</v>
      </c>
    </row>
    <row r="404" spans="1:2" ht="30" x14ac:dyDescent="0.25">
      <c r="A404" s="1917" t="s">
        <v>10103</v>
      </c>
      <c r="B404" s="1917" t="s">
        <v>11103</v>
      </c>
    </row>
    <row r="405" spans="1:2" ht="30" x14ac:dyDescent="0.25">
      <c r="A405" s="1917" t="s">
        <v>10104</v>
      </c>
      <c r="B405" s="1917" t="s">
        <v>11104</v>
      </c>
    </row>
    <row r="406" spans="1:2" ht="30" x14ac:dyDescent="0.25">
      <c r="A406" s="1917" t="s">
        <v>10105</v>
      </c>
      <c r="B406" s="1917" t="s">
        <v>11105</v>
      </c>
    </row>
    <row r="407" spans="1:2" ht="30" x14ac:dyDescent="0.25">
      <c r="A407" s="1917" t="s">
        <v>10106</v>
      </c>
      <c r="B407" s="1917" t="s">
        <v>11106</v>
      </c>
    </row>
    <row r="408" spans="1:2" ht="30" x14ac:dyDescent="0.25">
      <c r="A408" s="1917" t="s">
        <v>10107</v>
      </c>
      <c r="B408" s="1917" t="s">
        <v>11107</v>
      </c>
    </row>
    <row r="409" spans="1:2" ht="30" x14ac:dyDescent="0.25">
      <c r="A409" s="1917" t="s">
        <v>10108</v>
      </c>
      <c r="B409" s="1917" t="s">
        <v>11108</v>
      </c>
    </row>
    <row r="410" spans="1:2" ht="30" x14ac:dyDescent="0.25">
      <c r="A410" s="1917" t="s">
        <v>10109</v>
      </c>
      <c r="B410" s="1917" t="s">
        <v>11109</v>
      </c>
    </row>
    <row r="411" spans="1:2" ht="30" x14ac:dyDescent="0.25">
      <c r="A411" s="1917" t="s">
        <v>10110</v>
      </c>
      <c r="B411" s="1917" t="s">
        <v>11110</v>
      </c>
    </row>
    <row r="412" spans="1:2" ht="30" x14ac:dyDescent="0.25">
      <c r="A412" s="1917" t="s">
        <v>10111</v>
      </c>
      <c r="B412" s="1917" t="s">
        <v>11111</v>
      </c>
    </row>
    <row r="413" spans="1:2" ht="30" x14ac:dyDescent="0.25">
      <c r="A413" s="1917" t="s">
        <v>10112</v>
      </c>
      <c r="B413" s="1917" t="s">
        <v>11112</v>
      </c>
    </row>
    <row r="414" spans="1:2" ht="30" x14ac:dyDescent="0.25">
      <c r="A414" s="1917" t="s">
        <v>10113</v>
      </c>
      <c r="B414" s="1917" t="s">
        <v>11113</v>
      </c>
    </row>
    <row r="415" spans="1:2" ht="30" x14ac:dyDescent="0.25">
      <c r="A415" s="1917" t="s">
        <v>10114</v>
      </c>
      <c r="B415" s="1917" t="s">
        <v>11114</v>
      </c>
    </row>
    <row r="416" spans="1:2" ht="30" x14ac:dyDescent="0.25">
      <c r="A416" s="1917" t="s">
        <v>10115</v>
      </c>
      <c r="B416" s="1917" t="s">
        <v>11115</v>
      </c>
    </row>
    <row r="417" spans="1:2" ht="30" x14ac:dyDescent="0.25">
      <c r="A417" s="1917" t="s">
        <v>10116</v>
      </c>
      <c r="B417" s="1917" t="s">
        <v>11116</v>
      </c>
    </row>
    <row r="418" spans="1:2" ht="30" x14ac:dyDescent="0.25">
      <c r="A418" s="1917" t="s">
        <v>10117</v>
      </c>
      <c r="B418" s="1917" t="s">
        <v>11117</v>
      </c>
    </row>
    <row r="419" spans="1:2" ht="30" x14ac:dyDescent="0.25">
      <c r="A419" s="1917" t="s">
        <v>10118</v>
      </c>
      <c r="B419" s="1917" t="s">
        <v>11118</v>
      </c>
    </row>
    <row r="420" spans="1:2" ht="30" x14ac:dyDescent="0.25">
      <c r="A420" s="1917" t="s">
        <v>10119</v>
      </c>
      <c r="B420" s="1917" t="s">
        <v>11119</v>
      </c>
    </row>
    <row r="421" spans="1:2" ht="30" x14ac:dyDescent="0.25">
      <c r="A421" s="1917" t="s">
        <v>10120</v>
      </c>
      <c r="B421" s="1917" t="s">
        <v>11120</v>
      </c>
    </row>
    <row r="422" spans="1:2" ht="30" x14ac:dyDescent="0.25">
      <c r="A422" s="1917" t="s">
        <v>10121</v>
      </c>
      <c r="B422" s="1917" t="s">
        <v>11121</v>
      </c>
    </row>
    <row r="423" spans="1:2" ht="30" x14ac:dyDescent="0.25">
      <c r="A423" s="1917" t="s">
        <v>10122</v>
      </c>
      <c r="B423" s="1917" t="s">
        <v>11122</v>
      </c>
    </row>
    <row r="424" spans="1:2" ht="30" x14ac:dyDescent="0.25">
      <c r="A424" s="1917" t="s">
        <v>10123</v>
      </c>
      <c r="B424" s="1917" t="s">
        <v>11123</v>
      </c>
    </row>
    <row r="425" spans="1:2" ht="30" x14ac:dyDescent="0.25">
      <c r="A425" s="1917" t="s">
        <v>12386</v>
      </c>
      <c r="B425" s="1917" t="s">
        <v>12385</v>
      </c>
    </row>
    <row r="426" spans="1:2" ht="30" x14ac:dyDescent="0.25">
      <c r="A426" s="1917" t="s">
        <v>12384</v>
      </c>
      <c r="B426" s="1917" t="s">
        <v>12383</v>
      </c>
    </row>
    <row r="427" spans="1:2" x14ac:dyDescent="0.25">
      <c r="A427" s="1917" t="s">
        <v>10124</v>
      </c>
      <c r="B427" s="1917" t="s">
        <v>11124</v>
      </c>
    </row>
    <row r="428" spans="1:2" x14ac:dyDescent="0.25">
      <c r="A428" s="1917" t="s">
        <v>10125</v>
      </c>
      <c r="B428" s="1917" t="s">
        <v>11125</v>
      </c>
    </row>
    <row r="429" spans="1:2" x14ac:dyDescent="0.25">
      <c r="A429" s="1917" t="s">
        <v>10126</v>
      </c>
      <c r="B429" s="1917" t="s">
        <v>11126</v>
      </c>
    </row>
    <row r="430" spans="1:2" x14ac:dyDescent="0.25">
      <c r="A430" s="1917" t="s">
        <v>10127</v>
      </c>
      <c r="B430" s="1917" t="s">
        <v>11127</v>
      </c>
    </row>
    <row r="431" spans="1:2" x14ac:dyDescent="0.25">
      <c r="A431" s="1917" t="s">
        <v>10128</v>
      </c>
      <c r="B431" s="1917" t="s">
        <v>11128</v>
      </c>
    </row>
    <row r="432" spans="1:2" x14ac:dyDescent="0.25">
      <c r="A432" s="1917" t="s">
        <v>10129</v>
      </c>
      <c r="B432" s="1917" t="s">
        <v>11129</v>
      </c>
    </row>
    <row r="433" spans="1:2" x14ac:dyDescent="0.25">
      <c r="A433" s="1917" t="s">
        <v>12382</v>
      </c>
      <c r="B433" s="1917" t="s">
        <v>12381</v>
      </c>
    </row>
    <row r="434" spans="1:2" x14ac:dyDescent="0.25">
      <c r="A434" s="1917" t="s">
        <v>12380</v>
      </c>
      <c r="B434" s="1917" t="s">
        <v>12379</v>
      </c>
    </row>
    <row r="435" spans="1:2" x14ac:dyDescent="0.25">
      <c r="A435" s="1917" t="s">
        <v>10130</v>
      </c>
      <c r="B435" s="1917" t="s">
        <v>11130</v>
      </c>
    </row>
    <row r="436" spans="1:2" x14ac:dyDescent="0.25">
      <c r="A436" s="1917" t="s">
        <v>12378</v>
      </c>
      <c r="B436" s="1917" t="s">
        <v>12377</v>
      </c>
    </row>
    <row r="437" spans="1:2" x14ac:dyDescent="0.25">
      <c r="A437" s="1917" t="s">
        <v>12376</v>
      </c>
      <c r="B437" s="1917" t="s">
        <v>12375</v>
      </c>
    </row>
    <row r="438" spans="1:2" x14ac:dyDescent="0.25">
      <c r="A438" s="1917" t="s">
        <v>10131</v>
      </c>
      <c r="B438" s="1917" t="s">
        <v>11131</v>
      </c>
    </row>
    <row r="439" spans="1:2" x14ac:dyDescent="0.25">
      <c r="A439" s="1917" t="s">
        <v>12374</v>
      </c>
      <c r="B439" s="1917" t="s">
        <v>12373</v>
      </c>
    </row>
    <row r="440" spans="1:2" x14ac:dyDescent="0.25">
      <c r="A440" s="1917" t="s">
        <v>12372</v>
      </c>
      <c r="B440" s="1917" t="s">
        <v>12371</v>
      </c>
    </row>
    <row r="441" spans="1:2" ht="30" x14ac:dyDescent="0.25">
      <c r="A441" s="1917" t="s">
        <v>12370</v>
      </c>
      <c r="B441" s="1917" t="s">
        <v>12369</v>
      </c>
    </row>
    <row r="442" spans="1:2" ht="30" x14ac:dyDescent="0.25">
      <c r="A442" s="1917" t="s">
        <v>12368</v>
      </c>
      <c r="B442" s="1917" t="s">
        <v>12367</v>
      </c>
    </row>
    <row r="443" spans="1:2" ht="30" x14ac:dyDescent="0.25">
      <c r="A443" s="1917" t="s">
        <v>12366</v>
      </c>
      <c r="B443" s="1917" t="s">
        <v>12365</v>
      </c>
    </row>
    <row r="444" spans="1:2" x14ac:dyDescent="0.25">
      <c r="A444" s="1917" t="s">
        <v>10132</v>
      </c>
      <c r="B444" s="1917" t="s">
        <v>11132</v>
      </c>
    </row>
    <row r="445" spans="1:2" x14ac:dyDescent="0.25">
      <c r="A445" s="1917" t="s">
        <v>10133</v>
      </c>
      <c r="B445" s="1917" t="s">
        <v>11133</v>
      </c>
    </row>
    <row r="446" spans="1:2" x14ac:dyDescent="0.25">
      <c r="A446" s="1917" t="s">
        <v>10134</v>
      </c>
      <c r="B446" s="1917" t="s">
        <v>11134</v>
      </c>
    </row>
    <row r="447" spans="1:2" x14ac:dyDescent="0.25">
      <c r="A447" s="1917" t="s">
        <v>10135</v>
      </c>
      <c r="B447" s="1917" t="s">
        <v>11135</v>
      </c>
    </row>
    <row r="448" spans="1:2" ht="30" x14ac:dyDescent="0.25">
      <c r="A448" s="1917" t="s">
        <v>12364</v>
      </c>
      <c r="B448" s="1917" t="s">
        <v>12363</v>
      </c>
    </row>
    <row r="449" spans="1:2" ht="30" x14ac:dyDescent="0.25">
      <c r="A449" s="1917" t="s">
        <v>12362</v>
      </c>
      <c r="B449" s="1917" t="s">
        <v>12361</v>
      </c>
    </row>
    <row r="450" spans="1:2" ht="30" x14ac:dyDescent="0.25">
      <c r="A450" s="1917" t="s">
        <v>12360</v>
      </c>
      <c r="B450" s="1917" t="s">
        <v>12359</v>
      </c>
    </row>
    <row r="451" spans="1:2" ht="30" x14ac:dyDescent="0.25">
      <c r="A451" s="1917" t="s">
        <v>12358</v>
      </c>
      <c r="B451" s="1917" t="s">
        <v>12357</v>
      </c>
    </row>
    <row r="452" spans="1:2" ht="30" x14ac:dyDescent="0.25">
      <c r="A452" s="1917" t="s">
        <v>12356</v>
      </c>
      <c r="B452" s="1917" t="s">
        <v>12355</v>
      </c>
    </row>
    <row r="453" spans="1:2" ht="30" x14ac:dyDescent="0.25">
      <c r="A453" s="1917" t="s">
        <v>12354</v>
      </c>
      <c r="B453" s="1917" t="s">
        <v>12353</v>
      </c>
    </row>
    <row r="454" spans="1:2" x14ac:dyDescent="0.25">
      <c r="A454" s="1917" t="s">
        <v>12352</v>
      </c>
      <c r="B454" s="1917" t="s">
        <v>12351</v>
      </c>
    </row>
    <row r="455" spans="1:2" ht="30" x14ac:dyDescent="0.25">
      <c r="A455" s="1917" t="s">
        <v>12350</v>
      </c>
      <c r="B455" s="1917" t="s">
        <v>12349</v>
      </c>
    </row>
    <row r="456" spans="1:2" x14ac:dyDescent="0.25">
      <c r="A456" s="1917" t="s">
        <v>10136</v>
      </c>
      <c r="B456" s="1917" t="s">
        <v>11136</v>
      </c>
    </row>
    <row r="457" spans="1:2" x14ac:dyDescent="0.25">
      <c r="A457" s="1917" t="s">
        <v>10137</v>
      </c>
      <c r="B457" s="1917" t="s">
        <v>11137</v>
      </c>
    </row>
    <row r="458" spans="1:2" x14ac:dyDescent="0.25">
      <c r="A458" s="1917" t="s">
        <v>10138</v>
      </c>
      <c r="B458" s="1917" t="s">
        <v>11138</v>
      </c>
    </row>
    <row r="459" spans="1:2" x14ac:dyDescent="0.25">
      <c r="A459" s="1917" t="s">
        <v>12348</v>
      </c>
      <c r="B459" s="1917" t="s">
        <v>12347</v>
      </c>
    </row>
    <row r="460" spans="1:2" x14ac:dyDescent="0.25">
      <c r="A460" s="1917" t="s">
        <v>12346</v>
      </c>
      <c r="B460" s="1917" t="s">
        <v>12345</v>
      </c>
    </row>
    <row r="461" spans="1:2" x14ac:dyDescent="0.25">
      <c r="A461" s="1917" t="s">
        <v>10139</v>
      </c>
      <c r="B461" s="1917" t="s">
        <v>11139</v>
      </c>
    </row>
    <row r="462" spans="1:2" ht="30" x14ac:dyDescent="0.25">
      <c r="A462" s="1917" t="s">
        <v>12344</v>
      </c>
      <c r="B462" s="1917" t="s">
        <v>12343</v>
      </c>
    </row>
    <row r="463" spans="1:2" ht="30" x14ac:dyDescent="0.25">
      <c r="A463" s="1917" t="s">
        <v>12342</v>
      </c>
      <c r="B463" s="1917" t="s">
        <v>12341</v>
      </c>
    </row>
    <row r="464" spans="1:2" ht="30" x14ac:dyDescent="0.25">
      <c r="A464" s="1917" t="s">
        <v>10140</v>
      </c>
      <c r="B464" s="1917" t="s">
        <v>11140</v>
      </c>
    </row>
    <row r="465" spans="1:2" ht="30" x14ac:dyDescent="0.25">
      <c r="A465" s="1917" t="s">
        <v>10141</v>
      </c>
      <c r="B465" s="1917" t="s">
        <v>11141</v>
      </c>
    </row>
    <row r="466" spans="1:2" x14ac:dyDescent="0.25">
      <c r="A466" s="1917" t="s">
        <v>10142</v>
      </c>
      <c r="B466" s="1917" t="s">
        <v>11142</v>
      </c>
    </row>
    <row r="467" spans="1:2" x14ac:dyDescent="0.25">
      <c r="A467" s="1917" t="s">
        <v>12340</v>
      </c>
      <c r="B467" s="1917" t="s">
        <v>12339</v>
      </c>
    </row>
    <row r="468" spans="1:2" x14ac:dyDescent="0.25">
      <c r="A468" s="1917" t="s">
        <v>12338</v>
      </c>
      <c r="B468" s="1917" t="s">
        <v>12337</v>
      </c>
    </row>
    <row r="469" spans="1:2" ht="30" x14ac:dyDescent="0.25">
      <c r="A469" s="1917" t="s">
        <v>12336</v>
      </c>
      <c r="B469" s="1917" t="s">
        <v>12335</v>
      </c>
    </row>
    <row r="470" spans="1:2" x14ac:dyDescent="0.25">
      <c r="A470" s="1917" t="s">
        <v>10143</v>
      </c>
      <c r="B470" s="1917" t="s">
        <v>11143</v>
      </c>
    </row>
    <row r="471" spans="1:2" x14ac:dyDescent="0.25">
      <c r="A471" s="1917" t="s">
        <v>12334</v>
      </c>
      <c r="B471" s="1917" t="s">
        <v>12333</v>
      </c>
    </row>
    <row r="472" spans="1:2" ht="30" x14ac:dyDescent="0.25">
      <c r="A472" s="1917" t="s">
        <v>12332</v>
      </c>
      <c r="B472" s="1917" t="s">
        <v>12331</v>
      </c>
    </row>
    <row r="473" spans="1:2" x14ac:dyDescent="0.25">
      <c r="A473" s="1917" t="s">
        <v>10144</v>
      </c>
      <c r="B473" s="1917" t="s">
        <v>11144</v>
      </c>
    </row>
    <row r="474" spans="1:2" ht="30" x14ac:dyDescent="0.25">
      <c r="A474" s="1917" t="s">
        <v>12330</v>
      </c>
      <c r="B474" s="1917" t="s">
        <v>12329</v>
      </c>
    </row>
    <row r="475" spans="1:2" x14ac:dyDescent="0.25">
      <c r="A475" s="1917" t="s">
        <v>10145</v>
      </c>
      <c r="B475" s="1917" t="s">
        <v>11145</v>
      </c>
    </row>
    <row r="476" spans="1:2" x14ac:dyDescent="0.25">
      <c r="A476" s="1917" t="s">
        <v>10146</v>
      </c>
      <c r="B476" s="1917" t="s">
        <v>11146</v>
      </c>
    </row>
    <row r="477" spans="1:2" x14ac:dyDescent="0.25">
      <c r="A477" s="1917" t="s">
        <v>10147</v>
      </c>
      <c r="B477" s="1917" t="s">
        <v>11147</v>
      </c>
    </row>
    <row r="478" spans="1:2" x14ac:dyDescent="0.25">
      <c r="A478" s="1917" t="s">
        <v>10148</v>
      </c>
      <c r="B478" s="1917" t="s">
        <v>11148</v>
      </c>
    </row>
    <row r="479" spans="1:2" x14ac:dyDescent="0.25">
      <c r="A479" s="1917" t="s">
        <v>10149</v>
      </c>
      <c r="B479" s="1917" t="s">
        <v>11149</v>
      </c>
    </row>
    <row r="480" spans="1:2" x14ac:dyDescent="0.25">
      <c r="A480" s="1917" t="s">
        <v>10150</v>
      </c>
      <c r="B480" s="1917" t="s">
        <v>11150</v>
      </c>
    </row>
    <row r="481" spans="1:2" ht="30" x14ac:dyDescent="0.25">
      <c r="A481" s="1917" t="s">
        <v>10151</v>
      </c>
      <c r="B481" s="1917" t="s">
        <v>11151</v>
      </c>
    </row>
    <row r="482" spans="1:2" ht="30" x14ac:dyDescent="0.25">
      <c r="A482" s="1917" t="s">
        <v>10152</v>
      </c>
      <c r="B482" s="1917" t="s">
        <v>11152</v>
      </c>
    </row>
    <row r="483" spans="1:2" ht="30" x14ac:dyDescent="0.25">
      <c r="A483" s="1917" t="s">
        <v>10153</v>
      </c>
      <c r="B483" s="1917" t="s">
        <v>11153</v>
      </c>
    </row>
    <row r="484" spans="1:2" ht="30" x14ac:dyDescent="0.25">
      <c r="A484" s="1917" t="s">
        <v>10154</v>
      </c>
      <c r="B484" s="1917" t="s">
        <v>11154</v>
      </c>
    </row>
    <row r="485" spans="1:2" ht="30" x14ac:dyDescent="0.25">
      <c r="A485" s="1917" t="s">
        <v>10155</v>
      </c>
      <c r="B485" s="1917" t="s">
        <v>11155</v>
      </c>
    </row>
    <row r="486" spans="1:2" ht="30" x14ac:dyDescent="0.25">
      <c r="A486" s="1917" t="s">
        <v>10156</v>
      </c>
      <c r="B486" s="1917" t="s">
        <v>11156</v>
      </c>
    </row>
    <row r="487" spans="1:2" ht="30" x14ac:dyDescent="0.25">
      <c r="A487" s="1917" t="s">
        <v>10157</v>
      </c>
      <c r="B487" s="1917" t="s">
        <v>11157</v>
      </c>
    </row>
    <row r="488" spans="1:2" ht="30" x14ac:dyDescent="0.25">
      <c r="A488" s="1917" t="s">
        <v>10158</v>
      </c>
      <c r="B488" s="1917" t="s">
        <v>11158</v>
      </c>
    </row>
    <row r="489" spans="1:2" ht="30" x14ac:dyDescent="0.25">
      <c r="A489" s="1917" t="s">
        <v>10159</v>
      </c>
      <c r="B489" s="1917" t="s">
        <v>11159</v>
      </c>
    </row>
    <row r="490" spans="1:2" ht="30" x14ac:dyDescent="0.25">
      <c r="A490" s="1917" t="s">
        <v>10160</v>
      </c>
      <c r="B490" s="1917" t="s">
        <v>11160</v>
      </c>
    </row>
    <row r="491" spans="1:2" x14ac:dyDescent="0.25">
      <c r="A491" s="1917" t="s">
        <v>10161</v>
      </c>
      <c r="B491" s="1917" t="s">
        <v>11161</v>
      </c>
    </row>
    <row r="492" spans="1:2" ht="30" x14ac:dyDescent="0.25">
      <c r="A492" s="1917" t="s">
        <v>10162</v>
      </c>
      <c r="B492" s="1917" t="s">
        <v>11162</v>
      </c>
    </row>
    <row r="493" spans="1:2" ht="30" x14ac:dyDescent="0.25">
      <c r="A493" s="1917" t="s">
        <v>10163</v>
      </c>
      <c r="B493" s="1917" t="s">
        <v>11163</v>
      </c>
    </row>
    <row r="494" spans="1:2" ht="30" x14ac:dyDescent="0.25">
      <c r="A494" s="1917" t="s">
        <v>10164</v>
      </c>
      <c r="B494" s="1917" t="s">
        <v>11164</v>
      </c>
    </row>
    <row r="495" spans="1:2" ht="30" x14ac:dyDescent="0.25">
      <c r="A495" s="1917" t="s">
        <v>10165</v>
      </c>
      <c r="B495" s="1917" t="s">
        <v>11165</v>
      </c>
    </row>
    <row r="496" spans="1:2" ht="30" x14ac:dyDescent="0.25">
      <c r="A496" s="1917" t="s">
        <v>10166</v>
      </c>
      <c r="B496" s="1917" t="s">
        <v>11166</v>
      </c>
    </row>
    <row r="497" spans="1:2" ht="30" x14ac:dyDescent="0.25">
      <c r="A497" s="1917" t="s">
        <v>10167</v>
      </c>
      <c r="B497" s="1917" t="s">
        <v>11167</v>
      </c>
    </row>
    <row r="498" spans="1:2" ht="30" x14ac:dyDescent="0.25">
      <c r="A498" s="1917" t="s">
        <v>10168</v>
      </c>
      <c r="B498" s="1917" t="s">
        <v>11168</v>
      </c>
    </row>
    <row r="499" spans="1:2" ht="30" x14ac:dyDescent="0.25">
      <c r="A499" s="1917" t="s">
        <v>10169</v>
      </c>
      <c r="B499" s="1917" t="s">
        <v>11169</v>
      </c>
    </row>
    <row r="500" spans="1:2" ht="30" x14ac:dyDescent="0.25">
      <c r="A500" s="1917" t="s">
        <v>10170</v>
      </c>
      <c r="B500" s="1917" t="s">
        <v>11170</v>
      </c>
    </row>
    <row r="501" spans="1:2" ht="30" x14ac:dyDescent="0.25">
      <c r="A501" s="1917" t="s">
        <v>10171</v>
      </c>
      <c r="B501" s="1917" t="s">
        <v>11171</v>
      </c>
    </row>
    <row r="502" spans="1:2" ht="30" x14ac:dyDescent="0.25">
      <c r="A502" s="1917" t="s">
        <v>12328</v>
      </c>
      <c r="B502" s="1917" t="s">
        <v>12327</v>
      </c>
    </row>
    <row r="503" spans="1:2" ht="30" x14ac:dyDescent="0.25">
      <c r="A503" s="1917" t="s">
        <v>12326</v>
      </c>
      <c r="B503" s="1917" t="s">
        <v>12325</v>
      </c>
    </row>
    <row r="504" spans="1:2" ht="30" x14ac:dyDescent="0.25">
      <c r="A504" s="1917" t="s">
        <v>12324</v>
      </c>
      <c r="B504" s="1917" t="s">
        <v>12323</v>
      </c>
    </row>
    <row r="505" spans="1:2" x14ac:dyDescent="0.25">
      <c r="A505" s="1917" t="s">
        <v>12322</v>
      </c>
      <c r="B505" s="1917" t="s">
        <v>12321</v>
      </c>
    </row>
    <row r="506" spans="1:2" x14ac:dyDescent="0.25">
      <c r="A506" s="1917" t="s">
        <v>10172</v>
      </c>
      <c r="B506" s="1917" t="s">
        <v>11172</v>
      </c>
    </row>
    <row r="507" spans="1:2" x14ac:dyDescent="0.25">
      <c r="A507" s="1917" t="s">
        <v>12320</v>
      </c>
      <c r="B507" s="1917" t="s">
        <v>12319</v>
      </c>
    </row>
    <row r="508" spans="1:2" x14ac:dyDescent="0.25">
      <c r="A508" s="1917" t="s">
        <v>12318</v>
      </c>
      <c r="B508" s="1917" t="s">
        <v>12317</v>
      </c>
    </row>
    <row r="509" spans="1:2" x14ac:dyDescent="0.25">
      <c r="A509" s="1917" t="s">
        <v>10173</v>
      </c>
      <c r="B509" s="1917" t="s">
        <v>12316</v>
      </c>
    </row>
    <row r="510" spans="1:2" x14ac:dyDescent="0.25">
      <c r="A510" s="1917" t="s">
        <v>10174</v>
      </c>
      <c r="B510" s="1917" t="s">
        <v>11174</v>
      </c>
    </row>
    <row r="511" spans="1:2" x14ac:dyDescent="0.25">
      <c r="A511" s="1917" t="s">
        <v>12315</v>
      </c>
      <c r="B511" s="1917" t="s">
        <v>12314</v>
      </c>
    </row>
    <row r="512" spans="1:2" ht="30" x14ac:dyDescent="0.25">
      <c r="A512" s="1917" t="s">
        <v>12313</v>
      </c>
      <c r="B512" s="1917" t="s">
        <v>12312</v>
      </c>
    </row>
    <row r="513" spans="1:2" ht="30" x14ac:dyDescent="0.25">
      <c r="A513" s="1917" t="s">
        <v>10175</v>
      </c>
      <c r="B513" s="1917" t="s">
        <v>11175</v>
      </c>
    </row>
    <row r="514" spans="1:2" ht="30" x14ac:dyDescent="0.25">
      <c r="A514" s="1917" t="s">
        <v>10176</v>
      </c>
      <c r="B514" s="1917" t="s">
        <v>11176</v>
      </c>
    </row>
    <row r="515" spans="1:2" ht="30" x14ac:dyDescent="0.25">
      <c r="A515" s="1917" t="s">
        <v>10177</v>
      </c>
      <c r="B515" s="1917" t="s">
        <v>11177</v>
      </c>
    </row>
    <row r="516" spans="1:2" ht="30" x14ac:dyDescent="0.25">
      <c r="A516" s="1917" t="s">
        <v>12311</v>
      </c>
      <c r="B516" s="1917" t="s">
        <v>12310</v>
      </c>
    </row>
    <row r="517" spans="1:2" x14ac:dyDescent="0.25">
      <c r="A517" s="1917" t="s">
        <v>10178</v>
      </c>
      <c r="B517" s="1917" t="s">
        <v>11178</v>
      </c>
    </row>
    <row r="518" spans="1:2" x14ac:dyDescent="0.25">
      <c r="A518" s="1917" t="s">
        <v>10179</v>
      </c>
      <c r="B518" s="1917" t="s">
        <v>11179</v>
      </c>
    </row>
    <row r="519" spans="1:2" x14ac:dyDescent="0.25">
      <c r="A519" s="1917" t="s">
        <v>10180</v>
      </c>
      <c r="B519" s="1917" t="s">
        <v>11180</v>
      </c>
    </row>
    <row r="520" spans="1:2" x14ac:dyDescent="0.25">
      <c r="A520" s="1917" t="s">
        <v>10181</v>
      </c>
      <c r="B520" s="1917" t="s">
        <v>11181</v>
      </c>
    </row>
    <row r="521" spans="1:2" ht="30" x14ac:dyDescent="0.25">
      <c r="A521" s="1917" t="s">
        <v>10182</v>
      </c>
      <c r="B521" s="1917" t="s">
        <v>11182</v>
      </c>
    </row>
    <row r="522" spans="1:2" x14ac:dyDescent="0.25">
      <c r="A522" s="1917" t="s">
        <v>12309</v>
      </c>
      <c r="B522" s="1917" t="s">
        <v>12308</v>
      </c>
    </row>
    <row r="523" spans="1:2" x14ac:dyDescent="0.25">
      <c r="A523" s="1917" t="s">
        <v>12307</v>
      </c>
      <c r="B523" s="1917" t="s">
        <v>12306</v>
      </c>
    </row>
    <row r="524" spans="1:2" ht="30" x14ac:dyDescent="0.25">
      <c r="A524" s="1917" t="s">
        <v>12305</v>
      </c>
      <c r="B524" s="1917" t="s">
        <v>12304</v>
      </c>
    </row>
    <row r="525" spans="1:2" x14ac:dyDescent="0.25">
      <c r="A525" s="1917" t="s">
        <v>12303</v>
      </c>
      <c r="B525" s="1917" t="s">
        <v>12302</v>
      </c>
    </row>
    <row r="526" spans="1:2" ht="30" x14ac:dyDescent="0.25">
      <c r="A526" s="1917" t="s">
        <v>12301</v>
      </c>
      <c r="B526" s="1917" t="s">
        <v>12300</v>
      </c>
    </row>
    <row r="527" spans="1:2" ht="30" x14ac:dyDescent="0.25">
      <c r="A527" s="1917" t="s">
        <v>12299</v>
      </c>
      <c r="B527" s="1917" t="s">
        <v>12298</v>
      </c>
    </row>
    <row r="528" spans="1:2" ht="30" x14ac:dyDescent="0.25">
      <c r="A528" s="1917" t="s">
        <v>10183</v>
      </c>
      <c r="B528" s="1917" t="s">
        <v>11183</v>
      </c>
    </row>
    <row r="529" spans="1:2" ht="30" x14ac:dyDescent="0.25">
      <c r="A529" s="1917" t="s">
        <v>10184</v>
      </c>
      <c r="B529" s="1917" t="s">
        <v>11184</v>
      </c>
    </row>
    <row r="530" spans="1:2" ht="30" x14ac:dyDescent="0.25">
      <c r="A530" s="1917" t="s">
        <v>10185</v>
      </c>
      <c r="B530" s="1917" t="s">
        <v>11185</v>
      </c>
    </row>
    <row r="531" spans="1:2" ht="30" x14ac:dyDescent="0.25">
      <c r="A531" s="1917" t="s">
        <v>10186</v>
      </c>
      <c r="B531" s="1917" t="s">
        <v>11186</v>
      </c>
    </row>
    <row r="532" spans="1:2" ht="30" x14ac:dyDescent="0.25">
      <c r="A532" s="1917" t="s">
        <v>10187</v>
      </c>
      <c r="B532" s="1917" t="s">
        <v>11187</v>
      </c>
    </row>
    <row r="533" spans="1:2" ht="30" x14ac:dyDescent="0.25">
      <c r="A533" s="1917" t="s">
        <v>10188</v>
      </c>
      <c r="B533" s="1917" t="s">
        <v>11188</v>
      </c>
    </row>
    <row r="534" spans="1:2" x14ac:dyDescent="0.25">
      <c r="A534" s="1917" t="s">
        <v>10189</v>
      </c>
      <c r="B534" s="1917" t="s">
        <v>12297</v>
      </c>
    </row>
    <row r="535" spans="1:2" x14ac:dyDescent="0.25">
      <c r="A535" s="1917" t="s">
        <v>10190</v>
      </c>
      <c r="B535" s="1917" t="s">
        <v>11190</v>
      </c>
    </row>
    <row r="536" spans="1:2" x14ac:dyDescent="0.25">
      <c r="A536" s="1917" t="s">
        <v>10191</v>
      </c>
      <c r="B536" s="1917" t="s">
        <v>11191</v>
      </c>
    </row>
    <row r="537" spans="1:2" x14ac:dyDescent="0.25">
      <c r="A537" s="1917" t="s">
        <v>10192</v>
      </c>
      <c r="B537" s="1917" t="s">
        <v>11192</v>
      </c>
    </row>
    <row r="538" spans="1:2" x14ac:dyDescent="0.25">
      <c r="A538" s="1917" t="s">
        <v>10193</v>
      </c>
      <c r="B538" s="1917" t="s">
        <v>11193</v>
      </c>
    </row>
    <row r="539" spans="1:2" x14ac:dyDescent="0.25">
      <c r="A539" s="1917" t="s">
        <v>10194</v>
      </c>
      <c r="B539" s="1917" t="s">
        <v>11194</v>
      </c>
    </row>
    <row r="540" spans="1:2" x14ac:dyDescent="0.25">
      <c r="A540" s="1917" t="s">
        <v>10195</v>
      </c>
      <c r="B540" s="1917" t="s">
        <v>11195</v>
      </c>
    </row>
    <row r="541" spans="1:2" x14ac:dyDescent="0.25">
      <c r="A541" s="1917" t="s">
        <v>10196</v>
      </c>
      <c r="B541" s="1917" t="s">
        <v>11196</v>
      </c>
    </row>
    <row r="542" spans="1:2" ht="30" x14ac:dyDescent="0.25">
      <c r="A542" s="1917" t="s">
        <v>10197</v>
      </c>
      <c r="B542" s="1917" t="s">
        <v>11197</v>
      </c>
    </row>
    <row r="543" spans="1:2" ht="30" x14ac:dyDescent="0.25">
      <c r="A543" s="1917" t="s">
        <v>10198</v>
      </c>
      <c r="B543" s="1917" t="s">
        <v>11198</v>
      </c>
    </row>
    <row r="544" spans="1:2" ht="30" x14ac:dyDescent="0.25">
      <c r="A544" s="1917" t="s">
        <v>10199</v>
      </c>
      <c r="B544" s="1917" t="s">
        <v>11199</v>
      </c>
    </row>
    <row r="545" spans="1:2" ht="30" x14ac:dyDescent="0.25">
      <c r="A545" s="1917" t="s">
        <v>10200</v>
      </c>
      <c r="B545" s="1917" t="s">
        <v>11200</v>
      </c>
    </row>
    <row r="546" spans="1:2" ht="30" x14ac:dyDescent="0.25">
      <c r="A546" s="1917" t="s">
        <v>10201</v>
      </c>
      <c r="B546" s="1917" t="s">
        <v>11201</v>
      </c>
    </row>
    <row r="547" spans="1:2" ht="30" x14ac:dyDescent="0.25">
      <c r="A547" s="1917" t="s">
        <v>10202</v>
      </c>
      <c r="B547" s="1917" t="s">
        <v>11202</v>
      </c>
    </row>
    <row r="548" spans="1:2" ht="30" x14ac:dyDescent="0.25">
      <c r="A548" s="1917" t="s">
        <v>10203</v>
      </c>
      <c r="B548" s="1917" t="s">
        <v>11203</v>
      </c>
    </row>
    <row r="549" spans="1:2" ht="30" x14ac:dyDescent="0.25">
      <c r="A549" s="1917" t="s">
        <v>10204</v>
      </c>
      <c r="B549" s="1917" t="s">
        <v>11204</v>
      </c>
    </row>
    <row r="550" spans="1:2" ht="30" x14ac:dyDescent="0.25">
      <c r="A550" s="1917" t="s">
        <v>10205</v>
      </c>
      <c r="B550" s="1917" t="s">
        <v>11205</v>
      </c>
    </row>
    <row r="551" spans="1:2" ht="30" x14ac:dyDescent="0.25">
      <c r="A551" s="1917" t="s">
        <v>10206</v>
      </c>
      <c r="B551" s="1917" t="s">
        <v>11206</v>
      </c>
    </row>
    <row r="552" spans="1:2" ht="30" x14ac:dyDescent="0.25">
      <c r="A552" s="1917" t="s">
        <v>10207</v>
      </c>
      <c r="B552" s="1917" t="s">
        <v>11207</v>
      </c>
    </row>
    <row r="553" spans="1:2" ht="30" x14ac:dyDescent="0.25">
      <c r="A553" s="1917" t="s">
        <v>10208</v>
      </c>
      <c r="B553" s="1917" t="s">
        <v>11208</v>
      </c>
    </row>
    <row r="554" spans="1:2" ht="30" x14ac:dyDescent="0.25">
      <c r="A554" s="1917" t="s">
        <v>10209</v>
      </c>
      <c r="B554" s="1917" t="s">
        <v>11209</v>
      </c>
    </row>
    <row r="555" spans="1:2" ht="30" x14ac:dyDescent="0.25">
      <c r="A555" s="1917" t="s">
        <v>10210</v>
      </c>
      <c r="B555" s="1917" t="s">
        <v>11210</v>
      </c>
    </row>
    <row r="556" spans="1:2" ht="30" x14ac:dyDescent="0.25">
      <c r="A556" s="1917" t="s">
        <v>10211</v>
      </c>
      <c r="B556" s="1917" t="s">
        <v>11211</v>
      </c>
    </row>
    <row r="557" spans="1:2" ht="30" x14ac:dyDescent="0.25">
      <c r="A557" s="1917" t="s">
        <v>10212</v>
      </c>
      <c r="B557" s="1917" t="s">
        <v>11212</v>
      </c>
    </row>
    <row r="558" spans="1:2" ht="30" x14ac:dyDescent="0.25">
      <c r="A558" s="1917" t="s">
        <v>10213</v>
      </c>
      <c r="B558" s="1917" t="s">
        <v>11213</v>
      </c>
    </row>
    <row r="559" spans="1:2" ht="30" x14ac:dyDescent="0.25">
      <c r="A559" s="1917" t="s">
        <v>10214</v>
      </c>
      <c r="B559" s="1917" t="s">
        <v>11214</v>
      </c>
    </row>
    <row r="560" spans="1:2" ht="30" x14ac:dyDescent="0.25">
      <c r="A560" s="1917" t="s">
        <v>10215</v>
      </c>
      <c r="B560" s="1917" t="s">
        <v>11215</v>
      </c>
    </row>
    <row r="561" spans="1:2" ht="30" x14ac:dyDescent="0.25">
      <c r="A561" s="1917" t="s">
        <v>10216</v>
      </c>
      <c r="B561" s="1917" t="s">
        <v>11216</v>
      </c>
    </row>
    <row r="562" spans="1:2" ht="30" x14ac:dyDescent="0.25">
      <c r="A562" s="1917" t="s">
        <v>10217</v>
      </c>
      <c r="B562" s="1917" t="s">
        <v>11217</v>
      </c>
    </row>
    <row r="563" spans="1:2" ht="30" x14ac:dyDescent="0.25">
      <c r="A563" s="1917" t="s">
        <v>10218</v>
      </c>
      <c r="B563" s="1917" t="s">
        <v>11218</v>
      </c>
    </row>
    <row r="564" spans="1:2" ht="30" x14ac:dyDescent="0.25">
      <c r="A564" s="1917" t="s">
        <v>10219</v>
      </c>
      <c r="B564" s="1917" t="s">
        <v>11219</v>
      </c>
    </row>
    <row r="565" spans="1:2" ht="30" x14ac:dyDescent="0.25">
      <c r="A565" s="1917" t="s">
        <v>10220</v>
      </c>
      <c r="B565" s="1917" t="s">
        <v>11220</v>
      </c>
    </row>
    <row r="566" spans="1:2" ht="30" x14ac:dyDescent="0.25">
      <c r="A566" s="1917" t="s">
        <v>10221</v>
      </c>
      <c r="B566" s="1917" t="s">
        <v>11221</v>
      </c>
    </row>
    <row r="567" spans="1:2" ht="30" x14ac:dyDescent="0.25">
      <c r="A567" s="1917" t="s">
        <v>10222</v>
      </c>
      <c r="B567" s="1917" t="s">
        <v>11222</v>
      </c>
    </row>
    <row r="568" spans="1:2" ht="30" x14ac:dyDescent="0.25">
      <c r="A568" s="1917" t="s">
        <v>10223</v>
      </c>
      <c r="B568" s="1917" t="s">
        <v>11223</v>
      </c>
    </row>
    <row r="569" spans="1:2" ht="30" x14ac:dyDescent="0.25">
      <c r="A569" s="1917" t="s">
        <v>10224</v>
      </c>
      <c r="B569" s="1917" t="s">
        <v>11224</v>
      </c>
    </row>
    <row r="570" spans="1:2" ht="30" x14ac:dyDescent="0.25">
      <c r="A570" s="1917" t="s">
        <v>10225</v>
      </c>
      <c r="B570" s="1917" t="s">
        <v>11225</v>
      </c>
    </row>
    <row r="571" spans="1:2" ht="30" x14ac:dyDescent="0.25">
      <c r="A571" s="1917" t="s">
        <v>10226</v>
      </c>
      <c r="B571" s="1917" t="s">
        <v>11226</v>
      </c>
    </row>
    <row r="572" spans="1:2" ht="30" x14ac:dyDescent="0.25">
      <c r="A572" s="1917" t="s">
        <v>10227</v>
      </c>
      <c r="B572" s="1917" t="s">
        <v>11227</v>
      </c>
    </row>
    <row r="573" spans="1:2" x14ac:dyDescent="0.25">
      <c r="A573" s="1917" t="s">
        <v>10228</v>
      </c>
      <c r="B573" s="1917" t="s">
        <v>11228</v>
      </c>
    </row>
    <row r="574" spans="1:2" ht="30" x14ac:dyDescent="0.25">
      <c r="A574" s="1917" t="s">
        <v>10229</v>
      </c>
      <c r="B574" s="1917" t="s">
        <v>11229</v>
      </c>
    </row>
    <row r="575" spans="1:2" x14ac:dyDescent="0.25">
      <c r="A575" s="1917" t="s">
        <v>10230</v>
      </c>
      <c r="B575" s="1917" t="s">
        <v>11230</v>
      </c>
    </row>
    <row r="576" spans="1:2" x14ac:dyDescent="0.25">
      <c r="A576" s="1917" t="s">
        <v>10231</v>
      </c>
      <c r="B576" s="1917" t="s">
        <v>11231</v>
      </c>
    </row>
    <row r="577" spans="1:2" x14ac:dyDescent="0.25">
      <c r="A577" s="1917" t="s">
        <v>10232</v>
      </c>
      <c r="B577" s="1917" t="s">
        <v>11232</v>
      </c>
    </row>
    <row r="578" spans="1:2" x14ac:dyDescent="0.25">
      <c r="A578" s="1917" t="s">
        <v>10233</v>
      </c>
      <c r="B578" s="1917" t="s">
        <v>11233</v>
      </c>
    </row>
    <row r="579" spans="1:2" x14ac:dyDescent="0.25">
      <c r="A579" s="1917" t="s">
        <v>10234</v>
      </c>
      <c r="B579" s="1917" t="s">
        <v>11234</v>
      </c>
    </row>
    <row r="580" spans="1:2" x14ac:dyDescent="0.25">
      <c r="A580" s="1917" t="s">
        <v>10235</v>
      </c>
      <c r="B580" s="1917" t="s">
        <v>11235</v>
      </c>
    </row>
    <row r="581" spans="1:2" x14ac:dyDescent="0.25">
      <c r="A581" s="1917" t="s">
        <v>10236</v>
      </c>
      <c r="B581" s="1917" t="s">
        <v>11236</v>
      </c>
    </row>
    <row r="582" spans="1:2" x14ac:dyDescent="0.25">
      <c r="A582" s="1917" t="s">
        <v>10237</v>
      </c>
      <c r="B582" s="1917" t="s">
        <v>11237</v>
      </c>
    </row>
    <row r="583" spans="1:2" x14ac:dyDescent="0.25">
      <c r="A583" s="1917" t="s">
        <v>10238</v>
      </c>
      <c r="B583" s="1917" t="s">
        <v>11238</v>
      </c>
    </row>
    <row r="584" spans="1:2" x14ac:dyDescent="0.25">
      <c r="A584" s="1917" t="s">
        <v>10239</v>
      </c>
      <c r="B584" s="1917" t="s">
        <v>11239</v>
      </c>
    </row>
    <row r="585" spans="1:2" x14ac:dyDescent="0.25">
      <c r="A585" s="1917" t="s">
        <v>10240</v>
      </c>
      <c r="B585" s="1917" t="s">
        <v>11240</v>
      </c>
    </row>
    <row r="586" spans="1:2" x14ac:dyDescent="0.25">
      <c r="A586" s="1917" t="s">
        <v>12296</v>
      </c>
      <c r="B586" s="1917" t="s">
        <v>12295</v>
      </c>
    </row>
    <row r="587" spans="1:2" ht="30" x14ac:dyDescent="0.25">
      <c r="A587" s="1917" t="s">
        <v>10241</v>
      </c>
      <c r="B587" s="1917" t="s">
        <v>11241</v>
      </c>
    </row>
    <row r="588" spans="1:2" ht="30" x14ac:dyDescent="0.25">
      <c r="A588" s="1917" t="s">
        <v>10242</v>
      </c>
      <c r="B588" s="1917" t="s">
        <v>11242</v>
      </c>
    </row>
    <row r="589" spans="1:2" ht="30" x14ac:dyDescent="0.25">
      <c r="A589" s="1917" t="s">
        <v>10243</v>
      </c>
      <c r="B589" s="1917" t="s">
        <v>11243</v>
      </c>
    </row>
    <row r="590" spans="1:2" ht="30" x14ac:dyDescent="0.25">
      <c r="A590" s="1917" t="s">
        <v>12294</v>
      </c>
      <c r="B590" s="1917" t="s">
        <v>12293</v>
      </c>
    </row>
    <row r="591" spans="1:2" ht="30" x14ac:dyDescent="0.25">
      <c r="A591" s="1917" t="s">
        <v>12292</v>
      </c>
      <c r="B591" s="1917" t="s">
        <v>12291</v>
      </c>
    </row>
    <row r="592" spans="1:2" x14ac:dyDescent="0.25">
      <c r="A592" s="1917" t="s">
        <v>10244</v>
      </c>
      <c r="B592" s="1917" t="s">
        <v>11244</v>
      </c>
    </row>
    <row r="593" spans="1:2" x14ac:dyDescent="0.25">
      <c r="A593" s="1917" t="s">
        <v>10245</v>
      </c>
      <c r="B593" s="1917" t="s">
        <v>11245</v>
      </c>
    </row>
    <row r="594" spans="1:2" ht="30" x14ac:dyDescent="0.25">
      <c r="A594" s="1917" t="s">
        <v>10246</v>
      </c>
      <c r="B594" s="1917" t="s">
        <v>11246</v>
      </c>
    </row>
    <row r="595" spans="1:2" ht="30" x14ac:dyDescent="0.25">
      <c r="A595" s="1917" t="s">
        <v>10247</v>
      </c>
      <c r="B595" s="1917" t="s">
        <v>11247</v>
      </c>
    </row>
    <row r="596" spans="1:2" ht="30" x14ac:dyDescent="0.25">
      <c r="A596" s="1917" t="s">
        <v>10248</v>
      </c>
      <c r="B596" s="1917" t="s">
        <v>11248</v>
      </c>
    </row>
    <row r="597" spans="1:2" ht="30" x14ac:dyDescent="0.25">
      <c r="A597" s="1917" t="s">
        <v>10249</v>
      </c>
      <c r="B597" s="1917" t="s">
        <v>11249</v>
      </c>
    </row>
    <row r="598" spans="1:2" ht="30" x14ac:dyDescent="0.25">
      <c r="A598" s="1917" t="s">
        <v>10250</v>
      </c>
      <c r="B598" s="1917" t="s">
        <v>11250</v>
      </c>
    </row>
    <row r="599" spans="1:2" ht="30" x14ac:dyDescent="0.25">
      <c r="A599" s="1917" t="s">
        <v>10251</v>
      </c>
      <c r="B599" s="1917" t="s">
        <v>11251</v>
      </c>
    </row>
    <row r="600" spans="1:2" ht="30" x14ac:dyDescent="0.25">
      <c r="A600" s="1917" t="s">
        <v>10252</v>
      </c>
      <c r="B600" s="1917" t="s">
        <v>11252</v>
      </c>
    </row>
    <row r="601" spans="1:2" ht="30" x14ac:dyDescent="0.25">
      <c r="A601" s="1917" t="s">
        <v>10253</v>
      </c>
      <c r="B601" s="1917" t="s">
        <v>11253</v>
      </c>
    </row>
    <row r="602" spans="1:2" ht="30" x14ac:dyDescent="0.25">
      <c r="A602" s="1917" t="s">
        <v>10254</v>
      </c>
      <c r="B602" s="1917" t="s">
        <v>11254</v>
      </c>
    </row>
    <row r="603" spans="1:2" ht="30" x14ac:dyDescent="0.25">
      <c r="A603" s="1917" t="s">
        <v>10255</v>
      </c>
      <c r="B603" s="1917" t="s">
        <v>11255</v>
      </c>
    </row>
    <row r="604" spans="1:2" ht="30" x14ac:dyDescent="0.25">
      <c r="A604" s="1917" t="s">
        <v>10256</v>
      </c>
      <c r="B604" s="1917" t="s">
        <v>11256</v>
      </c>
    </row>
    <row r="605" spans="1:2" ht="30" x14ac:dyDescent="0.25">
      <c r="A605" s="1917" t="s">
        <v>10257</v>
      </c>
      <c r="B605" s="1917" t="s">
        <v>11257</v>
      </c>
    </row>
    <row r="606" spans="1:2" ht="30" x14ac:dyDescent="0.25">
      <c r="A606" s="1917" t="s">
        <v>10258</v>
      </c>
      <c r="B606" s="1917" t="s">
        <v>11258</v>
      </c>
    </row>
    <row r="607" spans="1:2" ht="30" x14ac:dyDescent="0.25">
      <c r="A607" s="1917" t="s">
        <v>10259</v>
      </c>
      <c r="B607" s="1917" t="s">
        <v>11259</v>
      </c>
    </row>
    <row r="608" spans="1:2" ht="30" x14ac:dyDescent="0.25">
      <c r="A608" s="1917" t="s">
        <v>10260</v>
      </c>
      <c r="B608" s="1917" t="s">
        <v>11260</v>
      </c>
    </row>
    <row r="609" spans="1:2" ht="30" x14ac:dyDescent="0.25">
      <c r="A609" s="1917" t="s">
        <v>10261</v>
      </c>
      <c r="B609" s="1917" t="s">
        <v>11261</v>
      </c>
    </row>
    <row r="610" spans="1:2" x14ac:dyDescent="0.25">
      <c r="A610" s="1917" t="s">
        <v>12290</v>
      </c>
      <c r="B610" s="1917" t="s">
        <v>12289</v>
      </c>
    </row>
    <row r="611" spans="1:2" x14ac:dyDescent="0.25">
      <c r="A611" s="1917" t="s">
        <v>12288</v>
      </c>
      <c r="B611" s="1917" t="s">
        <v>12287</v>
      </c>
    </row>
    <row r="612" spans="1:2" x14ac:dyDescent="0.25">
      <c r="A612" s="1917" t="s">
        <v>12286</v>
      </c>
      <c r="B612" s="1917" t="s">
        <v>12285</v>
      </c>
    </row>
    <row r="613" spans="1:2" x14ac:dyDescent="0.25">
      <c r="A613" s="1917" t="s">
        <v>12284</v>
      </c>
      <c r="B613" s="1917" t="s">
        <v>12283</v>
      </c>
    </row>
    <row r="614" spans="1:2" x14ac:dyDescent="0.25">
      <c r="A614" s="1917" t="s">
        <v>10262</v>
      </c>
      <c r="B614" s="1917" t="s">
        <v>11262</v>
      </c>
    </row>
    <row r="615" spans="1:2" x14ac:dyDescent="0.25">
      <c r="A615" s="1917" t="s">
        <v>12282</v>
      </c>
      <c r="B615" s="1917" t="s">
        <v>12281</v>
      </c>
    </row>
    <row r="616" spans="1:2" x14ac:dyDescent="0.25">
      <c r="A616" s="1917" t="s">
        <v>12280</v>
      </c>
      <c r="B616" s="1917" t="s">
        <v>12279</v>
      </c>
    </row>
    <row r="617" spans="1:2" x14ac:dyDescent="0.25">
      <c r="A617" s="1917" t="s">
        <v>10263</v>
      </c>
      <c r="B617" s="1917" t="s">
        <v>11263</v>
      </c>
    </row>
    <row r="618" spans="1:2" x14ac:dyDescent="0.25">
      <c r="A618" s="1917" t="s">
        <v>10264</v>
      </c>
      <c r="B618" s="1917" t="s">
        <v>11264</v>
      </c>
    </row>
    <row r="619" spans="1:2" x14ac:dyDescent="0.25">
      <c r="A619" s="1917" t="s">
        <v>10265</v>
      </c>
      <c r="B619" s="1917" t="s">
        <v>11265</v>
      </c>
    </row>
    <row r="620" spans="1:2" x14ac:dyDescent="0.25">
      <c r="A620" s="1917" t="s">
        <v>10266</v>
      </c>
      <c r="B620" s="1917" t="s">
        <v>11266</v>
      </c>
    </row>
    <row r="621" spans="1:2" ht="30" x14ac:dyDescent="0.25">
      <c r="A621" s="1917" t="s">
        <v>10267</v>
      </c>
      <c r="B621" s="1917" t="s">
        <v>11267</v>
      </c>
    </row>
    <row r="622" spans="1:2" ht="30" x14ac:dyDescent="0.25">
      <c r="A622" s="1917" t="s">
        <v>10268</v>
      </c>
      <c r="B622" s="1917" t="s">
        <v>11268</v>
      </c>
    </row>
    <row r="623" spans="1:2" x14ac:dyDescent="0.25">
      <c r="A623" s="1917" t="s">
        <v>10269</v>
      </c>
      <c r="B623" s="1917" t="s">
        <v>11269</v>
      </c>
    </row>
    <row r="624" spans="1:2" ht="30" x14ac:dyDescent="0.25">
      <c r="A624" s="1917" t="s">
        <v>12278</v>
      </c>
      <c r="B624" s="1917" t="s">
        <v>12277</v>
      </c>
    </row>
    <row r="625" spans="1:2" x14ac:dyDescent="0.25">
      <c r="A625" s="1917" t="s">
        <v>10270</v>
      </c>
      <c r="B625" s="1917" t="s">
        <v>11270</v>
      </c>
    </row>
    <row r="626" spans="1:2" x14ac:dyDescent="0.25">
      <c r="A626" s="1917" t="s">
        <v>10271</v>
      </c>
      <c r="B626" s="1917" t="s">
        <v>11271</v>
      </c>
    </row>
    <row r="627" spans="1:2" x14ac:dyDescent="0.25">
      <c r="A627" s="1917" t="s">
        <v>10272</v>
      </c>
      <c r="B627" s="1917" t="s">
        <v>11272</v>
      </c>
    </row>
    <row r="628" spans="1:2" x14ac:dyDescent="0.25">
      <c r="A628" s="1917" t="s">
        <v>12276</v>
      </c>
      <c r="B628" s="1917" t="s">
        <v>12275</v>
      </c>
    </row>
    <row r="629" spans="1:2" ht="30" x14ac:dyDescent="0.25">
      <c r="A629" s="1917" t="s">
        <v>12274</v>
      </c>
      <c r="B629" s="1917" t="s">
        <v>12273</v>
      </c>
    </row>
    <row r="630" spans="1:2" ht="30" x14ac:dyDescent="0.25">
      <c r="A630" s="1917" t="s">
        <v>10273</v>
      </c>
      <c r="B630" s="1917" t="s">
        <v>11273</v>
      </c>
    </row>
    <row r="631" spans="1:2" ht="30" x14ac:dyDescent="0.25">
      <c r="A631" s="1917" t="s">
        <v>10274</v>
      </c>
      <c r="B631" s="1917" t="s">
        <v>11274</v>
      </c>
    </row>
    <row r="632" spans="1:2" x14ac:dyDescent="0.25">
      <c r="A632" s="1917" t="s">
        <v>10275</v>
      </c>
      <c r="B632" s="1917" t="s">
        <v>11275</v>
      </c>
    </row>
    <row r="633" spans="1:2" x14ac:dyDescent="0.25">
      <c r="A633" s="1917" t="s">
        <v>10276</v>
      </c>
      <c r="B633" s="1917" t="s">
        <v>11276</v>
      </c>
    </row>
    <row r="634" spans="1:2" x14ac:dyDescent="0.25">
      <c r="A634" s="1917" t="s">
        <v>10277</v>
      </c>
      <c r="B634" s="1917" t="s">
        <v>11277</v>
      </c>
    </row>
    <row r="635" spans="1:2" x14ac:dyDescent="0.25">
      <c r="A635" s="1917" t="s">
        <v>10278</v>
      </c>
      <c r="B635" s="1917" t="s">
        <v>11278</v>
      </c>
    </row>
    <row r="636" spans="1:2" x14ac:dyDescent="0.25">
      <c r="A636" s="1917" t="s">
        <v>12272</v>
      </c>
      <c r="B636" s="1917" t="s">
        <v>12271</v>
      </c>
    </row>
    <row r="637" spans="1:2" ht="30" x14ac:dyDescent="0.25">
      <c r="A637" s="1917" t="s">
        <v>12270</v>
      </c>
      <c r="B637" s="1917" t="s">
        <v>12269</v>
      </c>
    </row>
    <row r="638" spans="1:2" ht="30" x14ac:dyDescent="0.25">
      <c r="A638" s="1917" t="s">
        <v>10279</v>
      </c>
      <c r="B638" s="1917" t="s">
        <v>11279</v>
      </c>
    </row>
    <row r="639" spans="1:2" ht="30" x14ac:dyDescent="0.25">
      <c r="A639" s="1917" t="s">
        <v>10280</v>
      </c>
      <c r="B639" s="1917" t="s">
        <v>11280</v>
      </c>
    </row>
    <row r="640" spans="1:2" ht="30" x14ac:dyDescent="0.25">
      <c r="A640" s="1917" t="s">
        <v>12268</v>
      </c>
      <c r="B640" s="1917" t="s">
        <v>12267</v>
      </c>
    </row>
    <row r="641" spans="1:2" ht="30" x14ac:dyDescent="0.25">
      <c r="A641" s="1917" t="s">
        <v>10281</v>
      </c>
      <c r="B641" s="1917" t="s">
        <v>11281</v>
      </c>
    </row>
    <row r="642" spans="1:2" ht="30" x14ac:dyDescent="0.25">
      <c r="A642" s="1917" t="s">
        <v>10282</v>
      </c>
      <c r="B642" s="1917" t="s">
        <v>11282</v>
      </c>
    </row>
    <row r="643" spans="1:2" ht="30" x14ac:dyDescent="0.25">
      <c r="A643" s="1917" t="s">
        <v>10283</v>
      </c>
      <c r="B643" s="1917" t="s">
        <v>11283</v>
      </c>
    </row>
    <row r="644" spans="1:2" ht="30" x14ac:dyDescent="0.25">
      <c r="A644" s="1917" t="s">
        <v>10284</v>
      </c>
      <c r="B644" s="1917" t="s">
        <v>11284</v>
      </c>
    </row>
    <row r="645" spans="1:2" ht="30" x14ac:dyDescent="0.25">
      <c r="A645" s="1917" t="s">
        <v>10285</v>
      </c>
      <c r="B645" s="1917" t="s">
        <v>11285</v>
      </c>
    </row>
    <row r="646" spans="1:2" x14ac:dyDescent="0.25">
      <c r="A646" s="1917" t="s">
        <v>10286</v>
      </c>
      <c r="B646" s="1917" t="s">
        <v>11286</v>
      </c>
    </row>
    <row r="647" spans="1:2" ht="30" x14ac:dyDescent="0.25">
      <c r="A647" s="1917" t="s">
        <v>10287</v>
      </c>
      <c r="B647" s="1917" t="s">
        <v>11287</v>
      </c>
    </row>
    <row r="648" spans="1:2" ht="30" x14ac:dyDescent="0.25">
      <c r="A648" s="1917" t="s">
        <v>10288</v>
      </c>
      <c r="B648" s="1917" t="s">
        <v>11288</v>
      </c>
    </row>
    <row r="649" spans="1:2" x14ac:dyDescent="0.25">
      <c r="A649" s="1917" t="s">
        <v>12266</v>
      </c>
      <c r="B649" s="1917" t="s">
        <v>12265</v>
      </c>
    </row>
    <row r="650" spans="1:2" ht="30" x14ac:dyDescent="0.25">
      <c r="A650" s="1917" t="s">
        <v>10289</v>
      </c>
      <c r="B650" s="1917" t="s">
        <v>11289</v>
      </c>
    </row>
    <row r="651" spans="1:2" ht="30" x14ac:dyDescent="0.25">
      <c r="A651" s="1917" t="s">
        <v>10290</v>
      </c>
      <c r="B651" s="1917" t="s">
        <v>11290</v>
      </c>
    </row>
    <row r="652" spans="1:2" x14ac:dyDescent="0.25">
      <c r="A652" s="1917" t="s">
        <v>10291</v>
      </c>
      <c r="B652" s="1917" t="s">
        <v>11291</v>
      </c>
    </row>
    <row r="653" spans="1:2" ht="30" x14ac:dyDescent="0.25">
      <c r="A653" s="1917" t="s">
        <v>10292</v>
      </c>
      <c r="B653" s="1917" t="s">
        <v>11292</v>
      </c>
    </row>
    <row r="654" spans="1:2" ht="30" x14ac:dyDescent="0.25">
      <c r="A654" s="1917" t="s">
        <v>10293</v>
      </c>
      <c r="B654" s="1917" t="s">
        <v>11293</v>
      </c>
    </row>
    <row r="655" spans="1:2" x14ac:dyDescent="0.25">
      <c r="A655" s="1917" t="s">
        <v>10294</v>
      </c>
      <c r="B655" s="1917" t="s">
        <v>11294</v>
      </c>
    </row>
    <row r="656" spans="1:2" x14ac:dyDescent="0.25">
      <c r="A656" s="1917" t="s">
        <v>10295</v>
      </c>
      <c r="B656" s="1917" t="s">
        <v>11295</v>
      </c>
    </row>
    <row r="657" spans="1:2" x14ac:dyDescent="0.25">
      <c r="A657" s="1917" t="s">
        <v>10296</v>
      </c>
      <c r="B657" s="1917" t="s">
        <v>11296</v>
      </c>
    </row>
    <row r="658" spans="1:2" x14ac:dyDescent="0.25">
      <c r="A658" s="1917" t="s">
        <v>10297</v>
      </c>
      <c r="B658" s="1917" t="s">
        <v>11297</v>
      </c>
    </row>
    <row r="659" spans="1:2" ht="30" x14ac:dyDescent="0.25">
      <c r="A659" s="1917" t="s">
        <v>12264</v>
      </c>
      <c r="B659" s="1917" t="s">
        <v>12263</v>
      </c>
    </row>
    <row r="660" spans="1:2" ht="30" x14ac:dyDescent="0.25">
      <c r="A660" s="1917" t="s">
        <v>12262</v>
      </c>
      <c r="B660" s="1917" t="s">
        <v>12261</v>
      </c>
    </row>
    <row r="661" spans="1:2" x14ac:dyDescent="0.25">
      <c r="A661" s="1917" t="s">
        <v>12260</v>
      </c>
      <c r="B661" s="1917" t="s">
        <v>12259</v>
      </c>
    </row>
    <row r="662" spans="1:2" ht="30" x14ac:dyDescent="0.25">
      <c r="A662" s="1917" t="s">
        <v>10298</v>
      </c>
      <c r="B662" s="1917" t="s">
        <v>11298</v>
      </c>
    </row>
    <row r="663" spans="1:2" ht="30" x14ac:dyDescent="0.25">
      <c r="A663" s="1917" t="s">
        <v>10299</v>
      </c>
      <c r="B663" s="1917" t="s">
        <v>11299</v>
      </c>
    </row>
    <row r="664" spans="1:2" ht="30" x14ac:dyDescent="0.25">
      <c r="A664" s="1917" t="s">
        <v>10300</v>
      </c>
      <c r="B664" s="1917" t="s">
        <v>11300</v>
      </c>
    </row>
    <row r="665" spans="1:2" ht="30" x14ac:dyDescent="0.25">
      <c r="A665" s="1917" t="s">
        <v>10301</v>
      </c>
      <c r="B665" s="1917" t="s">
        <v>11301</v>
      </c>
    </row>
    <row r="666" spans="1:2" x14ac:dyDescent="0.25">
      <c r="A666" s="1917" t="s">
        <v>10302</v>
      </c>
      <c r="B666" s="1917" t="s">
        <v>11302</v>
      </c>
    </row>
    <row r="667" spans="1:2" ht="30" x14ac:dyDescent="0.25">
      <c r="A667" s="1917" t="s">
        <v>10303</v>
      </c>
      <c r="B667" s="1917" t="s">
        <v>11303</v>
      </c>
    </row>
    <row r="668" spans="1:2" ht="30" x14ac:dyDescent="0.25">
      <c r="A668" s="1917" t="s">
        <v>10304</v>
      </c>
      <c r="B668" s="1917" t="s">
        <v>11304</v>
      </c>
    </row>
    <row r="669" spans="1:2" ht="30" x14ac:dyDescent="0.25">
      <c r="A669" s="1917" t="s">
        <v>10305</v>
      </c>
      <c r="B669" s="1917" t="s">
        <v>11305</v>
      </c>
    </row>
    <row r="670" spans="1:2" ht="30" x14ac:dyDescent="0.25">
      <c r="A670" s="1917" t="s">
        <v>10306</v>
      </c>
      <c r="B670" s="1917" t="s">
        <v>11306</v>
      </c>
    </row>
    <row r="671" spans="1:2" ht="30" x14ac:dyDescent="0.25">
      <c r="A671" s="1917" t="s">
        <v>10307</v>
      </c>
      <c r="B671" s="1917" t="s">
        <v>11307</v>
      </c>
    </row>
    <row r="672" spans="1:2" x14ac:dyDescent="0.25">
      <c r="A672" s="1917" t="s">
        <v>10308</v>
      </c>
      <c r="B672" s="1917" t="s">
        <v>11308</v>
      </c>
    </row>
    <row r="673" spans="1:2" x14ac:dyDescent="0.25">
      <c r="A673" s="1917" t="s">
        <v>10309</v>
      </c>
      <c r="B673" s="1917" t="s">
        <v>11309</v>
      </c>
    </row>
    <row r="674" spans="1:2" x14ac:dyDescent="0.25">
      <c r="A674" s="1917" t="s">
        <v>10310</v>
      </c>
      <c r="B674" s="1917" t="s">
        <v>11310</v>
      </c>
    </row>
    <row r="675" spans="1:2" x14ac:dyDescent="0.25">
      <c r="A675" s="1917" t="s">
        <v>10311</v>
      </c>
      <c r="B675" s="1917" t="s">
        <v>11311</v>
      </c>
    </row>
    <row r="676" spans="1:2" ht="30" x14ac:dyDescent="0.25">
      <c r="A676" s="1917" t="s">
        <v>10312</v>
      </c>
      <c r="B676" s="1917" t="s">
        <v>11312</v>
      </c>
    </row>
    <row r="677" spans="1:2" ht="30" x14ac:dyDescent="0.25">
      <c r="A677" s="1917" t="s">
        <v>12258</v>
      </c>
      <c r="B677" s="1917" t="s">
        <v>12257</v>
      </c>
    </row>
    <row r="678" spans="1:2" x14ac:dyDescent="0.25">
      <c r="A678" s="1917" t="s">
        <v>12256</v>
      </c>
      <c r="B678" s="1917" t="s">
        <v>12255</v>
      </c>
    </row>
    <row r="679" spans="1:2" x14ac:dyDescent="0.25">
      <c r="A679" s="1917" t="s">
        <v>12254</v>
      </c>
      <c r="B679" s="1917" t="s">
        <v>12253</v>
      </c>
    </row>
    <row r="680" spans="1:2" x14ac:dyDescent="0.25">
      <c r="A680" s="1917" t="s">
        <v>10314</v>
      </c>
      <c r="B680" s="1917" t="s">
        <v>11314</v>
      </c>
    </row>
    <row r="681" spans="1:2" x14ac:dyDescent="0.25">
      <c r="A681" s="1917" t="s">
        <v>10315</v>
      </c>
      <c r="B681" s="1917" t="s">
        <v>11315</v>
      </c>
    </row>
    <row r="682" spans="1:2" ht="30" x14ac:dyDescent="0.25">
      <c r="A682" s="1917" t="s">
        <v>12252</v>
      </c>
      <c r="B682" s="1917" t="s">
        <v>12251</v>
      </c>
    </row>
    <row r="683" spans="1:2" ht="30" x14ac:dyDescent="0.25">
      <c r="A683" s="1917" t="s">
        <v>10316</v>
      </c>
      <c r="B683" s="1917" t="s">
        <v>11316</v>
      </c>
    </row>
    <row r="684" spans="1:2" ht="30" x14ac:dyDescent="0.25">
      <c r="A684" s="1917" t="s">
        <v>10317</v>
      </c>
      <c r="B684" s="1917" t="s">
        <v>11317</v>
      </c>
    </row>
    <row r="685" spans="1:2" ht="30" x14ac:dyDescent="0.25">
      <c r="A685" s="1917" t="s">
        <v>10318</v>
      </c>
      <c r="B685" s="1917" t="s">
        <v>11318</v>
      </c>
    </row>
    <row r="686" spans="1:2" ht="30" x14ac:dyDescent="0.25">
      <c r="A686" s="1917" t="s">
        <v>10319</v>
      </c>
      <c r="B686" s="1917" t="s">
        <v>11319</v>
      </c>
    </row>
    <row r="687" spans="1:2" ht="30" x14ac:dyDescent="0.25">
      <c r="A687" s="1917" t="s">
        <v>10320</v>
      </c>
      <c r="B687" s="1917" t="s">
        <v>11320</v>
      </c>
    </row>
    <row r="688" spans="1:2" ht="30" x14ac:dyDescent="0.25">
      <c r="A688" s="1917" t="s">
        <v>10321</v>
      </c>
      <c r="B688" s="1917" t="s">
        <v>11321</v>
      </c>
    </row>
    <row r="689" spans="1:2" ht="30" x14ac:dyDescent="0.25">
      <c r="A689" s="1917" t="s">
        <v>10322</v>
      </c>
      <c r="B689" s="1917" t="s">
        <v>11322</v>
      </c>
    </row>
    <row r="690" spans="1:2" ht="30" x14ac:dyDescent="0.25">
      <c r="A690" s="1917" t="s">
        <v>10323</v>
      </c>
      <c r="B690" s="1917" t="s">
        <v>11323</v>
      </c>
    </row>
    <row r="691" spans="1:2" ht="30" x14ac:dyDescent="0.25">
      <c r="A691" s="1917" t="s">
        <v>10324</v>
      </c>
      <c r="B691" s="1917" t="s">
        <v>11324</v>
      </c>
    </row>
    <row r="692" spans="1:2" ht="30" x14ac:dyDescent="0.25">
      <c r="A692" s="1917" t="s">
        <v>10325</v>
      </c>
      <c r="B692" s="1917" t="s">
        <v>11325</v>
      </c>
    </row>
    <row r="693" spans="1:2" ht="30" x14ac:dyDescent="0.25">
      <c r="A693" s="1917" t="s">
        <v>10326</v>
      </c>
      <c r="B693" s="1917" t="s">
        <v>11326</v>
      </c>
    </row>
    <row r="694" spans="1:2" ht="30" x14ac:dyDescent="0.25">
      <c r="A694" s="1917" t="s">
        <v>10327</v>
      </c>
      <c r="B694" s="1917" t="s">
        <v>11327</v>
      </c>
    </row>
    <row r="695" spans="1:2" ht="30" x14ac:dyDescent="0.25">
      <c r="A695" s="1917" t="s">
        <v>10328</v>
      </c>
      <c r="B695" s="1917" t="s">
        <v>11328</v>
      </c>
    </row>
    <row r="696" spans="1:2" ht="30" x14ac:dyDescent="0.25">
      <c r="A696" s="1917" t="s">
        <v>10329</v>
      </c>
      <c r="B696" s="1917" t="s">
        <v>11329</v>
      </c>
    </row>
    <row r="697" spans="1:2" ht="30" x14ac:dyDescent="0.25">
      <c r="A697" s="1917" t="s">
        <v>10330</v>
      </c>
      <c r="B697" s="1917" t="s">
        <v>11330</v>
      </c>
    </row>
    <row r="698" spans="1:2" ht="30" x14ac:dyDescent="0.25">
      <c r="A698" s="1917" t="s">
        <v>10331</v>
      </c>
      <c r="B698" s="1917" t="s">
        <v>11331</v>
      </c>
    </row>
    <row r="699" spans="1:2" ht="30" x14ac:dyDescent="0.25">
      <c r="A699" s="1917" t="s">
        <v>10332</v>
      </c>
      <c r="B699" s="1917" t="s">
        <v>11332</v>
      </c>
    </row>
    <row r="700" spans="1:2" ht="30" x14ac:dyDescent="0.25">
      <c r="A700" s="1917" t="s">
        <v>10333</v>
      </c>
      <c r="B700" s="1917" t="s">
        <v>11333</v>
      </c>
    </row>
    <row r="701" spans="1:2" ht="30" x14ac:dyDescent="0.25">
      <c r="A701" s="1917" t="s">
        <v>10334</v>
      </c>
      <c r="B701" s="1917" t="s">
        <v>11334</v>
      </c>
    </row>
    <row r="702" spans="1:2" ht="30" x14ac:dyDescent="0.25">
      <c r="A702" s="1917" t="s">
        <v>10335</v>
      </c>
      <c r="B702" s="1917" t="s">
        <v>11335</v>
      </c>
    </row>
    <row r="703" spans="1:2" ht="30" x14ac:dyDescent="0.25">
      <c r="A703" s="1917" t="s">
        <v>10336</v>
      </c>
      <c r="B703" s="1917" t="s">
        <v>11336</v>
      </c>
    </row>
    <row r="704" spans="1:2" ht="30" x14ac:dyDescent="0.25">
      <c r="A704" s="1917" t="s">
        <v>10337</v>
      </c>
      <c r="B704" s="1917" t="s">
        <v>11337</v>
      </c>
    </row>
    <row r="705" spans="1:2" ht="30" x14ac:dyDescent="0.25">
      <c r="A705" s="1917" t="s">
        <v>10338</v>
      </c>
      <c r="B705" s="1917" t="s">
        <v>11338</v>
      </c>
    </row>
    <row r="706" spans="1:2" ht="30" x14ac:dyDescent="0.25">
      <c r="A706" s="1917" t="s">
        <v>10339</v>
      </c>
      <c r="B706" s="1917" t="s">
        <v>11339</v>
      </c>
    </row>
    <row r="707" spans="1:2" ht="30" x14ac:dyDescent="0.25">
      <c r="A707" s="1917" t="s">
        <v>10340</v>
      </c>
      <c r="B707" s="1917" t="s">
        <v>11340</v>
      </c>
    </row>
    <row r="708" spans="1:2" ht="30" x14ac:dyDescent="0.25">
      <c r="A708" s="1917" t="s">
        <v>10341</v>
      </c>
      <c r="B708" s="1917" t="s">
        <v>11341</v>
      </c>
    </row>
    <row r="709" spans="1:2" ht="30" x14ac:dyDescent="0.25">
      <c r="A709" s="1917" t="s">
        <v>10342</v>
      </c>
      <c r="B709" s="1917" t="s">
        <v>11342</v>
      </c>
    </row>
    <row r="710" spans="1:2" ht="30" x14ac:dyDescent="0.25">
      <c r="A710" s="1917" t="s">
        <v>10343</v>
      </c>
      <c r="B710" s="1917" t="s">
        <v>11343</v>
      </c>
    </row>
    <row r="711" spans="1:2" ht="30" x14ac:dyDescent="0.25">
      <c r="A711" s="1917" t="s">
        <v>10344</v>
      </c>
      <c r="B711" s="1917" t="s">
        <v>11344</v>
      </c>
    </row>
    <row r="712" spans="1:2" ht="30" x14ac:dyDescent="0.25">
      <c r="A712" s="1917" t="s">
        <v>10345</v>
      </c>
      <c r="B712" s="1917" t="s">
        <v>11345</v>
      </c>
    </row>
    <row r="713" spans="1:2" ht="30" x14ac:dyDescent="0.25">
      <c r="A713" s="1917" t="s">
        <v>10346</v>
      </c>
      <c r="B713" s="1917" t="s">
        <v>11346</v>
      </c>
    </row>
    <row r="714" spans="1:2" ht="30" x14ac:dyDescent="0.25">
      <c r="A714" s="1917" t="s">
        <v>10347</v>
      </c>
      <c r="B714" s="1917" t="s">
        <v>11347</v>
      </c>
    </row>
    <row r="715" spans="1:2" ht="30" x14ac:dyDescent="0.25">
      <c r="A715" s="1917" t="s">
        <v>10348</v>
      </c>
      <c r="B715" s="1917" t="s">
        <v>11348</v>
      </c>
    </row>
    <row r="716" spans="1:2" ht="30" x14ac:dyDescent="0.25">
      <c r="A716" s="1917" t="s">
        <v>10349</v>
      </c>
      <c r="B716" s="1917" t="s">
        <v>11349</v>
      </c>
    </row>
    <row r="717" spans="1:2" ht="30" x14ac:dyDescent="0.25">
      <c r="A717" s="1917" t="s">
        <v>10350</v>
      </c>
      <c r="B717" s="1917" t="s">
        <v>11350</v>
      </c>
    </row>
    <row r="718" spans="1:2" ht="30" x14ac:dyDescent="0.25">
      <c r="A718" s="1917" t="s">
        <v>10351</v>
      </c>
      <c r="B718" s="1917" t="s">
        <v>11351</v>
      </c>
    </row>
    <row r="719" spans="1:2" ht="30" x14ac:dyDescent="0.25">
      <c r="A719" s="1917" t="s">
        <v>10352</v>
      </c>
      <c r="B719" s="1917" t="s">
        <v>11352</v>
      </c>
    </row>
    <row r="720" spans="1:2" ht="30" x14ac:dyDescent="0.25">
      <c r="A720" s="1917" t="s">
        <v>10353</v>
      </c>
      <c r="B720" s="1917" t="s">
        <v>11353</v>
      </c>
    </row>
    <row r="721" spans="1:2" ht="30" x14ac:dyDescent="0.25">
      <c r="A721" s="1917" t="s">
        <v>10354</v>
      </c>
      <c r="B721" s="1917" t="s">
        <v>11354</v>
      </c>
    </row>
    <row r="722" spans="1:2" ht="30" x14ac:dyDescent="0.25">
      <c r="A722" s="1917" t="s">
        <v>10355</v>
      </c>
      <c r="B722" s="1917" t="s">
        <v>11355</v>
      </c>
    </row>
    <row r="723" spans="1:2" ht="30" x14ac:dyDescent="0.25">
      <c r="A723" s="1917" t="s">
        <v>10356</v>
      </c>
      <c r="B723" s="1917" t="s">
        <v>11356</v>
      </c>
    </row>
    <row r="724" spans="1:2" x14ac:dyDescent="0.25">
      <c r="A724" s="1917" t="s">
        <v>10357</v>
      </c>
      <c r="B724" s="1917" t="s">
        <v>11357</v>
      </c>
    </row>
    <row r="725" spans="1:2" ht="30" x14ac:dyDescent="0.25">
      <c r="A725" s="1917" t="s">
        <v>10358</v>
      </c>
      <c r="B725" s="1917" t="s">
        <v>11358</v>
      </c>
    </row>
    <row r="726" spans="1:2" ht="30" x14ac:dyDescent="0.25">
      <c r="A726" s="1917" t="s">
        <v>10359</v>
      </c>
      <c r="B726" s="1917" t="s">
        <v>11359</v>
      </c>
    </row>
    <row r="727" spans="1:2" ht="30" x14ac:dyDescent="0.25">
      <c r="A727" s="1917" t="s">
        <v>10360</v>
      </c>
      <c r="B727" s="1917" t="s">
        <v>11360</v>
      </c>
    </row>
    <row r="728" spans="1:2" ht="30" x14ac:dyDescent="0.25">
      <c r="A728" s="1917" t="s">
        <v>10361</v>
      </c>
      <c r="B728" s="1917" t="s">
        <v>11361</v>
      </c>
    </row>
    <row r="729" spans="1:2" ht="30" x14ac:dyDescent="0.25">
      <c r="A729" s="1917" t="s">
        <v>10362</v>
      </c>
      <c r="B729" s="1917" t="s">
        <v>11362</v>
      </c>
    </row>
    <row r="730" spans="1:2" x14ac:dyDescent="0.25">
      <c r="A730" s="1917" t="s">
        <v>10363</v>
      </c>
      <c r="B730" s="1917" t="s">
        <v>11363</v>
      </c>
    </row>
    <row r="731" spans="1:2" ht="30" x14ac:dyDescent="0.25">
      <c r="A731" s="1917" t="s">
        <v>10364</v>
      </c>
      <c r="B731" s="1917" t="s">
        <v>11364</v>
      </c>
    </row>
    <row r="732" spans="1:2" x14ac:dyDescent="0.25">
      <c r="A732" s="1917" t="s">
        <v>10365</v>
      </c>
      <c r="B732" s="1917" t="s">
        <v>11365</v>
      </c>
    </row>
    <row r="733" spans="1:2" x14ac:dyDescent="0.25">
      <c r="A733" s="1917" t="s">
        <v>10366</v>
      </c>
      <c r="B733" s="1917" t="s">
        <v>11366</v>
      </c>
    </row>
    <row r="734" spans="1:2" x14ac:dyDescent="0.25">
      <c r="A734" s="1917" t="s">
        <v>10367</v>
      </c>
      <c r="B734" s="1917" t="s">
        <v>11367</v>
      </c>
    </row>
    <row r="735" spans="1:2" x14ac:dyDescent="0.25">
      <c r="A735" s="1917" t="s">
        <v>10368</v>
      </c>
      <c r="B735" s="1917" t="s">
        <v>11368</v>
      </c>
    </row>
    <row r="736" spans="1:2" x14ac:dyDescent="0.25">
      <c r="A736" s="1917" t="s">
        <v>10369</v>
      </c>
      <c r="B736" s="1917" t="s">
        <v>11369</v>
      </c>
    </row>
    <row r="737" spans="1:2" x14ac:dyDescent="0.25">
      <c r="A737" s="1917" t="s">
        <v>10370</v>
      </c>
      <c r="B737" s="1917" t="s">
        <v>11370</v>
      </c>
    </row>
    <row r="738" spans="1:2" x14ac:dyDescent="0.25">
      <c r="A738" s="1917" t="s">
        <v>10371</v>
      </c>
      <c r="B738" s="1917" t="s">
        <v>11371</v>
      </c>
    </row>
    <row r="739" spans="1:2" x14ac:dyDescent="0.25">
      <c r="A739" s="1917" t="s">
        <v>10372</v>
      </c>
      <c r="B739" s="1917" t="s">
        <v>11372</v>
      </c>
    </row>
    <row r="740" spans="1:2" x14ac:dyDescent="0.25">
      <c r="A740" s="1917" t="s">
        <v>10373</v>
      </c>
      <c r="B740" s="1917" t="s">
        <v>11373</v>
      </c>
    </row>
    <row r="741" spans="1:2" x14ac:dyDescent="0.25">
      <c r="A741" s="1917" t="s">
        <v>10374</v>
      </c>
      <c r="B741" s="1917" t="s">
        <v>11374</v>
      </c>
    </row>
    <row r="742" spans="1:2" x14ac:dyDescent="0.25">
      <c r="A742" s="1917" t="s">
        <v>10375</v>
      </c>
      <c r="B742" s="1917" t="s">
        <v>11375</v>
      </c>
    </row>
    <row r="743" spans="1:2" x14ac:dyDescent="0.25">
      <c r="A743" s="1917" t="s">
        <v>10376</v>
      </c>
      <c r="B743" s="1917" t="s">
        <v>11376</v>
      </c>
    </row>
    <row r="744" spans="1:2" x14ac:dyDescent="0.25">
      <c r="A744" s="1917" t="s">
        <v>10377</v>
      </c>
      <c r="B744" s="1917" t="s">
        <v>11377</v>
      </c>
    </row>
    <row r="745" spans="1:2" x14ac:dyDescent="0.25">
      <c r="A745" s="1917" t="s">
        <v>10378</v>
      </c>
      <c r="B745" s="1917" t="s">
        <v>11378</v>
      </c>
    </row>
    <row r="746" spans="1:2" x14ac:dyDescent="0.25">
      <c r="A746" s="1917" t="s">
        <v>10379</v>
      </c>
      <c r="B746" s="1917" t="s">
        <v>11379</v>
      </c>
    </row>
    <row r="747" spans="1:2" ht="30" x14ac:dyDescent="0.25">
      <c r="A747" s="1917" t="s">
        <v>10380</v>
      </c>
      <c r="B747" s="1917" t="s">
        <v>11380</v>
      </c>
    </row>
    <row r="748" spans="1:2" ht="30" x14ac:dyDescent="0.25">
      <c r="A748" s="1917" t="s">
        <v>10381</v>
      </c>
      <c r="B748" s="1917" t="s">
        <v>11381</v>
      </c>
    </row>
    <row r="749" spans="1:2" ht="30" x14ac:dyDescent="0.25">
      <c r="A749" s="1917" t="s">
        <v>10382</v>
      </c>
      <c r="B749" s="1917" t="s">
        <v>11382</v>
      </c>
    </row>
    <row r="750" spans="1:2" ht="30" x14ac:dyDescent="0.25">
      <c r="A750" s="1917" t="s">
        <v>10383</v>
      </c>
      <c r="B750" s="1917" t="s">
        <v>11383</v>
      </c>
    </row>
    <row r="751" spans="1:2" ht="30" x14ac:dyDescent="0.25">
      <c r="A751" s="1917" t="s">
        <v>10384</v>
      </c>
      <c r="B751" s="1917" t="s">
        <v>11384</v>
      </c>
    </row>
    <row r="752" spans="1:2" ht="30" x14ac:dyDescent="0.25">
      <c r="A752" s="1917" t="s">
        <v>10385</v>
      </c>
      <c r="B752" s="1917" t="s">
        <v>11385</v>
      </c>
    </row>
    <row r="753" spans="1:2" x14ac:dyDescent="0.25">
      <c r="A753" s="1917" t="s">
        <v>12250</v>
      </c>
      <c r="B753" s="1917" t="s">
        <v>12249</v>
      </c>
    </row>
    <row r="754" spans="1:2" ht="30" x14ac:dyDescent="0.25">
      <c r="A754" s="1917" t="s">
        <v>12248</v>
      </c>
      <c r="B754" s="1917" t="s">
        <v>12247</v>
      </c>
    </row>
    <row r="755" spans="1:2" ht="30" x14ac:dyDescent="0.25">
      <c r="A755" s="1917" t="s">
        <v>12246</v>
      </c>
      <c r="B755" s="1917" t="s">
        <v>12245</v>
      </c>
    </row>
    <row r="756" spans="1:2" ht="30" x14ac:dyDescent="0.25">
      <c r="A756" s="1917" t="s">
        <v>12244</v>
      </c>
      <c r="B756" s="1917" t="s">
        <v>12243</v>
      </c>
    </row>
    <row r="757" spans="1:2" ht="30" x14ac:dyDescent="0.25">
      <c r="A757" s="1917" t="s">
        <v>12242</v>
      </c>
      <c r="B757" s="1917" t="s">
        <v>12241</v>
      </c>
    </row>
    <row r="758" spans="1:2" ht="30" x14ac:dyDescent="0.25">
      <c r="A758" s="1917" t="s">
        <v>12240</v>
      </c>
      <c r="B758" s="1917" t="s">
        <v>12239</v>
      </c>
    </row>
    <row r="759" spans="1:2" ht="30" x14ac:dyDescent="0.25">
      <c r="A759" s="1917" t="s">
        <v>12238</v>
      </c>
      <c r="B759" s="1917" t="s">
        <v>12237</v>
      </c>
    </row>
    <row r="760" spans="1:2" x14ac:dyDescent="0.25">
      <c r="A760" s="1917" t="s">
        <v>12236</v>
      </c>
      <c r="B760" s="1917" t="s">
        <v>12235</v>
      </c>
    </row>
    <row r="761" spans="1:2" x14ac:dyDescent="0.25">
      <c r="A761" s="1917" t="s">
        <v>12234</v>
      </c>
      <c r="B761" s="1917" t="s">
        <v>12233</v>
      </c>
    </row>
    <row r="762" spans="1:2" x14ac:dyDescent="0.25">
      <c r="A762" s="1917" t="s">
        <v>10387</v>
      </c>
      <c r="B762" s="1917" t="s">
        <v>11387</v>
      </c>
    </row>
    <row r="763" spans="1:2" x14ac:dyDescent="0.25">
      <c r="A763" s="1917" t="s">
        <v>10388</v>
      </c>
      <c r="B763" s="1917" t="s">
        <v>11388</v>
      </c>
    </row>
    <row r="764" spans="1:2" x14ac:dyDescent="0.25">
      <c r="A764" s="1917" t="s">
        <v>10389</v>
      </c>
      <c r="B764" s="1917" t="s">
        <v>11389</v>
      </c>
    </row>
    <row r="765" spans="1:2" x14ac:dyDescent="0.25">
      <c r="A765" s="1917" t="s">
        <v>10390</v>
      </c>
      <c r="B765" s="1917" t="s">
        <v>11390</v>
      </c>
    </row>
    <row r="766" spans="1:2" ht="30" x14ac:dyDescent="0.25">
      <c r="A766" s="1917" t="s">
        <v>12232</v>
      </c>
      <c r="B766" s="1917" t="s">
        <v>12231</v>
      </c>
    </row>
    <row r="767" spans="1:2" x14ac:dyDescent="0.25">
      <c r="A767" s="1917" t="s">
        <v>10391</v>
      </c>
      <c r="B767" s="1917" t="s">
        <v>11391</v>
      </c>
    </row>
    <row r="768" spans="1:2" x14ac:dyDescent="0.25">
      <c r="A768" s="1917" t="s">
        <v>10392</v>
      </c>
      <c r="B768" s="1917" t="s">
        <v>11392</v>
      </c>
    </row>
    <row r="769" spans="1:2" ht="30" x14ac:dyDescent="0.25">
      <c r="A769" s="1917" t="s">
        <v>10393</v>
      </c>
      <c r="B769" s="1917" t="s">
        <v>11393</v>
      </c>
    </row>
    <row r="770" spans="1:2" ht="30" x14ac:dyDescent="0.25">
      <c r="A770" s="1917" t="s">
        <v>10394</v>
      </c>
      <c r="B770" s="1917" t="s">
        <v>11394</v>
      </c>
    </row>
    <row r="771" spans="1:2" ht="30" x14ac:dyDescent="0.25">
      <c r="A771" s="1917" t="s">
        <v>10395</v>
      </c>
      <c r="B771" s="1917" t="s">
        <v>11395</v>
      </c>
    </row>
    <row r="772" spans="1:2" ht="30" x14ac:dyDescent="0.25">
      <c r="A772" s="1917" t="s">
        <v>10396</v>
      </c>
      <c r="B772" s="1917" t="s">
        <v>11396</v>
      </c>
    </row>
    <row r="773" spans="1:2" ht="30" x14ac:dyDescent="0.25">
      <c r="A773" s="1917" t="s">
        <v>10397</v>
      </c>
      <c r="B773" s="1917" t="s">
        <v>11397</v>
      </c>
    </row>
    <row r="774" spans="1:2" ht="30" x14ac:dyDescent="0.25">
      <c r="A774" s="1917" t="s">
        <v>10398</v>
      </c>
      <c r="B774" s="1917" t="s">
        <v>11398</v>
      </c>
    </row>
    <row r="775" spans="1:2" ht="30" x14ac:dyDescent="0.25">
      <c r="A775" s="1917" t="s">
        <v>10399</v>
      </c>
      <c r="B775" s="1917" t="s">
        <v>11399</v>
      </c>
    </row>
    <row r="776" spans="1:2" ht="30" x14ac:dyDescent="0.25">
      <c r="A776" s="1917" t="s">
        <v>10400</v>
      </c>
      <c r="B776" s="1917" t="s">
        <v>11400</v>
      </c>
    </row>
    <row r="777" spans="1:2" ht="30" x14ac:dyDescent="0.25">
      <c r="A777" s="1917" t="s">
        <v>10401</v>
      </c>
      <c r="B777" s="1917" t="s">
        <v>11401</v>
      </c>
    </row>
    <row r="778" spans="1:2" ht="30" x14ac:dyDescent="0.25">
      <c r="A778" s="1917" t="s">
        <v>10402</v>
      </c>
      <c r="B778" s="1917" t="s">
        <v>11402</v>
      </c>
    </row>
    <row r="779" spans="1:2" ht="30" x14ac:dyDescent="0.25">
      <c r="A779" s="1917" t="s">
        <v>10403</v>
      </c>
      <c r="B779" s="1917" t="s">
        <v>11403</v>
      </c>
    </row>
    <row r="780" spans="1:2" ht="30" x14ac:dyDescent="0.25">
      <c r="A780" s="1917" t="s">
        <v>10404</v>
      </c>
      <c r="B780" s="1917" t="s">
        <v>11404</v>
      </c>
    </row>
    <row r="781" spans="1:2" ht="30" x14ac:dyDescent="0.25">
      <c r="A781" s="1917" t="s">
        <v>10405</v>
      </c>
      <c r="B781" s="1917" t="s">
        <v>11405</v>
      </c>
    </row>
    <row r="782" spans="1:2" ht="30" x14ac:dyDescent="0.25">
      <c r="A782" s="1917" t="s">
        <v>10406</v>
      </c>
      <c r="B782" s="1917" t="s">
        <v>11406</v>
      </c>
    </row>
    <row r="783" spans="1:2" ht="30" x14ac:dyDescent="0.25">
      <c r="A783" s="1917" t="s">
        <v>10407</v>
      </c>
      <c r="B783" s="1917" t="s">
        <v>11407</v>
      </c>
    </row>
    <row r="784" spans="1:2" ht="30" x14ac:dyDescent="0.25">
      <c r="A784" s="1917" t="s">
        <v>10408</v>
      </c>
      <c r="B784" s="1917" t="s">
        <v>11408</v>
      </c>
    </row>
    <row r="785" spans="1:2" ht="30" x14ac:dyDescent="0.25">
      <c r="A785" s="1917" t="s">
        <v>10409</v>
      </c>
      <c r="B785" s="1917" t="s">
        <v>11409</v>
      </c>
    </row>
    <row r="786" spans="1:2" ht="30" x14ac:dyDescent="0.25">
      <c r="A786" s="1917" t="s">
        <v>10410</v>
      </c>
      <c r="B786" s="1917" t="s">
        <v>11410</v>
      </c>
    </row>
    <row r="787" spans="1:2" ht="30" x14ac:dyDescent="0.25">
      <c r="A787" s="1917" t="s">
        <v>10411</v>
      </c>
      <c r="B787" s="1917" t="s">
        <v>11411</v>
      </c>
    </row>
    <row r="788" spans="1:2" ht="30" x14ac:dyDescent="0.25">
      <c r="A788" s="1917" t="s">
        <v>10412</v>
      </c>
      <c r="B788" s="1917" t="s">
        <v>11412</v>
      </c>
    </row>
    <row r="789" spans="1:2" ht="30" x14ac:dyDescent="0.25">
      <c r="A789" s="1917" t="s">
        <v>10413</v>
      </c>
      <c r="B789" s="1917" t="s">
        <v>11413</v>
      </c>
    </row>
    <row r="790" spans="1:2" ht="30" x14ac:dyDescent="0.25">
      <c r="A790" s="1917" t="s">
        <v>10414</v>
      </c>
      <c r="B790" s="1917" t="s">
        <v>11414</v>
      </c>
    </row>
    <row r="791" spans="1:2" x14ac:dyDescent="0.25">
      <c r="A791" s="1917" t="s">
        <v>10415</v>
      </c>
      <c r="B791" s="1917" t="s">
        <v>11415</v>
      </c>
    </row>
    <row r="792" spans="1:2" x14ac:dyDescent="0.25">
      <c r="A792" s="1917" t="s">
        <v>12230</v>
      </c>
      <c r="B792" s="1917" t="s">
        <v>12229</v>
      </c>
    </row>
    <row r="793" spans="1:2" x14ac:dyDescent="0.25">
      <c r="A793" s="1917" t="s">
        <v>12228</v>
      </c>
      <c r="B793" s="1917" t="s">
        <v>12227</v>
      </c>
    </row>
    <row r="794" spans="1:2" x14ac:dyDescent="0.25">
      <c r="A794" s="1917" t="s">
        <v>12226</v>
      </c>
      <c r="B794" s="1917" t="s">
        <v>12225</v>
      </c>
    </row>
    <row r="795" spans="1:2" x14ac:dyDescent="0.25">
      <c r="A795" s="1917" t="s">
        <v>12224</v>
      </c>
      <c r="B795" s="1917" t="s">
        <v>12223</v>
      </c>
    </row>
    <row r="796" spans="1:2" x14ac:dyDescent="0.25">
      <c r="A796" s="1917" t="s">
        <v>12222</v>
      </c>
      <c r="B796" s="1917" t="s">
        <v>12221</v>
      </c>
    </row>
    <row r="797" spans="1:2" x14ac:dyDescent="0.25">
      <c r="A797" s="1917" t="s">
        <v>12220</v>
      </c>
      <c r="B797" s="1917" t="s">
        <v>12219</v>
      </c>
    </row>
    <row r="798" spans="1:2" x14ac:dyDescent="0.25">
      <c r="A798" s="1917" t="s">
        <v>10416</v>
      </c>
      <c r="B798" s="1917" t="s">
        <v>11416</v>
      </c>
    </row>
    <row r="799" spans="1:2" ht="30" x14ac:dyDescent="0.25">
      <c r="A799" s="1917" t="s">
        <v>10417</v>
      </c>
      <c r="B799" s="1917" t="s">
        <v>11417</v>
      </c>
    </row>
    <row r="800" spans="1:2" ht="30" x14ac:dyDescent="0.25">
      <c r="A800" s="1917" t="s">
        <v>10418</v>
      </c>
      <c r="B800" s="1917" t="s">
        <v>11418</v>
      </c>
    </row>
    <row r="801" spans="1:2" ht="30" x14ac:dyDescent="0.25">
      <c r="A801" s="1917" t="s">
        <v>10419</v>
      </c>
      <c r="B801" s="1917" t="s">
        <v>11419</v>
      </c>
    </row>
    <row r="802" spans="1:2" ht="30" x14ac:dyDescent="0.25">
      <c r="A802" s="1917" t="s">
        <v>10420</v>
      </c>
      <c r="B802" s="1917" t="s">
        <v>11420</v>
      </c>
    </row>
    <row r="803" spans="1:2" ht="30" x14ac:dyDescent="0.25">
      <c r="A803" s="1917" t="s">
        <v>10421</v>
      </c>
      <c r="B803" s="1917" t="s">
        <v>11421</v>
      </c>
    </row>
    <row r="804" spans="1:2" ht="30" x14ac:dyDescent="0.25">
      <c r="A804" s="1917" t="s">
        <v>10422</v>
      </c>
      <c r="B804" s="1917" t="s">
        <v>11422</v>
      </c>
    </row>
    <row r="805" spans="1:2" ht="30" x14ac:dyDescent="0.25">
      <c r="A805" s="1917" t="s">
        <v>10423</v>
      </c>
      <c r="B805" s="1917" t="s">
        <v>11423</v>
      </c>
    </row>
    <row r="806" spans="1:2" ht="30" x14ac:dyDescent="0.25">
      <c r="A806" s="1917" t="s">
        <v>10424</v>
      </c>
      <c r="B806" s="1917" t="s">
        <v>11424</v>
      </c>
    </row>
    <row r="807" spans="1:2" ht="30" x14ac:dyDescent="0.25">
      <c r="A807" s="1917" t="s">
        <v>10425</v>
      </c>
      <c r="B807" s="1917" t="s">
        <v>11425</v>
      </c>
    </row>
    <row r="808" spans="1:2" ht="30" x14ac:dyDescent="0.25">
      <c r="A808" s="1917" t="s">
        <v>10426</v>
      </c>
      <c r="B808" s="1917" t="s">
        <v>11426</v>
      </c>
    </row>
    <row r="809" spans="1:2" ht="30" x14ac:dyDescent="0.25">
      <c r="A809" s="1917" t="s">
        <v>10427</v>
      </c>
      <c r="B809" s="1917" t="s">
        <v>11427</v>
      </c>
    </row>
    <row r="810" spans="1:2" ht="30" x14ac:dyDescent="0.25">
      <c r="A810" s="1917" t="s">
        <v>10428</v>
      </c>
      <c r="B810" s="1917" t="s">
        <v>11428</v>
      </c>
    </row>
    <row r="811" spans="1:2" ht="30" x14ac:dyDescent="0.25">
      <c r="A811" s="1917" t="s">
        <v>10429</v>
      </c>
      <c r="B811" s="1917" t="s">
        <v>11429</v>
      </c>
    </row>
    <row r="812" spans="1:2" ht="30" x14ac:dyDescent="0.25">
      <c r="A812" s="1917" t="s">
        <v>10430</v>
      </c>
      <c r="B812" s="1917" t="s">
        <v>11430</v>
      </c>
    </row>
    <row r="813" spans="1:2" ht="30" x14ac:dyDescent="0.25">
      <c r="A813" s="1917" t="s">
        <v>10431</v>
      </c>
      <c r="B813" s="1917" t="s">
        <v>11431</v>
      </c>
    </row>
    <row r="814" spans="1:2" ht="30" x14ac:dyDescent="0.25">
      <c r="A814" s="1917" t="s">
        <v>12218</v>
      </c>
      <c r="B814" s="1917" t="s">
        <v>12217</v>
      </c>
    </row>
    <row r="815" spans="1:2" x14ac:dyDescent="0.25">
      <c r="A815" s="1917" t="s">
        <v>10434</v>
      </c>
      <c r="B815" s="1917" t="s">
        <v>11434</v>
      </c>
    </row>
    <row r="816" spans="1:2" x14ac:dyDescent="0.25">
      <c r="A816" s="1917" t="s">
        <v>10435</v>
      </c>
      <c r="B816" s="1917" t="s">
        <v>11435</v>
      </c>
    </row>
    <row r="817" spans="1:2" x14ac:dyDescent="0.25">
      <c r="A817" s="1917" t="s">
        <v>10436</v>
      </c>
      <c r="B817" s="1917" t="s">
        <v>12216</v>
      </c>
    </row>
    <row r="818" spans="1:2" x14ac:dyDescent="0.25">
      <c r="A818" s="1917" t="s">
        <v>10437</v>
      </c>
      <c r="B818" s="1917" t="s">
        <v>11437</v>
      </c>
    </row>
    <row r="819" spans="1:2" x14ac:dyDescent="0.25">
      <c r="A819" s="1917" t="s">
        <v>12215</v>
      </c>
      <c r="B819" s="1917" t="s">
        <v>12214</v>
      </c>
    </row>
    <row r="820" spans="1:2" ht="30" x14ac:dyDescent="0.25">
      <c r="A820" s="1917" t="s">
        <v>10438</v>
      </c>
      <c r="B820" s="1917" t="s">
        <v>11438</v>
      </c>
    </row>
    <row r="821" spans="1:2" ht="30" x14ac:dyDescent="0.25">
      <c r="A821" s="1917" t="s">
        <v>10439</v>
      </c>
      <c r="B821" s="1917" t="s">
        <v>11439</v>
      </c>
    </row>
    <row r="822" spans="1:2" ht="30" x14ac:dyDescent="0.25">
      <c r="A822" s="1917" t="s">
        <v>10440</v>
      </c>
      <c r="B822" s="1917" t="s">
        <v>11440</v>
      </c>
    </row>
    <row r="823" spans="1:2" ht="30" x14ac:dyDescent="0.25">
      <c r="A823" s="1917" t="s">
        <v>12213</v>
      </c>
      <c r="B823" s="1917" t="s">
        <v>12212</v>
      </c>
    </row>
    <row r="824" spans="1:2" x14ac:dyDescent="0.25">
      <c r="A824" s="1917" t="s">
        <v>12211</v>
      </c>
      <c r="B824" s="1917" t="s">
        <v>12210</v>
      </c>
    </row>
    <row r="825" spans="1:2" x14ac:dyDescent="0.25">
      <c r="A825" s="1917" t="s">
        <v>12209</v>
      </c>
      <c r="B825" s="1917" t="s">
        <v>12208</v>
      </c>
    </row>
    <row r="826" spans="1:2" x14ac:dyDescent="0.25">
      <c r="A826" s="1917" t="s">
        <v>12207</v>
      </c>
      <c r="B826" s="1917" t="s">
        <v>12206</v>
      </c>
    </row>
    <row r="827" spans="1:2" x14ac:dyDescent="0.25">
      <c r="A827" s="1917" t="s">
        <v>12205</v>
      </c>
      <c r="B827" s="1917" t="s">
        <v>12204</v>
      </c>
    </row>
    <row r="828" spans="1:2" x14ac:dyDescent="0.25">
      <c r="A828" s="1917" t="s">
        <v>10445</v>
      </c>
      <c r="B828" s="1917" t="s">
        <v>11445</v>
      </c>
    </row>
    <row r="829" spans="1:2" ht="30" x14ac:dyDescent="0.25">
      <c r="A829" s="1917" t="s">
        <v>12203</v>
      </c>
      <c r="B829" s="1917" t="s">
        <v>12202</v>
      </c>
    </row>
    <row r="830" spans="1:2" ht="30" x14ac:dyDescent="0.25">
      <c r="A830" s="1917" t="s">
        <v>12201</v>
      </c>
      <c r="B830" s="1917" t="s">
        <v>12200</v>
      </c>
    </row>
    <row r="831" spans="1:2" x14ac:dyDescent="0.25">
      <c r="A831" s="1917" t="s">
        <v>10446</v>
      </c>
      <c r="B831" s="1917" t="s">
        <v>11446</v>
      </c>
    </row>
    <row r="832" spans="1:2" x14ac:dyDescent="0.25">
      <c r="A832" s="1917" t="s">
        <v>12199</v>
      </c>
      <c r="B832" s="1917" t="s">
        <v>12198</v>
      </c>
    </row>
    <row r="833" spans="1:2" x14ac:dyDescent="0.25">
      <c r="A833" s="1917" t="s">
        <v>10447</v>
      </c>
      <c r="B833" s="1917" t="s">
        <v>11447</v>
      </c>
    </row>
    <row r="834" spans="1:2" x14ac:dyDescent="0.25">
      <c r="A834" s="1917" t="s">
        <v>10448</v>
      </c>
      <c r="B834" s="1917" t="s">
        <v>11448</v>
      </c>
    </row>
    <row r="835" spans="1:2" x14ac:dyDescent="0.25">
      <c r="A835" s="1917" t="s">
        <v>10449</v>
      </c>
      <c r="B835" s="1917" t="s">
        <v>11449</v>
      </c>
    </row>
    <row r="836" spans="1:2" x14ac:dyDescent="0.25">
      <c r="A836" s="1917" t="s">
        <v>10450</v>
      </c>
      <c r="B836" s="1917" t="s">
        <v>11450</v>
      </c>
    </row>
    <row r="837" spans="1:2" x14ac:dyDescent="0.25">
      <c r="A837" s="1917" t="s">
        <v>10451</v>
      </c>
      <c r="B837" s="1917" t="s">
        <v>11451</v>
      </c>
    </row>
    <row r="838" spans="1:2" x14ac:dyDescent="0.25">
      <c r="A838" s="1917" t="s">
        <v>10452</v>
      </c>
      <c r="B838" s="1917" t="s">
        <v>11452</v>
      </c>
    </row>
    <row r="839" spans="1:2" x14ac:dyDescent="0.25">
      <c r="A839" s="1917" t="s">
        <v>10453</v>
      </c>
      <c r="B839" s="1917" t="s">
        <v>11453</v>
      </c>
    </row>
    <row r="840" spans="1:2" x14ac:dyDescent="0.25">
      <c r="A840" s="1917" t="s">
        <v>10454</v>
      </c>
      <c r="B840" s="1917" t="s">
        <v>11454</v>
      </c>
    </row>
    <row r="841" spans="1:2" x14ac:dyDescent="0.25">
      <c r="A841" s="1917" t="s">
        <v>10455</v>
      </c>
      <c r="B841" s="1917" t="s">
        <v>11455</v>
      </c>
    </row>
    <row r="842" spans="1:2" ht="30" x14ac:dyDescent="0.25">
      <c r="A842" s="1917" t="s">
        <v>12197</v>
      </c>
      <c r="B842" s="1917" t="s">
        <v>12196</v>
      </c>
    </row>
    <row r="843" spans="1:2" x14ac:dyDescent="0.25">
      <c r="A843" s="1917" t="s">
        <v>10456</v>
      </c>
      <c r="B843" s="1917" t="s">
        <v>11456</v>
      </c>
    </row>
    <row r="844" spans="1:2" x14ac:dyDescent="0.25">
      <c r="A844" s="1917" t="s">
        <v>10457</v>
      </c>
      <c r="B844" s="1917" t="s">
        <v>11457</v>
      </c>
    </row>
    <row r="845" spans="1:2" ht="30" x14ac:dyDescent="0.25">
      <c r="A845" s="1917" t="s">
        <v>10458</v>
      </c>
      <c r="B845" s="1917" t="s">
        <v>11458</v>
      </c>
    </row>
    <row r="846" spans="1:2" x14ac:dyDescent="0.25">
      <c r="A846" s="1917" t="s">
        <v>10459</v>
      </c>
      <c r="B846" s="1917" t="s">
        <v>11459</v>
      </c>
    </row>
    <row r="847" spans="1:2" x14ac:dyDescent="0.25">
      <c r="A847" s="1917" t="s">
        <v>10460</v>
      </c>
      <c r="B847" s="1917" t="s">
        <v>11460</v>
      </c>
    </row>
    <row r="848" spans="1:2" ht="30" x14ac:dyDescent="0.25">
      <c r="A848" s="1917" t="s">
        <v>10461</v>
      </c>
      <c r="B848" s="1917" t="s">
        <v>11461</v>
      </c>
    </row>
    <row r="849" spans="1:2" x14ac:dyDescent="0.25">
      <c r="A849" s="1917" t="s">
        <v>10462</v>
      </c>
      <c r="B849" s="1917" t="s">
        <v>11462</v>
      </c>
    </row>
    <row r="850" spans="1:2" ht="30" x14ac:dyDescent="0.25">
      <c r="A850" s="1917" t="s">
        <v>10463</v>
      </c>
      <c r="B850" s="1917" t="s">
        <v>11463</v>
      </c>
    </row>
    <row r="851" spans="1:2" ht="30" x14ac:dyDescent="0.25">
      <c r="A851" s="1917" t="s">
        <v>10464</v>
      </c>
      <c r="B851" s="1917" t="s">
        <v>11464</v>
      </c>
    </row>
    <row r="852" spans="1:2" ht="30" x14ac:dyDescent="0.25">
      <c r="A852" s="1917" t="s">
        <v>12195</v>
      </c>
      <c r="B852" s="1917" t="s">
        <v>12194</v>
      </c>
    </row>
    <row r="853" spans="1:2" ht="30" x14ac:dyDescent="0.25">
      <c r="A853" s="1917" t="s">
        <v>12193</v>
      </c>
      <c r="B853" s="1917" t="s">
        <v>12192</v>
      </c>
    </row>
    <row r="854" spans="1:2" ht="30" x14ac:dyDescent="0.25">
      <c r="A854" s="1917" t="s">
        <v>12191</v>
      </c>
      <c r="B854" s="1917" t="s">
        <v>12190</v>
      </c>
    </row>
    <row r="855" spans="1:2" ht="30" x14ac:dyDescent="0.25">
      <c r="A855" s="1917" t="s">
        <v>12189</v>
      </c>
      <c r="B855" s="1917" t="s">
        <v>12188</v>
      </c>
    </row>
    <row r="856" spans="1:2" ht="30" x14ac:dyDescent="0.25">
      <c r="A856" s="1917" t="s">
        <v>10465</v>
      </c>
      <c r="B856" s="1917" t="s">
        <v>11465</v>
      </c>
    </row>
    <row r="857" spans="1:2" ht="30" x14ac:dyDescent="0.25">
      <c r="A857" s="1917" t="s">
        <v>10466</v>
      </c>
      <c r="B857" s="1917" t="s">
        <v>11466</v>
      </c>
    </row>
    <row r="858" spans="1:2" x14ac:dyDescent="0.25">
      <c r="A858" s="1917" t="s">
        <v>10467</v>
      </c>
      <c r="B858" s="1917" t="s">
        <v>11467</v>
      </c>
    </row>
    <row r="859" spans="1:2" x14ac:dyDescent="0.25">
      <c r="A859" s="1917" t="s">
        <v>10468</v>
      </c>
      <c r="B859" s="1917" t="s">
        <v>11468</v>
      </c>
    </row>
    <row r="860" spans="1:2" ht="30" x14ac:dyDescent="0.25">
      <c r="A860" s="1917" t="s">
        <v>10469</v>
      </c>
      <c r="B860" s="1917" t="s">
        <v>11469</v>
      </c>
    </row>
    <row r="861" spans="1:2" ht="30" x14ac:dyDescent="0.25">
      <c r="A861" s="1917" t="s">
        <v>10470</v>
      </c>
      <c r="B861" s="1917" t="s">
        <v>11470</v>
      </c>
    </row>
    <row r="862" spans="1:2" ht="30" x14ac:dyDescent="0.25">
      <c r="A862" s="1917" t="s">
        <v>10471</v>
      </c>
      <c r="B862" s="1917" t="s">
        <v>11471</v>
      </c>
    </row>
    <row r="863" spans="1:2" ht="30" x14ac:dyDescent="0.25">
      <c r="A863" s="1917" t="s">
        <v>10472</v>
      </c>
      <c r="B863" s="1917" t="s">
        <v>11472</v>
      </c>
    </row>
    <row r="864" spans="1:2" ht="30" x14ac:dyDescent="0.25">
      <c r="A864" s="1917" t="s">
        <v>10473</v>
      </c>
      <c r="B864" s="1917" t="s">
        <v>11473</v>
      </c>
    </row>
    <row r="865" spans="1:2" ht="30" x14ac:dyDescent="0.25">
      <c r="A865" s="1917" t="s">
        <v>10474</v>
      </c>
      <c r="B865" s="1917" t="s">
        <v>11474</v>
      </c>
    </row>
    <row r="866" spans="1:2" ht="30" x14ac:dyDescent="0.25">
      <c r="A866" s="1917" t="s">
        <v>10475</v>
      </c>
      <c r="B866" s="1917" t="s">
        <v>11475</v>
      </c>
    </row>
    <row r="867" spans="1:2" ht="30" x14ac:dyDescent="0.25">
      <c r="A867" s="1917" t="s">
        <v>10476</v>
      </c>
      <c r="B867" s="1917" t="s">
        <v>11476</v>
      </c>
    </row>
    <row r="868" spans="1:2" ht="30" x14ac:dyDescent="0.25">
      <c r="A868" s="1917" t="s">
        <v>10477</v>
      </c>
      <c r="B868" s="1917" t="s">
        <v>12187</v>
      </c>
    </row>
    <row r="869" spans="1:2" ht="30" x14ac:dyDescent="0.25">
      <c r="A869" s="1917" t="s">
        <v>10478</v>
      </c>
      <c r="B869" s="1917" t="s">
        <v>11478</v>
      </c>
    </row>
    <row r="870" spans="1:2" ht="30" x14ac:dyDescent="0.25">
      <c r="A870" s="1917" t="s">
        <v>10479</v>
      </c>
      <c r="B870" s="1917" t="s">
        <v>11479</v>
      </c>
    </row>
    <row r="871" spans="1:2" ht="30" x14ac:dyDescent="0.25">
      <c r="A871" s="1917" t="s">
        <v>10480</v>
      </c>
      <c r="B871" s="1917" t="s">
        <v>11480</v>
      </c>
    </row>
    <row r="872" spans="1:2" x14ac:dyDescent="0.25">
      <c r="A872" s="1917" t="s">
        <v>10481</v>
      </c>
      <c r="B872" s="1917" t="s">
        <v>11481</v>
      </c>
    </row>
    <row r="873" spans="1:2" x14ac:dyDescent="0.25">
      <c r="A873" s="1917" t="s">
        <v>10482</v>
      </c>
      <c r="B873" s="1917" t="s">
        <v>11482</v>
      </c>
    </row>
    <row r="874" spans="1:2" ht="30" x14ac:dyDescent="0.25">
      <c r="A874" s="1917" t="s">
        <v>10483</v>
      </c>
      <c r="B874" s="1917" t="s">
        <v>11483</v>
      </c>
    </row>
    <row r="875" spans="1:2" ht="30" x14ac:dyDescent="0.25">
      <c r="A875" s="1917" t="s">
        <v>10484</v>
      </c>
      <c r="B875" s="1917" t="s">
        <v>11484</v>
      </c>
    </row>
    <row r="876" spans="1:2" ht="30" x14ac:dyDescent="0.25">
      <c r="A876" s="1917" t="s">
        <v>10485</v>
      </c>
      <c r="B876" s="1917" t="s">
        <v>11485</v>
      </c>
    </row>
    <row r="877" spans="1:2" ht="30" x14ac:dyDescent="0.25">
      <c r="A877" s="1917" t="s">
        <v>10486</v>
      </c>
      <c r="B877" s="1917" t="s">
        <v>11486</v>
      </c>
    </row>
    <row r="878" spans="1:2" ht="30" x14ac:dyDescent="0.25">
      <c r="A878" s="1917" t="s">
        <v>10487</v>
      </c>
      <c r="B878" s="1917" t="s">
        <v>11487</v>
      </c>
    </row>
    <row r="879" spans="1:2" ht="30" x14ac:dyDescent="0.25">
      <c r="A879" s="1917" t="s">
        <v>10488</v>
      </c>
      <c r="B879" s="1917" t="s">
        <v>11488</v>
      </c>
    </row>
    <row r="880" spans="1:2" ht="30" x14ac:dyDescent="0.25">
      <c r="A880" s="1917" t="s">
        <v>10489</v>
      </c>
      <c r="B880" s="1917" t="s">
        <v>11489</v>
      </c>
    </row>
    <row r="881" spans="1:2" ht="30" x14ac:dyDescent="0.25">
      <c r="A881" s="1917" t="s">
        <v>10490</v>
      </c>
      <c r="B881" s="1917" t="s">
        <v>11490</v>
      </c>
    </row>
    <row r="882" spans="1:2" ht="30" x14ac:dyDescent="0.25">
      <c r="A882" s="1917" t="s">
        <v>10491</v>
      </c>
      <c r="B882" s="1917" t="s">
        <v>11491</v>
      </c>
    </row>
    <row r="883" spans="1:2" ht="30" x14ac:dyDescent="0.25">
      <c r="A883" s="1917" t="s">
        <v>12186</v>
      </c>
      <c r="B883" s="1917" t="s">
        <v>12185</v>
      </c>
    </row>
    <row r="884" spans="1:2" x14ac:dyDescent="0.25">
      <c r="A884" s="1917" t="s">
        <v>10492</v>
      </c>
      <c r="B884" s="1917" t="s">
        <v>11492</v>
      </c>
    </row>
    <row r="885" spans="1:2" ht="30" x14ac:dyDescent="0.25">
      <c r="A885" s="1917" t="s">
        <v>12184</v>
      </c>
      <c r="B885" s="1917" t="s">
        <v>12183</v>
      </c>
    </row>
    <row r="886" spans="1:2" x14ac:dyDescent="0.25">
      <c r="A886" s="1917" t="s">
        <v>10493</v>
      </c>
      <c r="B886" s="1917" t="s">
        <v>11493</v>
      </c>
    </row>
    <row r="887" spans="1:2" x14ac:dyDescent="0.25">
      <c r="A887" s="1917" t="s">
        <v>10494</v>
      </c>
      <c r="B887" s="1917" t="s">
        <v>11494</v>
      </c>
    </row>
    <row r="888" spans="1:2" x14ac:dyDescent="0.25">
      <c r="A888" s="1917" t="s">
        <v>10495</v>
      </c>
      <c r="B888" s="1917" t="s">
        <v>11495</v>
      </c>
    </row>
    <row r="889" spans="1:2" x14ac:dyDescent="0.25">
      <c r="A889" s="1917" t="s">
        <v>10496</v>
      </c>
      <c r="B889" s="1917" t="s">
        <v>11496</v>
      </c>
    </row>
    <row r="890" spans="1:2" ht="30" x14ac:dyDescent="0.25">
      <c r="A890" s="1917" t="s">
        <v>10497</v>
      </c>
      <c r="B890" s="1917" t="s">
        <v>12182</v>
      </c>
    </row>
    <row r="891" spans="1:2" x14ac:dyDescent="0.25">
      <c r="A891" s="1917" t="s">
        <v>10498</v>
      </c>
      <c r="B891" s="1917" t="s">
        <v>11498</v>
      </c>
    </row>
    <row r="892" spans="1:2" x14ac:dyDescent="0.25">
      <c r="A892" s="1917" t="s">
        <v>10499</v>
      </c>
      <c r="B892" s="1917" t="s">
        <v>11499</v>
      </c>
    </row>
    <row r="893" spans="1:2" ht="30" x14ac:dyDescent="0.25">
      <c r="A893" s="1917" t="s">
        <v>10500</v>
      </c>
      <c r="B893" s="1917" t="s">
        <v>11500</v>
      </c>
    </row>
    <row r="894" spans="1:2" ht="30" x14ac:dyDescent="0.25">
      <c r="A894" s="1917" t="s">
        <v>10501</v>
      </c>
      <c r="B894" s="1917" t="s">
        <v>11501</v>
      </c>
    </row>
    <row r="895" spans="1:2" ht="30" x14ac:dyDescent="0.25">
      <c r="A895" s="1917" t="s">
        <v>10502</v>
      </c>
      <c r="B895" s="1917" t="s">
        <v>11502</v>
      </c>
    </row>
    <row r="896" spans="1:2" ht="30" x14ac:dyDescent="0.25">
      <c r="A896" s="1917" t="s">
        <v>10503</v>
      </c>
      <c r="B896" s="1917" t="s">
        <v>11503</v>
      </c>
    </row>
    <row r="897" spans="1:2" ht="30" x14ac:dyDescent="0.25">
      <c r="A897" s="1917" t="s">
        <v>10504</v>
      </c>
      <c r="B897" s="1917" t="s">
        <v>11504</v>
      </c>
    </row>
    <row r="898" spans="1:2" ht="30" x14ac:dyDescent="0.25">
      <c r="A898" s="1917" t="s">
        <v>10505</v>
      </c>
      <c r="B898" s="1917" t="s">
        <v>11505</v>
      </c>
    </row>
    <row r="899" spans="1:2" ht="30" x14ac:dyDescent="0.25">
      <c r="A899" s="1917" t="s">
        <v>10506</v>
      </c>
      <c r="B899" s="1917" t="s">
        <v>11506</v>
      </c>
    </row>
    <row r="900" spans="1:2" ht="30" x14ac:dyDescent="0.25">
      <c r="A900" s="1917" t="s">
        <v>10507</v>
      </c>
      <c r="B900" s="1917" t="s">
        <v>11507</v>
      </c>
    </row>
    <row r="901" spans="1:2" x14ac:dyDescent="0.25">
      <c r="A901" s="1917" t="s">
        <v>10508</v>
      </c>
      <c r="B901" s="1917" t="s">
        <v>11508</v>
      </c>
    </row>
    <row r="902" spans="1:2" ht="30" x14ac:dyDescent="0.25">
      <c r="A902" s="1917" t="s">
        <v>10509</v>
      </c>
      <c r="B902" s="1917" t="s">
        <v>11509</v>
      </c>
    </row>
    <row r="903" spans="1:2" ht="30" x14ac:dyDescent="0.25">
      <c r="A903" s="1917" t="s">
        <v>10510</v>
      </c>
      <c r="B903" s="1917" t="s">
        <v>11510</v>
      </c>
    </row>
    <row r="904" spans="1:2" ht="30" x14ac:dyDescent="0.25">
      <c r="A904" s="1917" t="s">
        <v>10511</v>
      </c>
      <c r="B904" s="1917" t="s">
        <v>11511</v>
      </c>
    </row>
    <row r="905" spans="1:2" ht="30" x14ac:dyDescent="0.25">
      <c r="A905" s="1917" t="s">
        <v>10512</v>
      </c>
      <c r="B905" s="1917" t="s">
        <v>11512</v>
      </c>
    </row>
    <row r="906" spans="1:2" ht="30" x14ac:dyDescent="0.25">
      <c r="A906" s="1917" t="s">
        <v>10513</v>
      </c>
      <c r="B906" s="1917" t="s">
        <v>11513</v>
      </c>
    </row>
    <row r="907" spans="1:2" ht="30" x14ac:dyDescent="0.25">
      <c r="A907" s="1917" t="s">
        <v>10514</v>
      </c>
      <c r="B907" s="1917" t="s">
        <v>11514</v>
      </c>
    </row>
    <row r="908" spans="1:2" ht="30" x14ac:dyDescent="0.25">
      <c r="A908" s="1917" t="s">
        <v>10515</v>
      </c>
      <c r="B908" s="1917" t="s">
        <v>11515</v>
      </c>
    </row>
    <row r="909" spans="1:2" ht="30" x14ac:dyDescent="0.25">
      <c r="A909" s="1917" t="s">
        <v>10516</v>
      </c>
      <c r="B909" s="1917" t="s">
        <v>11516</v>
      </c>
    </row>
    <row r="910" spans="1:2" ht="30" x14ac:dyDescent="0.25">
      <c r="A910" s="1917" t="s">
        <v>10517</v>
      </c>
      <c r="B910" s="1917" t="s">
        <v>11517</v>
      </c>
    </row>
    <row r="911" spans="1:2" ht="30" x14ac:dyDescent="0.25">
      <c r="A911" s="1917" t="s">
        <v>10518</v>
      </c>
      <c r="B911" s="1917" t="s">
        <v>11518</v>
      </c>
    </row>
    <row r="912" spans="1:2" ht="30" x14ac:dyDescent="0.25">
      <c r="A912" s="1917" t="s">
        <v>10519</v>
      </c>
      <c r="B912" s="1917" t="s">
        <v>11519</v>
      </c>
    </row>
    <row r="913" spans="1:2" ht="30" x14ac:dyDescent="0.25">
      <c r="A913" s="1917" t="s">
        <v>10520</v>
      </c>
      <c r="B913" s="1917" t="s">
        <v>11520</v>
      </c>
    </row>
    <row r="914" spans="1:2" ht="30" x14ac:dyDescent="0.25">
      <c r="A914" s="1917" t="s">
        <v>10521</v>
      </c>
      <c r="B914" s="1917" t="s">
        <v>11521</v>
      </c>
    </row>
    <row r="915" spans="1:2" ht="30" x14ac:dyDescent="0.25">
      <c r="A915" s="1917" t="s">
        <v>10522</v>
      </c>
      <c r="B915" s="1917" t="s">
        <v>11522</v>
      </c>
    </row>
    <row r="916" spans="1:2" ht="30" x14ac:dyDescent="0.25">
      <c r="A916" s="1917" t="s">
        <v>10523</v>
      </c>
      <c r="B916" s="1917" t="s">
        <v>11523</v>
      </c>
    </row>
    <row r="917" spans="1:2" ht="30" x14ac:dyDescent="0.25">
      <c r="A917" s="1917" t="s">
        <v>10524</v>
      </c>
      <c r="B917" s="1917" t="s">
        <v>11524</v>
      </c>
    </row>
    <row r="918" spans="1:2" ht="30" x14ac:dyDescent="0.25">
      <c r="A918" s="1917" t="s">
        <v>10525</v>
      </c>
      <c r="B918" s="1917" t="s">
        <v>11525</v>
      </c>
    </row>
    <row r="919" spans="1:2" ht="30" x14ac:dyDescent="0.25">
      <c r="A919" s="1917" t="s">
        <v>10526</v>
      </c>
      <c r="B919" s="1917" t="s">
        <v>11526</v>
      </c>
    </row>
    <row r="920" spans="1:2" ht="30" x14ac:dyDescent="0.25">
      <c r="A920" s="1917" t="s">
        <v>10527</v>
      </c>
      <c r="B920" s="1917" t="s">
        <v>11527</v>
      </c>
    </row>
    <row r="921" spans="1:2" ht="30" x14ac:dyDescent="0.25">
      <c r="A921" s="1917" t="s">
        <v>10528</v>
      </c>
      <c r="B921" s="1917" t="s">
        <v>11528</v>
      </c>
    </row>
    <row r="922" spans="1:2" ht="30" x14ac:dyDescent="0.25">
      <c r="A922" s="1917" t="s">
        <v>10529</v>
      </c>
      <c r="B922" s="1917" t="s">
        <v>11529</v>
      </c>
    </row>
    <row r="923" spans="1:2" ht="30" x14ac:dyDescent="0.25">
      <c r="A923" s="1917" t="s">
        <v>10530</v>
      </c>
      <c r="B923" s="1917" t="s">
        <v>11530</v>
      </c>
    </row>
    <row r="924" spans="1:2" ht="30" x14ac:dyDescent="0.25">
      <c r="A924" s="1917" t="s">
        <v>10531</v>
      </c>
      <c r="B924" s="1917" t="s">
        <v>11531</v>
      </c>
    </row>
    <row r="925" spans="1:2" ht="30" x14ac:dyDescent="0.25">
      <c r="A925" s="1917" t="s">
        <v>10532</v>
      </c>
      <c r="B925" s="1917" t="s">
        <v>11532</v>
      </c>
    </row>
    <row r="926" spans="1:2" ht="30" x14ac:dyDescent="0.25">
      <c r="A926" s="1917" t="s">
        <v>10533</v>
      </c>
      <c r="B926" s="1917" t="s">
        <v>11533</v>
      </c>
    </row>
    <row r="927" spans="1:2" ht="30" x14ac:dyDescent="0.25">
      <c r="A927" s="1917" t="s">
        <v>10534</v>
      </c>
      <c r="B927" s="1917" t="s">
        <v>11534</v>
      </c>
    </row>
    <row r="928" spans="1:2" x14ac:dyDescent="0.25">
      <c r="A928" s="1917" t="s">
        <v>12181</v>
      </c>
      <c r="B928" s="1917" t="s">
        <v>12180</v>
      </c>
    </row>
    <row r="929" spans="1:2" x14ac:dyDescent="0.25">
      <c r="A929" s="1917" t="s">
        <v>12179</v>
      </c>
      <c r="B929" s="1917" t="s">
        <v>12178</v>
      </c>
    </row>
    <row r="930" spans="1:2" x14ac:dyDescent="0.25">
      <c r="A930" s="1917" t="s">
        <v>12177</v>
      </c>
      <c r="B930" s="1917" t="s">
        <v>12176</v>
      </c>
    </row>
    <row r="931" spans="1:2" ht="30" x14ac:dyDescent="0.25">
      <c r="A931" s="1917" t="s">
        <v>10535</v>
      </c>
      <c r="B931" s="1917" t="s">
        <v>11535</v>
      </c>
    </row>
    <row r="932" spans="1:2" ht="30" x14ac:dyDescent="0.25">
      <c r="A932" s="1917" t="s">
        <v>10536</v>
      </c>
      <c r="B932" s="1917" t="s">
        <v>11536</v>
      </c>
    </row>
    <row r="933" spans="1:2" ht="30" x14ac:dyDescent="0.25">
      <c r="A933" s="1917" t="s">
        <v>10537</v>
      </c>
      <c r="B933" s="1917" t="s">
        <v>11537</v>
      </c>
    </row>
    <row r="934" spans="1:2" ht="30" x14ac:dyDescent="0.25">
      <c r="A934" s="1917" t="s">
        <v>10538</v>
      </c>
      <c r="B934" s="1917" t="s">
        <v>11538</v>
      </c>
    </row>
    <row r="935" spans="1:2" ht="30" x14ac:dyDescent="0.25">
      <c r="A935" s="1917" t="s">
        <v>12175</v>
      </c>
      <c r="B935" s="1917" t="s">
        <v>12174</v>
      </c>
    </row>
    <row r="936" spans="1:2" ht="30" x14ac:dyDescent="0.25">
      <c r="A936" s="1917" t="s">
        <v>12173</v>
      </c>
      <c r="B936" s="1917" t="s">
        <v>12172</v>
      </c>
    </row>
    <row r="937" spans="1:2" ht="30" x14ac:dyDescent="0.25">
      <c r="A937" s="1917" t="s">
        <v>12171</v>
      </c>
      <c r="B937" s="1917" t="s">
        <v>12170</v>
      </c>
    </row>
    <row r="938" spans="1:2" ht="30" x14ac:dyDescent="0.25">
      <c r="A938" s="1917" t="s">
        <v>12169</v>
      </c>
      <c r="B938" s="1917" t="s">
        <v>12168</v>
      </c>
    </row>
    <row r="939" spans="1:2" x14ac:dyDescent="0.25">
      <c r="A939" s="1917" t="s">
        <v>10539</v>
      </c>
      <c r="B939" s="1917" t="s">
        <v>12167</v>
      </c>
    </row>
    <row r="940" spans="1:2" x14ac:dyDescent="0.25">
      <c r="A940" s="1917" t="s">
        <v>10540</v>
      </c>
      <c r="B940" s="1917" t="s">
        <v>12166</v>
      </c>
    </row>
    <row r="941" spans="1:2" ht="30" x14ac:dyDescent="0.25">
      <c r="A941" s="1917" t="s">
        <v>10542</v>
      </c>
      <c r="B941" s="1917" t="s">
        <v>12165</v>
      </c>
    </row>
    <row r="942" spans="1:2" x14ac:dyDescent="0.25">
      <c r="A942" s="1917" t="s">
        <v>10543</v>
      </c>
      <c r="B942" s="1917" t="s">
        <v>12164</v>
      </c>
    </row>
    <row r="943" spans="1:2" x14ac:dyDescent="0.25">
      <c r="A943" s="1917" t="s">
        <v>10544</v>
      </c>
      <c r="B943" s="1917" t="s">
        <v>12163</v>
      </c>
    </row>
    <row r="944" spans="1:2" x14ac:dyDescent="0.25">
      <c r="A944" s="1917" t="s">
        <v>10545</v>
      </c>
      <c r="B944" s="1917" t="s">
        <v>12162</v>
      </c>
    </row>
    <row r="945" spans="1:2" ht="30" x14ac:dyDescent="0.25">
      <c r="A945" s="1917" t="s">
        <v>10547</v>
      </c>
      <c r="B945" s="1917" t="s">
        <v>11547</v>
      </c>
    </row>
    <row r="946" spans="1:2" ht="30" x14ac:dyDescent="0.25">
      <c r="A946" s="1917" t="s">
        <v>10548</v>
      </c>
      <c r="B946" s="1917" t="s">
        <v>11548</v>
      </c>
    </row>
    <row r="947" spans="1:2" ht="30" x14ac:dyDescent="0.25">
      <c r="A947" s="1917" t="s">
        <v>10549</v>
      </c>
      <c r="B947" s="1917" t="s">
        <v>11549</v>
      </c>
    </row>
    <row r="948" spans="1:2" ht="30" x14ac:dyDescent="0.25">
      <c r="A948" s="1917" t="s">
        <v>10550</v>
      </c>
      <c r="B948" s="1917" t="s">
        <v>11550</v>
      </c>
    </row>
    <row r="949" spans="1:2" ht="30" x14ac:dyDescent="0.25">
      <c r="A949" s="1917" t="s">
        <v>10551</v>
      </c>
      <c r="B949" s="1917" t="s">
        <v>11551</v>
      </c>
    </row>
    <row r="950" spans="1:2" ht="30" x14ac:dyDescent="0.25">
      <c r="A950" s="1917" t="s">
        <v>10552</v>
      </c>
      <c r="B950" s="1917" t="s">
        <v>11552</v>
      </c>
    </row>
    <row r="951" spans="1:2" x14ac:dyDescent="0.25">
      <c r="A951" s="1917" t="s">
        <v>12161</v>
      </c>
      <c r="B951" s="1917" t="s">
        <v>12160</v>
      </c>
    </row>
    <row r="952" spans="1:2" x14ac:dyDescent="0.25">
      <c r="A952" s="1917" t="s">
        <v>12159</v>
      </c>
      <c r="B952" s="1917" t="s">
        <v>12158</v>
      </c>
    </row>
    <row r="953" spans="1:2" x14ac:dyDescent="0.25">
      <c r="A953" s="1917" t="s">
        <v>12157</v>
      </c>
      <c r="B953" s="1917" t="s">
        <v>12156</v>
      </c>
    </row>
    <row r="954" spans="1:2" ht="30" x14ac:dyDescent="0.25">
      <c r="A954" s="1917" t="s">
        <v>12155</v>
      </c>
      <c r="B954" s="1917" t="s">
        <v>12154</v>
      </c>
    </row>
    <row r="955" spans="1:2" ht="30" x14ac:dyDescent="0.25">
      <c r="A955" s="1917" t="s">
        <v>10553</v>
      </c>
      <c r="B955" s="1917" t="s">
        <v>11553</v>
      </c>
    </row>
    <row r="956" spans="1:2" ht="30" x14ac:dyDescent="0.25">
      <c r="A956" s="1917" t="s">
        <v>10554</v>
      </c>
      <c r="B956" s="1917" t="s">
        <v>11554</v>
      </c>
    </row>
    <row r="957" spans="1:2" ht="30" x14ac:dyDescent="0.25">
      <c r="A957" s="1917" t="s">
        <v>10555</v>
      </c>
      <c r="B957" s="1917" t="s">
        <v>11555</v>
      </c>
    </row>
    <row r="958" spans="1:2" ht="30" x14ac:dyDescent="0.25">
      <c r="A958" s="1917" t="s">
        <v>10556</v>
      </c>
      <c r="B958" s="1917" t="s">
        <v>11556</v>
      </c>
    </row>
    <row r="959" spans="1:2" x14ac:dyDescent="0.25">
      <c r="A959" s="1917" t="s">
        <v>10557</v>
      </c>
      <c r="B959" s="1917" t="s">
        <v>11557</v>
      </c>
    </row>
    <row r="960" spans="1:2" ht="30" x14ac:dyDescent="0.25">
      <c r="A960" s="1917" t="s">
        <v>10558</v>
      </c>
      <c r="B960" s="1917" t="s">
        <v>11558</v>
      </c>
    </row>
    <row r="961" spans="1:2" ht="30" x14ac:dyDescent="0.25">
      <c r="A961" s="1917" t="s">
        <v>10559</v>
      </c>
      <c r="B961" s="1917" t="s">
        <v>12153</v>
      </c>
    </row>
    <row r="962" spans="1:2" ht="30" x14ac:dyDescent="0.25">
      <c r="A962" s="1917" t="s">
        <v>10560</v>
      </c>
      <c r="B962" s="1917" t="s">
        <v>12152</v>
      </c>
    </row>
    <row r="963" spans="1:2" ht="30" x14ac:dyDescent="0.25">
      <c r="A963" s="1917" t="s">
        <v>10561</v>
      </c>
      <c r="B963" s="1917" t="s">
        <v>11561</v>
      </c>
    </row>
    <row r="964" spans="1:2" ht="30" x14ac:dyDescent="0.25">
      <c r="A964" s="1917" t="s">
        <v>10562</v>
      </c>
      <c r="B964" s="1917" t="s">
        <v>11562</v>
      </c>
    </row>
    <row r="965" spans="1:2" ht="30" x14ac:dyDescent="0.25">
      <c r="A965" s="1917" t="s">
        <v>10563</v>
      </c>
      <c r="B965" s="1917" t="s">
        <v>11563</v>
      </c>
    </row>
    <row r="966" spans="1:2" ht="30" x14ac:dyDescent="0.25">
      <c r="A966" s="1917" t="s">
        <v>10564</v>
      </c>
      <c r="B966" s="1917" t="s">
        <v>11564</v>
      </c>
    </row>
    <row r="967" spans="1:2" ht="30" x14ac:dyDescent="0.25">
      <c r="A967" s="1917" t="s">
        <v>10565</v>
      </c>
      <c r="B967" s="1917" t="s">
        <v>11565</v>
      </c>
    </row>
    <row r="968" spans="1:2" ht="30" x14ac:dyDescent="0.25">
      <c r="A968" s="1917" t="s">
        <v>10566</v>
      </c>
      <c r="B968" s="1917" t="s">
        <v>11566</v>
      </c>
    </row>
    <row r="969" spans="1:2" ht="30" x14ac:dyDescent="0.25">
      <c r="A969" s="1917" t="s">
        <v>10567</v>
      </c>
      <c r="B969" s="1917" t="s">
        <v>11567</v>
      </c>
    </row>
    <row r="970" spans="1:2" ht="30" x14ac:dyDescent="0.25">
      <c r="A970" s="1917" t="s">
        <v>10568</v>
      </c>
      <c r="B970" s="1917" t="s">
        <v>11568</v>
      </c>
    </row>
    <row r="971" spans="1:2" ht="30" x14ac:dyDescent="0.25">
      <c r="A971" s="1917" t="s">
        <v>10569</v>
      </c>
      <c r="B971" s="1917" t="s">
        <v>11569</v>
      </c>
    </row>
    <row r="972" spans="1:2" ht="30" x14ac:dyDescent="0.25">
      <c r="A972" s="1917" t="s">
        <v>10570</v>
      </c>
      <c r="B972" s="1917" t="s">
        <v>11570</v>
      </c>
    </row>
    <row r="973" spans="1:2" ht="30" x14ac:dyDescent="0.25">
      <c r="A973" s="1917" t="s">
        <v>10571</v>
      </c>
      <c r="B973" s="1917" t="s">
        <v>11571</v>
      </c>
    </row>
    <row r="974" spans="1:2" ht="30" x14ac:dyDescent="0.25">
      <c r="A974" s="1917" t="s">
        <v>10572</v>
      </c>
      <c r="B974" s="1917" t="s">
        <v>11572</v>
      </c>
    </row>
    <row r="975" spans="1:2" ht="30" x14ac:dyDescent="0.25">
      <c r="A975" s="1917" t="s">
        <v>10573</v>
      </c>
      <c r="B975" s="1917" t="s">
        <v>11573</v>
      </c>
    </row>
    <row r="976" spans="1:2" ht="30" x14ac:dyDescent="0.25">
      <c r="A976" s="1917" t="s">
        <v>10574</v>
      </c>
      <c r="B976" s="1917" t="s">
        <v>11574</v>
      </c>
    </row>
    <row r="977" spans="1:2" ht="30" x14ac:dyDescent="0.25">
      <c r="A977" s="1917" t="s">
        <v>10575</v>
      </c>
      <c r="B977" s="1917" t="s">
        <v>11575</v>
      </c>
    </row>
    <row r="978" spans="1:2" ht="30" x14ac:dyDescent="0.25">
      <c r="A978" s="1917" t="s">
        <v>10576</v>
      </c>
      <c r="B978" s="1917" t="s">
        <v>11576</v>
      </c>
    </row>
    <row r="979" spans="1:2" ht="30" x14ac:dyDescent="0.25">
      <c r="A979" s="1917" t="s">
        <v>10577</v>
      </c>
      <c r="B979" s="1917" t="s">
        <v>11577</v>
      </c>
    </row>
    <row r="980" spans="1:2" x14ac:dyDescent="0.25">
      <c r="A980" s="1917" t="s">
        <v>10578</v>
      </c>
      <c r="B980" s="1917" t="s">
        <v>11578</v>
      </c>
    </row>
    <row r="981" spans="1:2" ht="30" x14ac:dyDescent="0.25">
      <c r="A981" s="1917" t="s">
        <v>10579</v>
      </c>
      <c r="B981" s="1917" t="s">
        <v>11579</v>
      </c>
    </row>
    <row r="982" spans="1:2" x14ac:dyDescent="0.25">
      <c r="A982" s="1917" t="s">
        <v>10580</v>
      </c>
      <c r="B982" s="1917" t="s">
        <v>11580</v>
      </c>
    </row>
    <row r="983" spans="1:2" ht="30" x14ac:dyDescent="0.25">
      <c r="A983" s="1917" t="s">
        <v>10581</v>
      </c>
      <c r="B983" s="1917" t="s">
        <v>11581</v>
      </c>
    </row>
    <row r="984" spans="1:2" ht="30" x14ac:dyDescent="0.25">
      <c r="A984" s="1917" t="s">
        <v>10582</v>
      </c>
      <c r="B984" s="1917" t="s">
        <v>11582</v>
      </c>
    </row>
    <row r="985" spans="1:2" ht="30" x14ac:dyDescent="0.25">
      <c r="A985" s="1917" t="s">
        <v>10583</v>
      </c>
      <c r="B985" s="1917" t="s">
        <v>11583</v>
      </c>
    </row>
    <row r="986" spans="1:2" x14ac:dyDescent="0.25">
      <c r="A986" s="1917" t="s">
        <v>10584</v>
      </c>
      <c r="B986" s="1917" t="s">
        <v>11584</v>
      </c>
    </row>
    <row r="987" spans="1:2" ht="30" x14ac:dyDescent="0.25">
      <c r="A987" s="1917" t="s">
        <v>10585</v>
      </c>
      <c r="B987" s="1917" t="s">
        <v>11585</v>
      </c>
    </row>
    <row r="988" spans="1:2" ht="30" x14ac:dyDescent="0.25">
      <c r="A988" s="1917" t="s">
        <v>10586</v>
      </c>
      <c r="B988" s="1917" t="s">
        <v>11586</v>
      </c>
    </row>
    <row r="989" spans="1:2" ht="30" x14ac:dyDescent="0.25">
      <c r="A989" s="1917" t="s">
        <v>10587</v>
      </c>
      <c r="B989" s="1917" t="s">
        <v>11587</v>
      </c>
    </row>
    <row r="990" spans="1:2" ht="30" x14ac:dyDescent="0.25">
      <c r="A990" s="1917" t="s">
        <v>10588</v>
      </c>
      <c r="B990" s="1917" t="s">
        <v>11588</v>
      </c>
    </row>
    <row r="991" spans="1:2" ht="30" x14ac:dyDescent="0.25">
      <c r="A991" s="1917" t="s">
        <v>10589</v>
      </c>
      <c r="B991" s="1917" t="s">
        <v>11589</v>
      </c>
    </row>
    <row r="992" spans="1:2" ht="30" x14ac:dyDescent="0.25">
      <c r="A992" s="1917" t="s">
        <v>10590</v>
      </c>
      <c r="B992" s="1917" t="s">
        <v>11590</v>
      </c>
    </row>
    <row r="993" spans="1:2" ht="30" x14ac:dyDescent="0.25">
      <c r="A993" s="1917" t="s">
        <v>10591</v>
      </c>
      <c r="B993" s="1917" t="s">
        <v>11591</v>
      </c>
    </row>
    <row r="994" spans="1:2" ht="30" x14ac:dyDescent="0.25">
      <c r="A994" s="1917" t="s">
        <v>10592</v>
      </c>
      <c r="B994" s="1917" t="s">
        <v>11592</v>
      </c>
    </row>
    <row r="995" spans="1:2" x14ac:dyDescent="0.25">
      <c r="A995" s="1917" t="s">
        <v>10593</v>
      </c>
      <c r="B995" s="1917" t="s">
        <v>11593</v>
      </c>
    </row>
    <row r="996" spans="1:2" x14ac:dyDescent="0.25">
      <c r="A996" s="1917" t="s">
        <v>10594</v>
      </c>
      <c r="B996" s="1917" t="s">
        <v>11594</v>
      </c>
    </row>
    <row r="997" spans="1:2" ht="30" x14ac:dyDescent="0.25">
      <c r="A997" s="1917" t="s">
        <v>10595</v>
      </c>
      <c r="B997" s="1917" t="s">
        <v>11595</v>
      </c>
    </row>
    <row r="998" spans="1:2" ht="30" x14ac:dyDescent="0.25">
      <c r="A998" s="1917" t="s">
        <v>12151</v>
      </c>
      <c r="B998" s="1917" t="s">
        <v>12150</v>
      </c>
    </row>
    <row r="999" spans="1:2" ht="30" x14ac:dyDescent="0.25">
      <c r="A999" s="1917" t="s">
        <v>12149</v>
      </c>
      <c r="B999" s="1917" t="s">
        <v>12148</v>
      </c>
    </row>
    <row r="1000" spans="1:2" x14ac:dyDescent="0.25">
      <c r="A1000" s="1917" t="s">
        <v>10596</v>
      </c>
      <c r="B1000" s="1917" t="s">
        <v>11596</v>
      </c>
    </row>
  </sheetData>
  <sheetProtection algorithmName="SHA-512" hashValue="xDrU1pTayRSbwwcitWWJncS7N8R3ljHItBLigD3Ye2gLfihZfRIwPPV46JSavV7Qfre4BbE34uvrsXfXBWsuFw==" saltValue="piAXQPZNdF8WnehRnELJA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IU52"/>
  <sheetViews>
    <sheetView showGridLines="0" showRowColHeaders="0" tabSelected="1" zoomScaleNormal="100" workbookViewId="0"/>
  </sheetViews>
  <sheetFormatPr defaultColWidth="0" defaultRowHeight="30.75" customHeight="1" zeroHeight="1" x14ac:dyDescent="0.25"/>
  <cols>
    <col min="1" max="1" width="4.140625" style="1094" customWidth="1"/>
    <col min="2" max="2" width="3.140625" style="1094" customWidth="1"/>
    <col min="3" max="3" width="9.140625" style="1069" customWidth="1"/>
    <col min="4" max="4" width="21.85546875" style="1094" customWidth="1"/>
    <col min="5" max="5" width="31" style="1094" customWidth="1"/>
    <col min="6" max="6" width="84.7109375" style="1094" customWidth="1"/>
    <col min="7" max="7" width="15.5703125" style="1094" customWidth="1"/>
    <col min="8" max="8" width="14.5703125" style="1094" customWidth="1"/>
    <col min="9" max="9" width="25.7109375" style="1094" customWidth="1"/>
    <col min="10" max="10" width="9.140625" style="1094" customWidth="1"/>
    <col min="11" max="255" width="2.5703125" hidden="1" customWidth="1"/>
    <col min="256" max="16384" width="4.7109375" hidden="1"/>
  </cols>
  <sheetData>
    <row r="1" spans="2:9" ht="15.75" customHeight="1" thickBot="1" x14ac:dyDescent="0.3"/>
    <row r="2" spans="2:9" ht="15" x14ac:dyDescent="0.25">
      <c r="B2" s="1117"/>
      <c r="C2" s="1118"/>
      <c r="D2" s="1119"/>
      <c r="E2" s="1119"/>
      <c r="F2" s="1119"/>
      <c r="G2" s="1119"/>
      <c r="H2" s="1119"/>
      <c r="I2" s="1120"/>
    </row>
    <row r="3" spans="2:9" s="113" customFormat="1" ht="57" customHeight="1" x14ac:dyDescent="0.2">
      <c r="B3" s="1121"/>
      <c r="C3" s="145"/>
      <c r="D3" s="145"/>
      <c r="E3" s="2678" t="s">
        <v>13024</v>
      </c>
      <c r="F3" s="2678"/>
      <c r="G3" s="2678"/>
      <c r="H3" s="2678"/>
      <c r="I3" s="1122"/>
    </row>
    <row r="4" spans="2:9" s="113" customFormat="1" ht="51" x14ac:dyDescent="0.2">
      <c r="B4" s="1121"/>
      <c r="C4" s="1098" t="s">
        <v>2075</v>
      </c>
      <c r="D4" s="1098" t="s">
        <v>1936</v>
      </c>
      <c r="E4" s="362" t="s">
        <v>7157</v>
      </c>
      <c r="F4" s="362" t="str">
        <f>CONCATENATE("Description",CHAR(10),"Click on applicable links to navigate to the respective sheet / schedule.")</f>
        <v>Description
Click on applicable links to navigate to the respective sheet / schedule.</v>
      </c>
      <c r="G4" s="1099" t="s">
        <v>2063</v>
      </c>
      <c r="H4" s="1099" t="s">
        <v>2064</v>
      </c>
      <c r="I4" s="1122"/>
    </row>
    <row r="5" spans="2:9" ht="32.25" customHeight="1" x14ac:dyDescent="0.25">
      <c r="B5" s="1123"/>
      <c r="C5" s="1089">
        <v>1</v>
      </c>
      <c r="D5" s="1090" t="s">
        <v>1937</v>
      </c>
      <c r="E5" s="1091" t="s">
        <v>2065</v>
      </c>
      <c r="F5" s="1092" t="s">
        <v>7158</v>
      </c>
      <c r="G5" s="1093" t="s">
        <v>517</v>
      </c>
      <c r="H5" s="1093" t="s">
        <v>517</v>
      </c>
      <c r="I5" s="1124"/>
    </row>
    <row r="6" spans="2:9" ht="32.25" customHeight="1" x14ac:dyDescent="0.25">
      <c r="B6" s="1123"/>
      <c r="C6" s="1089">
        <f>C5+1</f>
        <v>2</v>
      </c>
      <c r="D6" s="1090" t="s">
        <v>1923</v>
      </c>
      <c r="E6" s="1091" t="s">
        <v>1923</v>
      </c>
      <c r="F6" s="1092" t="s">
        <v>7159</v>
      </c>
      <c r="G6" s="1093" t="s">
        <v>517</v>
      </c>
      <c r="H6" s="1093" t="s">
        <v>517</v>
      </c>
      <c r="I6" s="1124"/>
    </row>
    <row r="7" spans="2:9" ht="32.25" customHeight="1" x14ac:dyDescent="0.25">
      <c r="B7" s="1123"/>
      <c r="C7" s="1089">
        <f t="shared" ref="C7:C49" si="0">C6+1</f>
        <v>3</v>
      </c>
      <c r="D7" s="1090" t="s">
        <v>1924</v>
      </c>
      <c r="E7" s="1091" t="s">
        <v>282</v>
      </c>
      <c r="F7" s="1092" t="s">
        <v>13025</v>
      </c>
      <c r="G7" s="1093" t="s">
        <v>517</v>
      </c>
      <c r="H7" s="1093" t="s">
        <v>517</v>
      </c>
      <c r="I7" s="1124"/>
    </row>
    <row r="8" spans="2:9" ht="32.25" customHeight="1" x14ac:dyDescent="0.25">
      <c r="B8" s="1123"/>
      <c r="C8" s="1089">
        <f t="shared" si="0"/>
        <v>4</v>
      </c>
      <c r="D8" s="1090" t="s">
        <v>9369</v>
      </c>
      <c r="E8" s="1091" t="s">
        <v>9025</v>
      </c>
      <c r="F8" s="1092" t="s">
        <v>13026</v>
      </c>
      <c r="G8" s="1093" t="s">
        <v>517</v>
      </c>
      <c r="H8" s="1093" t="s">
        <v>517</v>
      </c>
      <c r="I8" s="1124"/>
    </row>
    <row r="9" spans="2:9" ht="32.25" customHeight="1" x14ac:dyDescent="0.25">
      <c r="B9" s="1123"/>
      <c r="C9" s="1089">
        <f t="shared" si="0"/>
        <v>5</v>
      </c>
      <c r="D9" s="1090" t="s">
        <v>9370</v>
      </c>
      <c r="E9" s="1091" t="s">
        <v>9052</v>
      </c>
      <c r="F9" s="1092" t="s">
        <v>13027</v>
      </c>
      <c r="G9" s="1093" t="s">
        <v>517</v>
      </c>
      <c r="H9" s="1093" t="s">
        <v>517</v>
      </c>
      <c r="I9" s="1124"/>
    </row>
    <row r="10" spans="2:9" ht="32.25" customHeight="1" x14ac:dyDescent="0.25">
      <c r="B10" s="1123"/>
      <c r="C10" s="1089">
        <f t="shared" si="0"/>
        <v>6</v>
      </c>
      <c r="D10" s="1090" t="s">
        <v>7178</v>
      </c>
      <c r="E10" s="1091" t="s">
        <v>9638</v>
      </c>
      <c r="F10" s="1092" t="s">
        <v>13028</v>
      </c>
      <c r="G10" s="1093" t="s">
        <v>517</v>
      </c>
      <c r="H10" s="1093" t="s">
        <v>517</v>
      </c>
      <c r="I10" s="1124"/>
    </row>
    <row r="11" spans="2:9" ht="32.25" customHeight="1" x14ac:dyDescent="0.25">
      <c r="B11" s="1123"/>
      <c r="C11" s="1089">
        <f t="shared" si="0"/>
        <v>7</v>
      </c>
      <c r="D11" s="1125" t="s">
        <v>1926</v>
      </c>
      <c r="E11" s="1091" t="s">
        <v>9639</v>
      </c>
      <c r="F11" s="1092" t="s">
        <v>7160</v>
      </c>
      <c r="G11" s="1095" t="s">
        <v>517</v>
      </c>
      <c r="H11" s="1095" t="s">
        <v>517</v>
      </c>
      <c r="I11" s="1124"/>
    </row>
    <row r="12" spans="2:9" ht="32.25" customHeight="1" x14ac:dyDescent="0.25">
      <c r="B12" s="1123"/>
      <c r="C12" s="1089">
        <f t="shared" si="0"/>
        <v>8</v>
      </c>
      <c r="D12" s="1090" t="s">
        <v>1925</v>
      </c>
      <c r="E12" s="1091" t="s">
        <v>9640</v>
      </c>
      <c r="F12" s="1092" t="s">
        <v>7161</v>
      </c>
      <c r="G12" s="1095" t="s">
        <v>517</v>
      </c>
      <c r="H12" s="1095" t="s">
        <v>517</v>
      </c>
      <c r="I12" s="1124"/>
    </row>
    <row r="13" spans="2:9" ht="32.25" customHeight="1" x14ac:dyDescent="0.25">
      <c r="B13" s="1123"/>
      <c r="C13" s="1089">
        <f t="shared" si="0"/>
        <v>9</v>
      </c>
      <c r="D13" s="1090" t="s">
        <v>744</v>
      </c>
      <c r="E13" s="1091" t="s">
        <v>744</v>
      </c>
      <c r="F13" s="1092" t="s">
        <v>7266</v>
      </c>
      <c r="G13" s="1095" t="s">
        <v>517</v>
      </c>
      <c r="H13" s="1095" t="s">
        <v>517</v>
      </c>
      <c r="I13" s="1124"/>
    </row>
    <row r="14" spans="2:9" ht="32.25" customHeight="1" x14ac:dyDescent="0.25">
      <c r="B14" s="1123"/>
      <c r="C14" s="1089">
        <f t="shared" si="0"/>
        <v>10</v>
      </c>
      <c r="D14" s="1090" t="s">
        <v>1287</v>
      </c>
      <c r="E14" s="1091" t="s">
        <v>2067</v>
      </c>
      <c r="F14" s="1092" t="s">
        <v>7163</v>
      </c>
      <c r="G14" s="1095" t="s">
        <v>517</v>
      </c>
      <c r="H14" s="1095" t="s">
        <v>517</v>
      </c>
      <c r="I14" s="1124"/>
    </row>
    <row r="15" spans="2:9" ht="32.25" customHeight="1" x14ac:dyDescent="0.25">
      <c r="B15" s="1123"/>
      <c r="C15" s="1089">
        <f t="shared" si="0"/>
        <v>11</v>
      </c>
      <c r="D15" s="1090" t="s">
        <v>1559</v>
      </c>
      <c r="E15" s="1091" t="s">
        <v>762</v>
      </c>
      <c r="F15" s="1092" t="s">
        <v>763</v>
      </c>
      <c r="G15" s="1093" t="s">
        <v>517</v>
      </c>
      <c r="H15" s="1093" t="s">
        <v>517</v>
      </c>
      <c r="I15" s="1124"/>
    </row>
    <row r="16" spans="2:9" ht="32.25" customHeight="1" x14ac:dyDescent="0.25">
      <c r="B16" s="1123"/>
      <c r="C16" s="1089">
        <f t="shared" si="0"/>
        <v>12</v>
      </c>
      <c r="D16" s="1090" t="s">
        <v>1939</v>
      </c>
      <c r="E16" s="1091" t="s">
        <v>2068</v>
      </c>
      <c r="F16" s="1092" t="s">
        <v>7164</v>
      </c>
      <c r="G16" s="1095" t="s">
        <v>517</v>
      </c>
      <c r="H16" s="1095" t="s">
        <v>517</v>
      </c>
      <c r="I16" s="1124"/>
    </row>
    <row r="17" spans="1:10" ht="32.25" customHeight="1" x14ac:dyDescent="0.25">
      <c r="B17" s="1123"/>
      <c r="C17" s="1089">
        <f t="shared" si="0"/>
        <v>13</v>
      </c>
      <c r="D17" s="1090" t="s">
        <v>1938</v>
      </c>
      <c r="E17" s="1091" t="s">
        <v>2069</v>
      </c>
      <c r="F17" s="1092" t="s">
        <v>7165</v>
      </c>
      <c r="G17" s="1095" t="s">
        <v>517</v>
      </c>
      <c r="H17" s="1095" t="s">
        <v>517</v>
      </c>
      <c r="I17" s="1124"/>
    </row>
    <row r="18" spans="1:10" ht="32.25" customHeight="1" x14ac:dyDescent="0.25">
      <c r="B18" s="1123"/>
      <c r="C18" s="1089">
        <f t="shared" si="0"/>
        <v>14</v>
      </c>
      <c r="D18" s="1090" t="s">
        <v>1927</v>
      </c>
      <c r="E18" s="1091" t="s">
        <v>878</v>
      </c>
      <c r="F18" s="1092" t="s">
        <v>7166</v>
      </c>
      <c r="G18" s="1095" t="s">
        <v>517</v>
      </c>
      <c r="H18" s="1095" t="s">
        <v>517</v>
      </c>
      <c r="I18" s="1124"/>
    </row>
    <row r="19" spans="1:10" ht="32.25" customHeight="1" x14ac:dyDescent="0.25">
      <c r="B19" s="1123"/>
      <c r="C19" s="1089">
        <f t="shared" si="0"/>
        <v>15</v>
      </c>
      <c r="D19" s="1090" t="s">
        <v>1928</v>
      </c>
      <c r="E19" s="1096" t="s">
        <v>893</v>
      </c>
      <c r="F19" s="1097" t="s">
        <v>770</v>
      </c>
      <c r="G19" s="1095" t="s">
        <v>517</v>
      </c>
      <c r="H19" s="1095" t="s">
        <v>517</v>
      </c>
      <c r="I19" s="1124"/>
    </row>
    <row r="20" spans="1:10" ht="32.25" customHeight="1" x14ac:dyDescent="0.25">
      <c r="B20" s="1123"/>
      <c r="C20" s="1089">
        <f t="shared" si="0"/>
        <v>16</v>
      </c>
      <c r="D20" s="1722" t="s">
        <v>9801</v>
      </c>
      <c r="E20" s="1096" t="s">
        <v>9801</v>
      </c>
      <c r="F20" s="1097" t="s">
        <v>9287</v>
      </c>
      <c r="G20" s="1095" t="s">
        <v>517</v>
      </c>
      <c r="H20" s="1095" t="s">
        <v>517</v>
      </c>
      <c r="I20" s="1124"/>
    </row>
    <row r="21" spans="1:10" ht="32.25" customHeight="1" x14ac:dyDescent="0.25">
      <c r="B21" s="1123"/>
      <c r="C21" s="1089">
        <f t="shared" si="0"/>
        <v>17</v>
      </c>
      <c r="D21" s="1722" t="s">
        <v>12690</v>
      </c>
      <c r="E21" s="1096" t="s">
        <v>10818</v>
      </c>
      <c r="F21" s="1097" t="s">
        <v>10817</v>
      </c>
      <c r="G21" s="1095" t="s">
        <v>517</v>
      </c>
      <c r="H21" s="1095" t="s">
        <v>517</v>
      </c>
      <c r="I21" s="1124"/>
    </row>
    <row r="22" spans="1:10" ht="32.25" customHeight="1" x14ac:dyDescent="0.25">
      <c r="B22" s="1123"/>
      <c r="C22" s="1089">
        <f t="shared" si="0"/>
        <v>18</v>
      </c>
      <c r="D22" s="1090" t="s">
        <v>1324</v>
      </c>
      <c r="E22" s="1096" t="s">
        <v>2070</v>
      </c>
      <c r="F22" s="1097" t="s">
        <v>684</v>
      </c>
      <c r="G22" s="1095" t="s">
        <v>517</v>
      </c>
      <c r="H22" s="1095" t="s">
        <v>517</v>
      </c>
      <c r="I22" s="1124"/>
    </row>
    <row r="23" spans="1:10" ht="32.25" customHeight="1" x14ac:dyDescent="0.25">
      <c r="B23" s="1123"/>
      <c r="C23" s="1089">
        <f t="shared" si="0"/>
        <v>19</v>
      </c>
      <c r="D23" s="1090" t="s">
        <v>1940</v>
      </c>
      <c r="E23" s="1091" t="s">
        <v>2071</v>
      </c>
      <c r="F23" s="1092" t="s">
        <v>7167</v>
      </c>
      <c r="G23" s="1093" t="s">
        <v>517</v>
      </c>
      <c r="H23" s="1093" t="s">
        <v>517</v>
      </c>
      <c r="I23" s="1124"/>
    </row>
    <row r="24" spans="1:10" ht="32.25" customHeight="1" x14ac:dyDescent="0.25">
      <c r="B24" s="1123"/>
      <c r="C24" s="1089">
        <f t="shared" si="0"/>
        <v>20</v>
      </c>
      <c r="D24" s="1090" t="s">
        <v>2066</v>
      </c>
      <c r="E24" s="1091" t="s">
        <v>1086</v>
      </c>
      <c r="F24" s="1092" t="s">
        <v>1087</v>
      </c>
      <c r="G24" s="1095" t="s">
        <v>517</v>
      </c>
      <c r="H24" s="1095" t="s">
        <v>517</v>
      </c>
      <c r="I24" s="1124"/>
    </row>
    <row r="25" spans="1:10" ht="32.25" customHeight="1" x14ac:dyDescent="0.25">
      <c r="B25" s="1123"/>
      <c r="C25" s="1089">
        <f t="shared" si="0"/>
        <v>21</v>
      </c>
      <c r="D25" s="1090" t="s">
        <v>1942</v>
      </c>
      <c r="E25" s="1091" t="s">
        <v>1100</v>
      </c>
      <c r="F25" s="1092" t="s">
        <v>1101</v>
      </c>
      <c r="G25" s="1095" t="s">
        <v>517</v>
      </c>
      <c r="H25" s="1095" t="s">
        <v>517</v>
      </c>
      <c r="I25" s="1124"/>
    </row>
    <row r="26" spans="1:10" ht="32.25" customHeight="1" x14ac:dyDescent="0.25">
      <c r="B26" s="1123"/>
      <c r="C26" s="1089">
        <f t="shared" si="0"/>
        <v>22</v>
      </c>
      <c r="D26" s="1090" t="s">
        <v>7564</v>
      </c>
      <c r="E26" s="1091" t="s">
        <v>7561</v>
      </c>
      <c r="F26" s="1092" t="s">
        <v>7562</v>
      </c>
      <c r="G26" s="1095" t="s">
        <v>517</v>
      </c>
      <c r="H26" s="1095" t="s">
        <v>517</v>
      </c>
      <c r="I26" s="1124"/>
    </row>
    <row r="27" spans="1:10" ht="32.25" customHeight="1" x14ac:dyDescent="0.25">
      <c r="B27" s="1123"/>
      <c r="C27" s="1089">
        <f t="shared" si="0"/>
        <v>23</v>
      </c>
      <c r="D27" s="1674" t="s">
        <v>267</v>
      </c>
      <c r="E27" s="1091" t="s">
        <v>2072</v>
      </c>
      <c r="F27" s="1092" t="s">
        <v>7168</v>
      </c>
      <c r="G27" s="1095" t="s">
        <v>517</v>
      </c>
      <c r="H27" s="1095" t="s">
        <v>517</v>
      </c>
      <c r="I27" s="1124"/>
    </row>
    <row r="28" spans="1:10" s="1915" customFormat="1" ht="33.75" customHeight="1" x14ac:dyDescent="0.25">
      <c r="A28" s="1094"/>
      <c r="B28" s="1123"/>
      <c r="C28" s="1089">
        <f t="shared" si="0"/>
        <v>24</v>
      </c>
      <c r="D28" s="1090" t="s">
        <v>1929</v>
      </c>
      <c r="E28" s="1091" t="s">
        <v>1158</v>
      </c>
      <c r="F28" s="1092" t="s">
        <v>7170</v>
      </c>
      <c r="G28" s="1095" t="s">
        <v>517</v>
      </c>
      <c r="H28" s="1095" t="s">
        <v>517</v>
      </c>
      <c r="I28" s="1124"/>
      <c r="J28" s="1094"/>
    </row>
    <row r="29" spans="1:10" s="1915" customFormat="1" ht="32.25" customHeight="1" x14ac:dyDescent="0.25">
      <c r="A29" s="1094"/>
      <c r="B29" s="1123"/>
      <c r="C29" s="1089">
        <f t="shared" si="0"/>
        <v>25</v>
      </c>
      <c r="D29" s="1722" t="s">
        <v>1147</v>
      </c>
      <c r="E29" s="1091" t="s">
        <v>11939</v>
      </c>
      <c r="F29" s="1092" t="s">
        <v>12746</v>
      </c>
      <c r="G29" s="1095" t="s">
        <v>517</v>
      </c>
      <c r="H29" s="1095" t="s">
        <v>517</v>
      </c>
      <c r="I29" s="1124"/>
      <c r="J29" s="1094"/>
    </row>
    <row r="30" spans="1:10" ht="32.25" customHeight="1" x14ac:dyDescent="0.25">
      <c r="B30" s="1123"/>
      <c r="C30" s="1089">
        <f t="shared" si="0"/>
        <v>26</v>
      </c>
      <c r="D30" s="1675" t="s">
        <v>9531</v>
      </c>
      <c r="E30" s="1091" t="s">
        <v>9360</v>
      </c>
      <c r="F30" s="1092" t="s">
        <v>9368</v>
      </c>
      <c r="G30" s="1095" t="s">
        <v>517</v>
      </c>
      <c r="H30" s="1095" t="s">
        <v>517</v>
      </c>
      <c r="I30" s="1124"/>
    </row>
    <row r="31" spans="1:10" s="2512" customFormat="1" ht="32.25" customHeight="1" x14ac:dyDescent="0.25">
      <c r="A31" s="1094"/>
      <c r="B31" s="1123"/>
      <c r="C31" s="1089">
        <f t="shared" si="0"/>
        <v>27</v>
      </c>
      <c r="D31" s="2523" t="s">
        <v>13216</v>
      </c>
      <c r="E31" s="1091" t="s">
        <v>13194</v>
      </c>
      <c r="F31" s="1092" t="s">
        <v>13195</v>
      </c>
      <c r="G31" s="1095" t="s">
        <v>517</v>
      </c>
      <c r="H31" s="1095" t="s">
        <v>517</v>
      </c>
      <c r="I31" s="1124"/>
      <c r="J31" s="1094"/>
    </row>
    <row r="32" spans="1:10" ht="32.25" customHeight="1" x14ac:dyDescent="0.25">
      <c r="B32" s="1123"/>
      <c r="C32" s="1089">
        <f t="shared" si="0"/>
        <v>28</v>
      </c>
      <c r="D32" s="1675" t="s">
        <v>8209</v>
      </c>
      <c r="E32" s="1091" t="s">
        <v>6813</v>
      </c>
      <c r="F32" s="1092" t="s">
        <v>7169</v>
      </c>
      <c r="G32" s="1095" t="s">
        <v>517</v>
      </c>
      <c r="H32" s="1095" t="s">
        <v>517</v>
      </c>
      <c r="I32" s="1124"/>
    </row>
    <row r="33" spans="1:10" ht="32.25" customHeight="1" x14ac:dyDescent="0.25">
      <c r="B33" s="1123"/>
      <c r="C33" s="1089">
        <f t="shared" si="0"/>
        <v>29</v>
      </c>
      <c r="D33" s="1090" t="s">
        <v>6532</v>
      </c>
      <c r="E33" s="1091" t="s">
        <v>6533</v>
      </c>
      <c r="F33" s="1092" t="s">
        <v>685</v>
      </c>
      <c r="G33" s="1095" t="s">
        <v>517</v>
      </c>
      <c r="H33" s="1095" t="s">
        <v>517</v>
      </c>
      <c r="I33" s="1124"/>
    </row>
    <row r="34" spans="1:10" ht="32.25" customHeight="1" x14ac:dyDescent="0.25">
      <c r="B34" s="1123"/>
      <c r="C34" s="1089">
        <f t="shared" si="0"/>
        <v>30</v>
      </c>
      <c r="D34" s="1090" t="s">
        <v>2082</v>
      </c>
      <c r="E34" s="1091" t="s">
        <v>2073</v>
      </c>
      <c r="F34" s="1092" t="s">
        <v>9641</v>
      </c>
      <c r="G34" s="1095" t="s">
        <v>517</v>
      </c>
      <c r="H34" s="1095" t="s">
        <v>517</v>
      </c>
      <c r="I34" s="1124"/>
    </row>
    <row r="35" spans="1:10" ht="32.25" customHeight="1" x14ac:dyDescent="0.25">
      <c r="B35" s="1123"/>
      <c r="C35" s="1089">
        <f t="shared" si="0"/>
        <v>31</v>
      </c>
      <c r="D35" s="1090" t="s">
        <v>1930</v>
      </c>
      <c r="E35" s="1091" t="s">
        <v>1204</v>
      </c>
      <c r="F35" s="1092" t="s">
        <v>1205</v>
      </c>
      <c r="G35" s="1095" t="s">
        <v>517</v>
      </c>
      <c r="H35" s="1095" t="s">
        <v>517</v>
      </c>
      <c r="I35" s="1124"/>
    </row>
    <row r="36" spans="1:10" ht="32.25" customHeight="1" x14ac:dyDescent="0.25">
      <c r="B36" s="1123"/>
      <c r="C36" s="1089">
        <f t="shared" si="0"/>
        <v>32</v>
      </c>
      <c r="D36" s="1090" t="s">
        <v>1931</v>
      </c>
      <c r="E36" s="1091" t="s">
        <v>1214</v>
      </c>
      <c r="F36" s="1092" t="s">
        <v>1215</v>
      </c>
      <c r="G36" s="1095" t="s">
        <v>517</v>
      </c>
      <c r="H36" s="1095" t="s">
        <v>517</v>
      </c>
      <c r="I36" s="1124"/>
    </row>
    <row r="37" spans="1:10" ht="32.25" customHeight="1" x14ac:dyDescent="0.25">
      <c r="B37" s="1123"/>
      <c r="C37" s="1089">
        <f t="shared" si="0"/>
        <v>33</v>
      </c>
      <c r="D37" s="1090" t="s">
        <v>1932</v>
      </c>
      <c r="E37" s="1091" t="s">
        <v>1222</v>
      </c>
      <c r="F37" s="1092" t="s">
        <v>1223</v>
      </c>
      <c r="G37" s="1095" t="s">
        <v>517</v>
      </c>
      <c r="H37" s="1095" t="s">
        <v>517</v>
      </c>
      <c r="I37" s="1124"/>
    </row>
    <row r="38" spans="1:10" ht="32.25" customHeight="1" x14ac:dyDescent="0.25">
      <c r="B38" s="1123"/>
      <c r="C38" s="1089">
        <f t="shared" si="0"/>
        <v>34</v>
      </c>
      <c r="D38" s="1090" t="s">
        <v>7595</v>
      </c>
      <c r="E38" s="1091" t="s">
        <v>7555</v>
      </c>
      <c r="F38" s="1092" t="s">
        <v>7556</v>
      </c>
      <c r="G38" s="1095" t="s">
        <v>517</v>
      </c>
      <c r="H38" s="1095" t="s">
        <v>517</v>
      </c>
      <c r="I38" s="1124"/>
    </row>
    <row r="39" spans="1:10" ht="32.25" customHeight="1" x14ac:dyDescent="0.25">
      <c r="B39" s="1123"/>
      <c r="C39" s="1089">
        <f t="shared" si="0"/>
        <v>35</v>
      </c>
      <c r="D39" s="1722" t="s">
        <v>11944</v>
      </c>
      <c r="E39" s="1091" t="s">
        <v>11957</v>
      </c>
      <c r="F39" s="1092" t="s">
        <v>12747</v>
      </c>
      <c r="G39" s="1095" t="s">
        <v>517</v>
      </c>
      <c r="H39" s="1095" t="s">
        <v>517</v>
      </c>
      <c r="I39" s="1124"/>
    </row>
    <row r="40" spans="1:10" ht="32.25" customHeight="1" x14ac:dyDescent="0.25">
      <c r="B40" s="1123"/>
      <c r="C40" s="1089">
        <f t="shared" si="0"/>
        <v>36</v>
      </c>
      <c r="D40" s="1090" t="s">
        <v>1231</v>
      </c>
      <c r="E40" s="1091" t="s">
        <v>2074</v>
      </c>
      <c r="F40" s="1092" t="s">
        <v>1232</v>
      </c>
      <c r="G40" s="1095" t="s">
        <v>517</v>
      </c>
      <c r="H40" s="1095" t="s">
        <v>517</v>
      </c>
      <c r="I40" s="1124"/>
    </row>
    <row r="41" spans="1:10" ht="32.25" customHeight="1" x14ac:dyDescent="0.25">
      <c r="B41" s="1123"/>
      <c r="C41" s="1089">
        <f t="shared" si="0"/>
        <v>37</v>
      </c>
      <c r="D41" s="1090" t="s">
        <v>1941</v>
      </c>
      <c r="E41" s="1091" t="s">
        <v>9642</v>
      </c>
      <c r="F41" s="1092" t="s">
        <v>7172</v>
      </c>
      <c r="G41" s="1095" t="s">
        <v>517</v>
      </c>
      <c r="H41" s="1095" t="s">
        <v>517</v>
      </c>
      <c r="I41" s="1124"/>
    </row>
    <row r="42" spans="1:10" ht="32.25" customHeight="1" x14ac:dyDescent="0.25">
      <c r="B42" s="1123"/>
      <c r="C42" s="1089">
        <f t="shared" si="0"/>
        <v>38</v>
      </c>
      <c r="D42" s="1090" t="s">
        <v>1934</v>
      </c>
      <c r="E42" s="1091" t="s">
        <v>1284</v>
      </c>
      <c r="F42" s="1092" t="s">
        <v>1290</v>
      </c>
      <c r="G42" s="1095" t="s">
        <v>517</v>
      </c>
      <c r="H42" s="1095" t="s">
        <v>517</v>
      </c>
      <c r="I42" s="1124"/>
    </row>
    <row r="43" spans="1:10" ht="32.25" customHeight="1" x14ac:dyDescent="0.25">
      <c r="B43" s="1123"/>
      <c r="C43" s="1089">
        <f t="shared" si="0"/>
        <v>39</v>
      </c>
      <c r="D43" s="1090" t="s">
        <v>1935</v>
      </c>
      <c r="E43" s="1091" t="s">
        <v>1291</v>
      </c>
      <c r="F43" s="1092" t="s">
        <v>7173</v>
      </c>
      <c r="G43" s="1095" t="s">
        <v>517</v>
      </c>
      <c r="H43" s="1095" t="s">
        <v>517</v>
      </c>
      <c r="I43" s="1124"/>
    </row>
    <row r="44" spans="1:10" ht="32.25" customHeight="1" x14ac:dyDescent="0.25">
      <c r="B44" s="1123"/>
      <c r="C44" s="1089">
        <f t="shared" si="0"/>
        <v>40</v>
      </c>
      <c r="D44" s="1090" t="s">
        <v>9367</v>
      </c>
      <c r="E44" s="1091" t="s">
        <v>8281</v>
      </c>
      <c r="F44" s="1092" t="s">
        <v>9362</v>
      </c>
      <c r="G44" s="1095" t="s">
        <v>517</v>
      </c>
      <c r="H44" s="1095" t="s">
        <v>517</v>
      </c>
      <c r="I44" s="1124"/>
    </row>
    <row r="45" spans="1:10" ht="32.25" customHeight="1" x14ac:dyDescent="0.25">
      <c r="B45" s="1123"/>
      <c r="C45" s="1089">
        <f t="shared" si="0"/>
        <v>41</v>
      </c>
      <c r="D45" s="1090" t="s">
        <v>7334</v>
      </c>
      <c r="E45" s="1091" t="s">
        <v>9644</v>
      </c>
      <c r="F45" s="1092" t="s">
        <v>7162</v>
      </c>
      <c r="G45" s="1093" t="s">
        <v>517</v>
      </c>
      <c r="H45" s="1093" t="s">
        <v>517</v>
      </c>
      <c r="I45" s="1124"/>
    </row>
    <row r="46" spans="1:10" ht="32.25" customHeight="1" x14ac:dyDescent="0.25">
      <c r="B46" s="1123"/>
      <c r="C46" s="1089">
        <f t="shared" si="0"/>
        <v>42</v>
      </c>
      <c r="D46" s="1090" t="s">
        <v>1933</v>
      </c>
      <c r="E46" s="1091" t="s">
        <v>7262</v>
      </c>
      <c r="F46" s="1092" t="s">
        <v>1227</v>
      </c>
      <c r="G46" s="1095" t="s">
        <v>517</v>
      </c>
      <c r="H46" s="1095" t="s">
        <v>517</v>
      </c>
      <c r="I46" s="1124"/>
    </row>
    <row r="47" spans="1:10" s="2507" customFormat="1" ht="32.25" customHeight="1" x14ac:dyDescent="0.25">
      <c r="A47" s="1094"/>
      <c r="B47" s="1123"/>
      <c r="C47" s="1089">
        <f t="shared" si="0"/>
        <v>43</v>
      </c>
      <c r="D47" s="1722" t="s">
        <v>13220</v>
      </c>
      <c r="E47" s="1091" t="s">
        <v>13151</v>
      </c>
      <c r="F47" s="1092" t="s">
        <v>13152</v>
      </c>
      <c r="G47" s="1095" t="s">
        <v>517</v>
      </c>
      <c r="H47" s="1095" t="s">
        <v>517</v>
      </c>
      <c r="I47" s="1124"/>
      <c r="J47" s="1094"/>
    </row>
    <row r="48" spans="1:10" ht="32.25" customHeight="1" x14ac:dyDescent="0.25">
      <c r="B48" s="1123"/>
      <c r="C48" s="1089">
        <f t="shared" si="0"/>
        <v>44</v>
      </c>
      <c r="D48" s="1090" t="s">
        <v>1696</v>
      </c>
      <c r="E48" s="1091" t="s">
        <v>7263</v>
      </c>
      <c r="F48" s="1092" t="s">
        <v>7171</v>
      </c>
      <c r="G48" s="1095" t="s">
        <v>517</v>
      </c>
      <c r="H48" s="1095" t="s">
        <v>517</v>
      </c>
      <c r="I48" s="1124"/>
    </row>
    <row r="49" spans="2:9" ht="32.25" customHeight="1" x14ac:dyDescent="0.25">
      <c r="B49" s="1123"/>
      <c r="C49" s="1089">
        <f t="shared" si="0"/>
        <v>45</v>
      </c>
      <c r="D49" s="1090" t="s">
        <v>9593</v>
      </c>
      <c r="E49" s="1091" t="s">
        <v>9593</v>
      </c>
      <c r="F49" s="1092" t="s">
        <v>9593</v>
      </c>
      <c r="G49" s="1093" t="s">
        <v>517</v>
      </c>
      <c r="H49" s="1093" t="s">
        <v>517</v>
      </c>
      <c r="I49" s="1124"/>
    </row>
    <row r="50" spans="2:9" ht="33.75" customHeight="1" thickBot="1" x14ac:dyDescent="0.3">
      <c r="B50" s="1126"/>
      <c r="C50" s="1127"/>
      <c r="D50" s="1128"/>
      <c r="E50" s="1128"/>
      <c r="F50" s="1128"/>
      <c r="G50" s="1128"/>
      <c r="H50" s="1128"/>
      <c r="I50" s="1129"/>
    </row>
    <row r="51" spans="2:9" ht="30.75" customHeight="1" x14ac:dyDescent="0.25"/>
    <row r="52" spans="2:9" ht="30.75" customHeight="1" x14ac:dyDescent="0.25"/>
  </sheetData>
  <sheetProtection algorithmName="SHA-512" hashValue="ME8s9QvR18UrKPHM7PGuu34QLsdiquJ/hUoJbwI/FdIy2KmmnANHa0mzN6ecyjsQXLgUZfKNh0M46UodbIO+fA==" saltValue="azpN+5f1IhWhNq8biSgTDw==" spinCount="100000" sheet="1" objects="1" scenarios="1"/>
  <mergeCells count="1">
    <mergeCell ref="E3:H3"/>
  </mergeCells>
  <conditionalFormatting sqref="D11:F11">
    <cfRule type="expression" dxfId="30" priority="35" stopIfTrue="1">
      <formula>$G$11="N"</formula>
    </cfRule>
  </conditionalFormatting>
  <conditionalFormatting sqref="D12:F12">
    <cfRule type="expression" dxfId="29" priority="34" stopIfTrue="1">
      <formula>$G$12="N"</formula>
    </cfRule>
  </conditionalFormatting>
  <conditionalFormatting sqref="D46:F47">
    <cfRule type="expression" dxfId="28" priority="33" stopIfTrue="1">
      <formula>$G$46="N"</formula>
    </cfRule>
  </conditionalFormatting>
  <conditionalFormatting sqref="D48:F48">
    <cfRule type="expression" dxfId="27" priority="32" stopIfTrue="1">
      <formula>$G$48="N"</formula>
    </cfRule>
  </conditionalFormatting>
  <conditionalFormatting sqref="D13:F13">
    <cfRule type="expression" dxfId="26" priority="31" stopIfTrue="1">
      <formula>$G$13="N"</formula>
    </cfRule>
  </conditionalFormatting>
  <conditionalFormatting sqref="D14:F14">
    <cfRule type="expression" dxfId="25" priority="30" stopIfTrue="1">
      <formula>$G$14="N"</formula>
    </cfRule>
  </conditionalFormatting>
  <conditionalFormatting sqref="D16:F16">
    <cfRule type="expression" dxfId="24" priority="29" stopIfTrue="1">
      <formula>$G$16="N"</formula>
    </cfRule>
  </conditionalFormatting>
  <conditionalFormatting sqref="D17:F17">
    <cfRule type="expression" dxfId="23" priority="28" stopIfTrue="1">
      <formula>$G$17="N"</formula>
    </cfRule>
  </conditionalFormatting>
  <conditionalFormatting sqref="D18:F18">
    <cfRule type="expression" dxfId="22" priority="27" stopIfTrue="1">
      <formula>$G$18="N"</formula>
    </cfRule>
  </conditionalFormatting>
  <conditionalFormatting sqref="D19:F21">
    <cfRule type="expression" dxfId="21" priority="26" stopIfTrue="1">
      <formula>$G$19="N"</formula>
    </cfRule>
  </conditionalFormatting>
  <conditionalFormatting sqref="D22:F22">
    <cfRule type="expression" dxfId="20" priority="25" stopIfTrue="1">
      <formula>$G$22="N"</formula>
    </cfRule>
  </conditionalFormatting>
  <conditionalFormatting sqref="D24:F24">
    <cfRule type="expression" dxfId="19" priority="24" stopIfTrue="1">
      <formula>$G$24="N"</formula>
    </cfRule>
  </conditionalFormatting>
  <conditionalFormatting sqref="D27:F27">
    <cfRule type="expression" dxfId="18" priority="22" stopIfTrue="1">
      <formula>$G$27="N"</formula>
    </cfRule>
  </conditionalFormatting>
  <conditionalFormatting sqref="D32:F32">
    <cfRule type="expression" dxfId="17" priority="21" stopIfTrue="1">
      <formula>$G$32="N"</formula>
    </cfRule>
  </conditionalFormatting>
  <conditionalFormatting sqref="D33:F33">
    <cfRule type="expression" dxfId="16" priority="20" stopIfTrue="1">
      <formula>$G$33="N"</formula>
    </cfRule>
  </conditionalFormatting>
  <conditionalFormatting sqref="D34:F34">
    <cfRule type="expression" dxfId="15" priority="18" stopIfTrue="1">
      <formula>$G$34="N"</formula>
    </cfRule>
  </conditionalFormatting>
  <conditionalFormatting sqref="D35:F35">
    <cfRule type="expression" dxfId="14" priority="16" stopIfTrue="1">
      <formula>$G$35="N"</formula>
    </cfRule>
  </conditionalFormatting>
  <conditionalFormatting sqref="D36:F36">
    <cfRule type="expression" dxfId="13" priority="15" stopIfTrue="1">
      <formula>$G$36="N"</formula>
    </cfRule>
  </conditionalFormatting>
  <conditionalFormatting sqref="D40:F40">
    <cfRule type="expression" dxfId="12" priority="13" stopIfTrue="1">
      <formula>$G$40="N"</formula>
    </cfRule>
  </conditionalFormatting>
  <conditionalFormatting sqref="D41:F41">
    <cfRule type="expression" dxfId="11" priority="12" stopIfTrue="1">
      <formula>$G$41="N"</formula>
    </cfRule>
  </conditionalFormatting>
  <conditionalFormatting sqref="D42:F42">
    <cfRule type="expression" dxfId="10" priority="11" stopIfTrue="1">
      <formula>$G$42="N"</formula>
    </cfRule>
  </conditionalFormatting>
  <conditionalFormatting sqref="D43:F43">
    <cfRule type="expression" dxfId="9" priority="10" stopIfTrue="1">
      <formula>$G$43="N"</formula>
    </cfRule>
  </conditionalFormatting>
  <conditionalFormatting sqref="D25:F25">
    <cfRule type="expression" dxfId="8" priority="6" stopIfTrue="1">
      <formula>$G$25="N"</formula>
    </cfRule>
  </conditionalFormatting>
  <conditionalFormatting sqref="D26:F26">
    <cfRule type="expression" dxfId="7" priority="5" stopIfTrue="1">
      <formula>$G$26="N"</formula>
    </cfRule>
  </conditionalFormatting>
  <conditionalFormatting sqref="D37:F37">
    <cfRule type="expression" dxfId="6" priority="4" stopIfTrue="1">
      <formula>$G$37="N"</formula>
    </cfRule>
  </conditionalFormatting>
  <conditionalFormatting sqref="D38:F39">
    <cfRule type="expression" dxfId="5" priority="3" stopIfTrue="1">
      <formula>$G$38="N"</formula>
    </cfRule>
  </conditionalFormatting>
  <conditionalFormatting sqref="D44:F44">
    <cfRule type="expression" dxfId="4" priority="1" stopIfTrue="1">
      <formula>$G$43="N"</formula>
    </cfRule>
  </conditionalFormatting>
  <conditionalFormatting sqref="D28:F31">
    <cfRule type="expression" dxfId="3" priority="36" stopIfTrue="1">
      <formula>$G$28="N"</formula>
    </cfRule>
  </conditionalFormatting>
  <dataValidations count="1">
    <dataValidation type="list" allowBlank="1" showInputMessage="1" showErrorMessage="1" sqref="G46:H48 G16:H22 G11:H14 G24:H44">
      <formula1>"Y,N"</formula1>
    </dataValidation>
  </dataValidations>
  <hyperlinks>
    <hyperlink ref="D5" location="'PART A - General'!A1" display="Part A -General"/>
    <hyperlink ref="D6" location="'Nature Of Business'!A1" display="Nature Of Business"/>
    <hyperlink ref="D7" location="'Part A - BS'!A1" display="Part A - BS"/>
    <hyperlink ref="D10" location="'Profit and Loss'!J6" display="Profit and Loss"/>
    <hyperlink ref="D12" location="'Quantitative Details'!A1" display="Quantitative Details"/>
    <hyperlink ref="D45" location="'Part B - TI TTI'!A1" display="Part B - TI TTI"/>
    <hyperlink ref="D14" location="'House Property'!A1" display="House Property"/>
    <hyperlink ref="D15" location="BP!A1" display="BP"/>
    <hyperlink ref="D16" location="'DPM - DOA'!A1" display="DPM-DCG"/>
    <hyperlink ref="D18" location="ESR!A1" display="ESR"/>
    <hyperlink ref="D19" location="CG!A1" display="CG"/>
    <hyperlink ref="D22" location="OS!A1" display="OS"/>
    <hyperlink ref="D23" location="'CYLA - BFLA'!A1" display="CYLA - BFLA"/>
    <hyperlink ref="D24" location="CFL!A1" display="CFL"/>
    <hyperlink ref="D25" location="'Unabsorbed Depreciation'!A1" display="Unabsorbed Depriciation"/>
    <hyperlink ref="D27" location="'10AA'!A1" display="10AA"/>
    <hyperlink ref="D34" location="'SPI - SI - IF'!A1" display="SPI - SI - IF"/>
    <hyperlink ref="D35" location="AMT!A1" display="AMT"/>
    <hyperlink ref="D36" location="AMTC!A1" display="AMTC"/>
    <hyperlink ref="D37" location="EI!A1" display="EI"/>
    <hyperlink ref="D40" location="FSI!A1" display="FSI"/>
    <hyperlink ref="D41" location="TR_FA!A1" display="TR-FA"/>
    <hyperlink ref="D42" location="'Sch 5A'!A1" display="Sch 5A"/>
    <hyperlink ref="D43" location="AL!A1" display="AL"/>
    <hyperlink ref="D11" location="'Part A - OI'!A1" display="Part A - OI"/>
    <hyperlink ref="D33" location="'VI-A'!A1" display="VI-A"/>
    <hyperlink ref="D28" location="'80G'!A1" display="80G"/>
    <hyperlink ref="D17" location="DEP_DCG!A1" display="DEP_DCG"/>
    <hyperlink ref="D48" location="TDS!A1" display="TDS"/>
    <hyperlink ref="D46" location="IT!A1" display="IT"/>
    <hyperlink ref="D13" location="'Schedule S'!A1" display="Schedule S"/>
    <hyperlink ref="D26" location="ICDS!A1" display="ICDS"/>
    <hyperlink ref="D38" location="PTI!A1" display="PTI"/>
    <hyperlink ref="D32" location="'80'!A1" display="'80"/>
    <hyperlink ref="D44" location="GST!F5" display="GST"/>
    <hyperlink ref="D30" location="RA!E7" display="RA"/>
    <hyperlink ref="D8" location="'Manufacturing Account'!R5" display="Manufacturing Account"/>
    <hyperlink ref="D9" location="'Trading Account'!K6" display="Trading Account"/>
    <hyperlink ref="D49" location="Verification!C3" display="Verification"/>
    <hyperlink ref="D20" location="'Schedule 112A'!A1" display="Schedule 112A"/>
    <hyperlink ref="D21" location="'Schedule 115AD(1)(iii) proviso'!A1" display="Schedule 115AD(1)(iii) proviso"/>
    <hyperlink ref="D29" location="'80D'!A1" display="80D"/>
    <hyperlink ref="D39" location="TPSA!A1" display="TPSA"/>
    <hyperlink ref="D47" location="ESOP!A1" display="ESOP"/>
    <hyperlink ref="D31" location="'80GGA'!A1" display="80GGA"/>
  </hyperlinks>
  <pageMargins left="0.7" right="0.7" top="0.75" bottom="0.75" header="0.3" footer="0.3"/>
  <pageSetup paperSize="9" orientation="portrait"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0355" r:id="rId5" name="Button 3">
              <controlPr defaultSize="0" print="0" autoFill="0" autoPict="0" macro="[0]!apply_click">
                <anchor>
                  <from>
                    <xdr:col>8</xdr:col>
                    <xdr:colOff>95250</xdr:colOff>
                    <xdr:row>2</xdr:row>
                    <xdr:rowOff>361950</xdr:rowOff>
                  </from>
                  <to>
                    <xdr:col>8</xdr:col>
                    <xdr:colOff>1466850</xdr:colOff>
                    <xdr:row>2</xdr:row>
                    <xdr:rowOff>638175</xdr:rowOff>
                  </to>
                </anchor>
              </controlPr>
            </control>
          </mc:Choice>
        </mc:AlternateContent>
        <mc:AlternateContent xmlns:mc="http://schemas.openxmlformats.org/markup-compatibility/2006">
          <mc:Choice Requires="x14">
            <control shapeId="100356" r:id="rId6" name="Button 4">
              <controlPr defaultSize="0" print="0" autoFill="0" autoPict="0" macro="[0]!Instruction_Sheet">
                <anchor>
                  <from>
                    <xdr:col>8</xdr:col>
                    <xdr:colOff>95250</xdr:colOff>
                    <xdr:row>2</xdr:row>
                    <xdr:rowOff>95250</xdr:rowOff>
                  </from>
                  <to>
                    <xdr:col>8</xdr:col>
                    <xdr:colOff>1466850</xdr:colOff>
                    <xdr:row>2</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25"/>
  <sheetViews>
    <sheetView showGridLines="0" showRowColHeaders="0" zoomScaleNormal="100" workbookViewId="0"/>
  </sheetViews>
  <sheetFormatPr defaultColWidth="0" defaultRowHeight="0" customHeight="1" zeroHeight="1" x14ac:dyDescent="0.2"/>
  <cols>
    <col min="1" max="1" width="2.85546875" style="113" customWidth="1"/>
    <col min="2" max="2" width="4" style="113" customWidth="1"/>
    <col min="3" max="3" width="3.85546875" style="113" customWidth="1"/>
    <col min="4" max="4" width="3" style="113" customWidth="1"/>
    <col min="5" max="5" width="6.42578125" style="113" customWidth="1"/>
    <col min="6" max="6" width="16.5703125" style="113" customWidth="1"/>
    <col min="7" max="7" width="2.140625" style="113" hidden="1" customWidth="1"/>
    <col min="8" max="8" width="1.42578125" style="113" hidden="1" customWidth="1"/>
    <col min="9" max="9" width="1.7109375" style="113" hidden="1" customWidth="1"/>
    <col min="10" max="10" width="1.5703125" style="113" hidden="1" customWidth="1"/>
    <col min="11" max="11" width="1.85546875" style="113" hidden="1" customWidth="1"/>
    <col min="12" max="12" width="3" style="113" hidden="1" customWidth="1"/>
    <col min="13" max="13" width="3.28515625" style="113" hidden="1" customWidth="1"/>
    <col min="14" max="14" width="21.85546875" style="113" customWidth="1"/>
    <col min="15" max="15" width="16.5703125" style="113" customWidth="1"/>
    <col min="16" max="16" width="4" style="113" customWidth="1"/>
    <col min="17" max="17" width="2.85546875" style="113" customWidth="1"/>
    <col min="18" max="18" width="6.140625" style="113" customWidth="1"/>
    <col min="19" max="19" width="3.42578125" style="113" customWidth="1"/>
    <col min="20" max="20" width="3" style="113" customWidth="1"/>
    <col min="21" max="21" width="1.7109375" style="113" customWidth="1"/>
    <col min="22" max="22" width="6.28515625" style="113" customWidth="1"/>
    <col min="23" max="23" width="12.28515625" style="113" customWidth="1"/>
    <col min="24" max="24" width="2.28515625" style="113" customWidth="1"/>
    <col min="25" max="25" width="12" style="113" customWidth="1"/>
    <col min="26" max="26" width="5.5703125" style="113" customWidth="1"/>
    <col min="27" max="27" width="5.28515625" style="113" customWidth="1"/>
    <col min="28" max="28" width="7.42578125" style="113" customWidth="1"/>
    <col min="29" max="29" width="5.42578125" style="113" customWidth="1"/>
    <col min="30" max="30" width="7" style="113" customWidth="1"/>
    <col min="31" max="31" width="5.7109375" style="113" customWidth="1"/>
    <col min="32" max="32" width="2.85546875" style="113" customWidth="1"/>
    <col min="33" max="33" width="5.7109375" style="113" customWidth="1"/>
    <col min="34" max="34" width="16.5703125" style="113" customWidth="1"/>
    <col min="35" max="35" width="5.85546875" style="113" customWidth="1"/>
    <col min="36" max="36" width="8.140625" style="113" customWidth="1"/>
    <col min="37" max="37" width="10.42578125" style="113" customWidth="1"/>
    <col min="38" max="38" width="5.7109375" style="113" customWidth="1"/>
    <col min="39" max="39" width="9.28515625" style="113" customWidth="1"/>
    <col min="40" max="40" width="3.140625" style="113" customWidth="1"/>
    <col min="41" max="41" width="5.28515625" style="113" customWidth="1"/>
    <col min="42" max="42" width="3.28515625" style="113" customWidth="1"/>
    <col min="43" max="43" width="5.140625" style="113" customWidth="1"/>
    <col min="44" max="44" width="4" style="113" customWidth="1"/>
    <col min="45" max="45" width="2.140625" style="113" customWidth="1"/>
    <col min="46" max="46" width="7" style="113" customWidth="1"/>
    <col min="47" max="47" width="5" style="117" customWidth="1"/>
    <col min="48" max="49" width="7.5703125" style="117" customWidth="1"/>
    <col min="50" max="50" width="6" style="113" customWidth="1"/>
    <col min="51" max="51" width="10.5703125" style="113" customWidth="1"/>
    <col min="52" max="255" width="7.5703125" style="113" hidden="1"/>
    <col min="256" max="16383" width="5.140625" style="113" hidden="1"/>
    <col min="16384" max="16384" width="1.85546875" style="113" hidden="1"/>
  </cols>
  <sheetData>
    <row r="1" spans="2:58" ht="15" customHeight="1" thickBot="1" x14ac:dyDescent="0.25">
      <c r="AV1" s="354"/>
    </row>
    <row r="2" spans="2:58" ht="15" customHeight="1" x14ac:dyDescent="0.2">
      <c r="B2" s="1130"/>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83"/>
      <c r="AV2" s="1183"/>
      <c r="AW2" s="1183"/>
      <c r="AX2" s="1132"/>
    </row>
    <row r="3" spans="2:58" ht="15.75" customHeight="1" x14ac:dyDescent="0.2">
      <c r="B3" s="1121"/>
      <c r="C3" s="2862" t="s">
        <v>0</v>
      </c>
      <c r="D3" s="2863"/>
      <c r="E3" s="2890" t="s">
        <v>7685</v>
      </c>
      <c r="F3" s="2891"/>
      <c r="G3" s="1355"/>
      <c r="H3" s="1355"/>
      <c r="I3" s="1355"/>
      <c r="J3" s="1356"/>
      <c r="K3" s="1357"/>
      <c r="L3" s="1358"/>
      <c r="M3" s="1358"/>
      <c r="N3" s="2927" t="s">
        <v>1</v>
      </c>
      <c r="O3" s="2928"/>
      <c r="P3" s="2928"/>
      <c r="Q3" s="2928"/>
      <c r="R3" s="2928"/>
      <c r="S3" s="2928"/>
      <c r="T3" s="2928"/>
      <c r="U3" s="2928"/>
      <c r="V3" s="2928"/>
      <c r="W3" s="2928"/>
      <c r="X3" s="2928"/>
      <c r="Y3" s="2928"/>
      <c r="Z3" s="2928"/>
      <c r="AA3" s="2928"/>
      <c r="AB3" s="2928"/>
      <c r="AC3" s="2928"/>
      <c r="AD3" s="2928"/>
      <c r="AE3" s="2928"/>
      <c r="AF3" s="2928"/>
      <c r="AG3" s="2928"/>
      <c r="AH3" s="2928"/>
      <c r="AI3" s="2928"/>
      <c r="AJ3" s="2928"/>
      <c r="AK3" s="2928"/>
      <c r="AL3" s="2928"/>
      <c r="AM3" s="2929"/>
      <c r="AN3" s="2898" t="s">
        <v>2</v>
      </c>
      <c r="AO3" s="2899"/>
      <c r="AP3" s="2899"/>
      <c r="AQ3" s="2899"/>
      <c r="AR3" s="2899"/>
      <c r="AS3" s="2899"/>
      <c r="AT3" s="2899"/>
      <c r="AU3" s="1651"/>
      <c r="AV3" s="354"/>
      <c r="AW3" s="354"/>
      <c r="AX3" s="1122"/>
    </row>
    <row r="4" spans="2:58" ht="15.75" customHeight="1" x14ac:dyDescent="0.2">
      <c r="B4" s="1121"/>
      <c r="C4" s="2864"/>
      <c r="D4" s="2865"/>
      <c r="E4" s="2892"/>
      <c r="F4" s="2893"/>
      <c r="G4" s="1359"/>
      <c r="H4" s="1359"/>
      <c r="I4" s="1359"/>
      <c r="J4" s="1360"/>
      <c r="K4" s="1337"/>
      <c r="L4" s="1338"/>
      <c r="M4" s="1338"/>
      <c r="N4" s="2930" t="s">
        <v>9649</v>
      </c>
      <c r="O4" s="2931"/>
      <c r="P4" s="2931"/>
      <c r="Q4" s="2931"/>
      <c r="R4" s="2931"/>
      <c r="S4" s="2931"/>
      <c r="T4" s="2931"/>
      <c r="U4" s="2931"/>
      <c r="V4" s="2931"/>
      <c r="W4" s="2931"/>
      <c r="X4" s="2931"/>
      <c r="Y4" s="2931"/>
      <c r="Z4" s="2931"/>
      <c r="AA4" s="2931"/>
      <c r="AB4" s="2931"/>
      <c r="AC4" s="2931"/>
      <c r="AD4" s="2931"/>
      <c r="AE4" s="2931"/>
      <c r="AF4" s="2931"/>
      <c r="AG4" s="2931"/>
      <c r="AH4" s="2931"/>
      <c r="AI4" s="2931"/>
      <c r="AJ4" s="2931"/>
      <c r="AK4" s="2931"/>
      <c r="AL4" s="2931"/>
      <c r="AM4" s="2932"/>
      <c r="AN4" s="2900" t="s">
        <v>13029</v>
      </c>
      <c r="AO4" s="2901"/>
      <c r="AP4" s="2901"/>
      <c r="AQ4" s="2901"/>
      <c r="AR4" s="2901"/>
      <c r="AS4" s="2901"/>
      <c r="AT4" s="2901"/>
      <c r="AU4" s="1361"/>
      <c r="AV4" s="354"/>
      <c r="AW4" s="354"/>
      <c r="AX4" s="1122"/>
    </row>
    <row r="5" spans="2:58" ht="15.75" customHeight="1" x14ac:dyDescent="0.2">
      <c r="B5" s="1121"/>
      <c r="C5" s="2864"/>
      <c r="D5" s="2865"/>
      <c r="E5" s="2892"/>
      <c r="F5" s="2893"/>
      <c r="G5" s="1359"/>
      <c r="H5" s="1359"/>
      <c r="I5" s="1359"/>
      <c r="J5" s="1360"/>
      <c r="K5" s="1361"/>
      <c r="L5" s="1362"/>
      <c r="M5" s="1362"/>
      <c r="N5" s="2904" t="s">
        <v>9365</v>
      </c>
      <c r="O5" s="2905"/>
      <c r="P5" s="2905"/>
      <c r="Q5" s="2905"/>
      <c r="R5" s="2905"/>
      <c r="S5" s="2905"/>
      <c r="T5" s="2905"/>
      <c r="U5" s="2905"/>
      <c r="V5" s="2905"/>
      <c r="W5" s="2905"/>
      <c r="X5" s="2905"/>
      <c r="Y5" s="2905"/>
      <c r="Z5" s="2905"/>
      <c r="AA5" s="2905"/>
      <c r="AB5" s="2905"/>
      <c r="AC5" s="2905"/>
      <c r="AD5" s="2905"/>
      <c r="AE5" s="2905"/>
      <c r="AF5" s="2905"/>
      <c r="AG5" s="2905"/>
      <c r="AH5" s="2905"/>
      <c r="AI5" s="2905"/>
      <c r="AJ5" s="2905"/>
      <c r="AK5" s="2905"/>
      <c r="AL5" s="2905"/>
      <c r="AM5" s="2906"/>
      <c r="AN5" s="2900"/>
      <c r="AO5" s="2901"/>
      <c r="AP5" s="2901"/>
      <c r="AQ5" s="2901"/>
      <c r="AR5" s="2901"/>
      <c r="AS5" s="2901"/>
      <c r="AT5" s="2901"/>
      <c r="AU5" s="1651"/>
      <c r="AV5" s="354"/>
      <c r="AW5" s="354"/>
      <c r="AX5" s="1122"/>
    </row>
    <row r="6" spans="2:58" ht="10.5" customHeight="1" x14ac:dyDescent="0.2">
      <c r="B6" s="1121"/>
      <c r="C6" s="2867"/>
      <c r="D6" s="2868"/>
      <c r="E6" s="2894"/>
      <c r="F6" s="2895"/>
      <c r="G6" s="1363"/>
      <c r="H6" s="1363"/>
      <c r="I6" s="1363"/>
      <c r="J6" s="1364"/>
      <c r="K6" s="1365"/>
      <c r="L6" s="1366"/>
      <c r="M6" s="1366"/>
      <c r="N6" s="2907"/>
      <c r="O6" s="2908"/>
      <c r="P6" s="2908"/>
      <c r="Q6" s="2908"/>
      <c r="R6" s="2908"/>
      <c r="S6" s="2908"/>
      <c r="T6" s="2908"/>
      <c r="U6" s="2908"/>
      <c r="V6" s="2908"/>
      <c r="W6" s="2908"/>
      <c r="X6" s="2908"/>
      <c r="Y6" s="2908"/>
      <c r="Z6" s="2908"/>
      <c r="AA6" s="2908"/>
      <c r="AB6" s="2908"/>
      <c r="AC6" s="2908"/>
      <c r="AD6" s="2908"/>
      <c r="AE6" s="2908"/>
      <c r="AF6" s="2908"/>
      <c r="AG6" s="2908"/>
      <c r="AH6" s="2908"/>
      <c r="AI6" s="2908"/>
      <c r="AJ6" s="2908"/>
      <c r="AK6" s="2908"/>
      <c r="AL6" s="2908"/>
      <c r="AM6" s="2909"/>
      <c r="AN6" s="2902"/>
      <c r="AO6" s="2903"/>
      <c r="AP6" s="2903"/>
      <c r="AQ6" s="2903"/>
      <c r="AR6" s="2903"/>
      <c r="AS6" s="2903"/>
      <c r="AT6" s="2903"/>
      <c r="AU6" s="1217"/>
      <c r="AV6" s="354"/>
      <c r="AW6" s="354"/>
      <c r="AX6" s="1122"/>
    </row>
    <row r="7" spans="2:58" ht="12.75" x14ac:dyDescent="0.2">
      <c r="B7" s="1121"/>
      <c r="C7" s="2862" t="s">
        <v>3</v>
      </c>
      <c r="D7" s="2863"/>
      <c r="E7" s="2717" t="s">
        <v>4</v>
      </c>
      <c r="F7" s="2718"/>
      <c r="G7" s="2718"/>
      <c r="H7" s="2718"/>
      <c r="I7" s="2718"/>
      <c r="J7" s="2718"/>
      <c r="K7" s="2718"/>
      <c r="L7" s="2718"/>
      <c r="M7" s="2718"/>
      <c r="N7" s="2869"/>
      <c r="O7" s="2717" t="s">
        <v>5</v>
      </c>
      <c r="P7" s="2718"/>
      <c r="Q7" s="2718"/>
      <c r="R7" s="2718"/>
      <c r="S7" s="2718"/>
      <c r="T7" s="2718"/>
      <c r="U7" s="2718"/>
      <c r="V7" s="2869"/>
      <c r="W7" s="2859" t="s">
        <v>6</v>
      </c>
      <c r="X7" s="2860"/>
      <c r="Y7" s="2860"/>
      <c r="Z7" s="2860"/>
      <c r="AA7" s="2860"/>
      <c r="AB7" s="2860"/>
      <c r="AC7" s="2860"/>
      <c r="AD7" s="2860"/>
      <c r="AE7" s="2860"/>
      <c r="AF7" s="2860"/>
      <c r="AG7" s="2860"/>
      <c r="AH7" s="2860"/>
      <c r="AI7" s="2860"/>
      <c r="AJ7" s="2861"/>
      <c r="AK7" s="2772" t="s">
        <v>7</v>
      </c>
      <c r="AL7" s="2773"/>
      <c r="AM7" s="2773"/>
      <c r="AN7" s="2773"/>
      <c r="AO7" s="2773"/>
      <c r="AP7" s="2773"/>
      <c r="AQ7" s="2773"/>
      <c r="AR7" s="2773"/>
      <c r="AS7" s="2773"/>
      <c r="AT7" s="2773"/>
      <c r="AU7" s="1652" t="s">
        <v>8</v>
      </c>
      <c r="AV7" s="354"/>
      <c r="AW7" s="354"/>
      <c r="AX7" s="1122"/>
    </row>
    <row r="8" spans="2:58" ht="31.5" customHeight="1" x14ac:dyDescent="0.2">
      <c r="B8" s="1121"/>
      <c r="C8" s="2864"/>
      <c r="D8" s="2865"/>
      <c r="E8" s="2933"/>
      <c r="F8" s="2934"/>
      <c r="G8" s="2934"/>
      <c r="H8" s="2934"/>
      <c r="I8" s="2934"/>
      <c r="J8" s="2934"/>
      <c r="K8" s="2934"/>
      <c r="L8" s="2934"/>
      <c r="M8" s="2934"/>
      <c r="N8" s="2935"/>
      <c r="O8" s="2834"/>
      <c r="P8" s="2835"/>
      <c r="Q8" s="2835"/>
      <c r="R8" s="2835"/>
      <c r="S8" s="2835"/>
      <c r="T8" s="2835"/>
      <c r="U8" s="2835"/>
      <c r="V8" s="2838"/>
      <c r="W8" s="2834" t="s">
        <v>23</v>
      </c>
      <c r="X8" s="2835"/>
      <c r="Y8" s="2835"/>
      <c r="Z8" s="2835"/>
      <c r="AA8" s="2835"/>
      <c r="AB8" s="2835"/>
      <c r="AC8" s="2835"/>
      <c r="AD8" s="2835"/>
      <c r="AE8" s="2835"/>
      <c r="AF8" s="2835"/>
      <c r="AG8" s="2835"/>
      <c r="AH8" s="2835"/>
      <c r="AI8" s="2835"/>
      <c r="AJ8" s="2838"/>
      <c r="AK8" s="2723"/>
      <c r="AL8" s="2724"/>
      <c r="AM8" s="2724"/>
      <c r="AN8" s="2724"/>
      <c r="AO8" s="2724"/>
      <c r="AP8" s="2724"/>
      <c r="AQ8" s="2724"/>
      <c r="AR8" s="2724"/>
      <c r="AS8" s="2724"/>
      <c r="AT8" s="2724"/>
      <c r="AU8" s="1652"/>
      <c r="AV8" s="354"/>
      <c r="AW8" s="354"/>
      <c r="AX8" s="1653"/>
    </row>
    <row r="9" spans="2:58" ht="12.75" x14ac:dyDescent="0.2">
      <c r="B9" s="1121"/>
      <c r="C9" s="2864"/>
      <c r="D9" s="2865"/>
      <c r="E9" s="2859" t="s">
        <v>9</v>
      </c>
      <c r="F9" s="2860"/>
      <c r="G9" s="2860"/>
      <c r="H9" s="2860"/>
      <c r="I9" s="2860"/>
      <c r="J9" s="2860"/>
      <c r="K9" s="2860"/>
      <c r="L9" s="2860"/>
      <c r="M9" s="2860"/>
      <c r="N9" s="2860"/>
      <c r="O9" s="2860"/>
      <c r="P9" s="2860"/>
      <c r="Q9" s="2860"/>
      <c r="R9" s="2860"/>
      <c r="S9" s="2860"/>
      <c r="T9" s="2860"/>
      <c r="U9" s="2860"/>
      <c r="V9" s="2861"/>
      <c r="W9" s="2717" t="s">
        <v>10</v>
      </c>
      <c r="X9" s="2718"/>
      <c r="Y9" s="2718"/>
      <c r="Z9" s="2718"/>
      <c r="AA9" s="2718"/>
      <c r="AB9" s="2718"/>
      <c r="AC9" s="2718"/>
      <c r="AD9" s="2718"/>
      <c r="AE9" s="2718"/>
      <c r="AF9" s="2718"/>
      <c r="AG9" s="2718"/>
      <c r="AH9" s="2718"/>
      <c r="AI9" s="2718"/>
      <c r="AJ9" s="2869"/>
      <c r="AK9" s="2896" t="s">
        <v>11</v>
      </c>
      <c r="AL9" s="2897"/>
      <c r="AM9" s="2897"/>
      <c r="AN9" s="2897"/>
      <c r="AO9" s="2897"/>
      <c r="AP9" s="2897"/>
      <c r="AQ9" s="2897"/>
      <c r="AR9" s="2897"/>
      <c r="AS9" s="2897"/>
      <c r="AT9" s="2897"/>
      <c r="AU9" s="1652"/>
      <c r="AV9" s="354"/>
      <c r="AW9" s="354"/>
      <c r="AX9" s="1122"/>
      <c r="BB9" s="121" t="s">
        <v>12</v>
      </c>
    </row>
    <row r="10" spans="2:58" ht="33" customHeight="1" x14ac:dyDescent="0.2">
      <c r="B10" s="1121"/>
      <c r="C10" s="2864"/>
      <c r="D10" s="2865"/>
      <c r="E10" s="2883"/>
      <c r="F10" s="2884"/>
      <c r="G10" s="2884"/>
      <c r="H10" s="2884"/>
      <c r="I10" s="2884"/>
      <c r="J10" s="2884"/>
      <c r="K10" s="2884"/>
      <c r="L10" s="2884"/>
      <c r="M10" s="2884"/>
      <c r="N10" s="2884"/>
      <c r="O10" s="2884"/>
      <c r="P10" s="2884"/>
      <c r="Q10" s="2884"/>
      <c r="R10" s="2884"/>
      <c r="S10" s="2884"/>
      <c r="T10" s="2884"/>
      <c r="U10" s="2884"/>
      <c r="V10" s="2885"/>
      <c r="W10" s="2920"/>
      <c r="X10" s="2921"/>
      <c r="Y10" s="2921"/>
      <c r="Z10" s="2921"/>
      <c r="AA10" s="2921"/>
      <c r="AB10" s="2921"/>
      <c r="AC10" s="2921"/>
      <c r="AD10" s="2921"/>
      <c r="AE10" s="2921"/>
      <c r="AF10" s="2921"/>
      <c r="AG10" s="2921"/>
      <c r="AH10" s="2921"/>
      <c r="AI10" s="2921"/>
      <c r="AJ10" s="2922"/>
      <c r="AK10" s="2834" t="s">
        <v>12</v>
      </c>
      <c r="AL10" s="2835"/>
      <c r="AM10" s="2835"/>
      <c r="AN10" s="2835"/>
      <c r="AO10" s="2835"/>
      <c r="AP10" s="2835"/>
      <c r="AQ10" s="2835"/>
      <c r="AR10" s="2835"/>
      <c r="AS10" s="2835"/>
      <c r="AT10" s="2835"/>
      <c r="AU10" s="1652"/>
      <c r="AV10" s="354"/>
      <c r="AW10" s="354"/>
      <c r="AX10" s="1122"/>
      <c r="BB10" s="121" t="s">
        <v>2080</v>
      </c>
      <c r="BC10" s="121"/>
      <c r="BD10" s="121"/>
      <c r="BE10" s="121" t="s">
        <v>2076</v>
      </c>
      <c r="BF10" s="121" t="s">
        <v>2077</v>
      </c>
    </row>
    <row r="11" spans="2:58" ht="12.75" customHeight="1" x14ac:dyDescent="0.2">
      <c r="B11" s="1121"/>
      <c r="C11" s="2864"/>
      <c r="D11" s="2865"/>
      <c r="E11" s="2923" t="s">
        <v>13</v>
      </c>
      <c r="F11" s="2924"/>
      <c r="G11" s="2924"/>
      <c r="H11" s="2924"/>
      <c r="I11" s="2924"/>
      <c r="J11" s="2924"/>
      <c r="K11" s="2924"/>
      <c r="L11" s="2924"/>
      <c r="M11" s="2924"/>
      <c r="N11" s="2924"/>
      <c r="O11" s="2924"/>
      <c r="P11" s="2924"/>
      <c r="Q11" s="2924"/>
      <c r="R11" s="2924"/>
      <c r="S11" s="2924"/>
      <c r="T11" s="2924"/>
      <c r="U11" s="2924"/>
      <c r="V11" s="2924"/>
      <c r="W11" s="2964" t="s">
        <v>14</v>
      </c>
      <c r="X11" s="2965"/>
      <c r="Y11" s="2965"/>
      <c r="Z11" s="2965"/>
      <c r="AA11" s="2965"/>
      <c r="AB11" s="2965"/>
      <c r="AC11" s="2965"/>
      <c r="AD11" s="2966"/>
      <c r="AE11" s="2964" t="s">
        <v>13153</v>
      </c>
      <c r="AF11" s="2965"/>
      <c r="AG11" s="2965"/>
      <c r="AH11" s="2965"/>
      <c r="AI11" s="2965"/>
      <c r="AJ11" s="2966"/>
      <c r="AK11" s="2886" t="s">
        <v>8247</v>
      </c>
      <c r="AL11" s="2887"/>
      <c r="AM11" s="2887"/>
      <c r="AN11" s="2887"/>
      <c r="AO11" s="2887"/>
      <c r="AP11" s="2887"/>
      <c r="AQ11" s="2887"/>
      <c r="AR11" s="2887"/>
      <c r="AS11" s="2887"/>
      <c r="AT11" s="2887"/>
      <c r="AU11" s="1652"/>
      <c r="AV11" s="354"/>
      <c r="AW11" s="354"/>
      <c r="AX11" s="1122"/>
      <c r="BB11" s="121" t="s">
        <v>2081</v>
      </c>
      <c r="BC11" s="121"/>
      <c r="BD11" s="121" t="s">
        <v>12</v>
      </c>
      <c r="BE11" s="121" t="s">
        <v>12</v>
      </c>
      <c r="BF11" s="121" t="s">
        <v>12</v>
      </c>
    </row>
    <row r="12" spans="2:58" ht="35.25" customHeight="1" x14ac:dyDescent="0.2">
      <c r="B12" s="1121"/>
      <c r="C12" s="2864"/>
      <c r="D12" s="2865"/>
      <c r="E12" s="2872"/>
      <c r="F12" s="2914"/>
      <c r="G12" s="2914"/>
      <c r="H12" s="2914"/>
      <c r="I12" s="2914"/>
      <c r="J12" s="2914"/>
      <c r="K12" s="2914"/>
      <c r="L12" s="2914"/>
      <c r="M12" s="2914"/>
      <c r="N12" s="2914"/>
      <c r="O12" s="2914"/>
      <c r="P12" s="2914"/>
      <c r="Q12" s="2914"/>
      <c r="R12" s="2914"/>
      <c r="S12" s="2914"/>
      <c r="T12" s="2914"/>
      <c r="U12" s="2914"/>
      <c r="V12" s="2915"/>
      <c r="W12" s="2962"/>
      <c r="X12" s="2963"/>
      <c r="Y12" s="2963"/>
      <c r="Z12" s="2963"/>
      <c r="AA12" s="2963"/>
      <c r="AB12" s="2963"/>
      <c r="AC12" s="2963"/>
      <c r="AD12" s="2963"/>
      <c r="AE12" s="2925"/>
      <c r="AF12" s="2926"/>
      <c r="AG12" s="2926"/>
      <c r="AH12" s="2926"/>
      <c r="AI12" s="2926"/>
      <c r="AJ12" s="2926"/>
      <c r="AK12" s="2925" t="s">
        <v>23</v>
      </c>
      <c r="AL12" s="2926"/>
      <c r="AM12" s="2926"/>
      <c r="AN12" s="2926"/>
      <c r="AO12" s="2926"/>
      <c r="AP12" s="2926"/>
      <c r="AQ12" s="2926"/>
      <c r="AR12" s="2926"/>
      <c r="AS12" s="2926"/>
      <c r="AT12" s="2926"/>
      <c r="AU12" s="1652"/>
      <c r="AV12" s="354"/>
      <c r="AW12" s="354"/>
      <c r="AX12" s="1122"/>
      <c r="BB12" s="121"/>
      <c r="BC12" s="121"/>
      <c r="BD12" s="121" t="s">
        <v>8243</v>
      </c>
      <c r="BE12" s="121" t="s">
        <v>2078</v>
      </c>
      <c r="BF12" s="121" t="s">
        <v>8245</v>
      </c>
    </row>
    <row r="13" spans="2:58" ht="12.75" hidden="1" customHeight="1" x14ac:dyDescent="0.2">
      <c r="B13" s="1121"/>
      <c r="C13" s="2864"/>
      <c r="D13" s="2866"/>
      <c r="E13" s="1100"/>
      <c r="F13" s="1101"/>
      <c r="G13" s="1101"/>
      <c r="H13" s="1101"/>
      <c r="I13" s="1101"/>
      <c r="J13" s="1101"/>
      <c r="K13" s="1101"/>
      <c r="L13" s="1101"/>
      <c r="M13" s="1101"/>
      <c r="N13" s="1101"/>
      <c r="O13" s="1101"/>
      <c r="P13" s="1101"/>
      <c r="Q13" s="1101"/>
      <c r="R13" s="1101"/>
      <c r="S13" s="1101"/>
      <c r="T13" s="1101"/>
      <c r="U13" s="1101"/>
      <c r="V13" s="1101"/>
      <c r="W13" s="1102"/>
      <c r="X13" s="1102"/>
      <c r="Y13" s="1102"/>
      <c r="Z13" s="1102"/>
      <c r="AA13" s="1102"/>
      <c r="AB13" s="1102"/>
      <c r="AC13" s="1102"/>
      <c r="AD13" s="1102"/>
      <c r="AE13" s="1102"/>
      <c r="AF13" s="1102"/>
      <c r="AG13" s="1102"/>
      <c r="AH13" s="1102"/>
      <c r="AI13" s="1102"/>
      <c r="AJ13" s="1102"/>
      <c r="AK13" s="2916"/>
      <c r="AL13" s="2916"/>
      <c r="AM13" s="1101"/>
      <c r="AN13" s="1101"/>
      <c r="AO13" s="1101"/>
      <c r="AP13" s="1101"/>
      <c r="AQ13" s="1101"/>
      <c r="AR13" s="1101"/>
      <c r="AS13" s="2913"/>
      <c r="AT13" s="2913"/>
      <c r="AU13" s="1652"/>
      <c r="AV13" s="354"/>
      <c r="AW13" s="354"/>
      <c r="AX13" s="1122"/>
      <c r="BB13" s="121"/>
      <c r="BC13" s="121"/>
      <c r="BD13" s="121" t="s">
        <v>8244</v>
      </c>
      <c r="BE13" s="121" t="s">
        <v>2079</v>
      </c>
      <c r="BF13" s="121"/>
    </row>
    <row r="14" spans="2:58" ht="12.75" x14ac:dyDescent="0.2">
      <c r="B14" s="1121"/>
      <c r="C14" s="2864"/>
      <c r="D14" s="2865"/>
      <c r="E14" s="2896" t="s">
        <v>15</v>
      </c>
      <c r="F14" s="2897"/>
      <c r="G14" s="2897"/>
      <c r="H14" s="2897"/>
      <c r="I14" s="2897"/>
      <c r="J14" s="2897"/>
      <c r="K14" s="2897"/>
      <c r="L14" s="2897"/>
      <c r="M14" s="2897"/>
      <c r="N14" s="2897"/>
      <c r="O14" s="2897"/>
      <c r="P14" s="2897"/>
      <c r="Q14" s="2897"/>
      <c r="R14" s="2897"/>
      <c r="S14" s="2897"/>
      <c r="T14" s="2897"/>
      <c r="U14" s="2897"/>
      <c r="V14" s="2912"/>
      <c r="W14" s="2896" t="s">
        <v>16</v>
      </c>
      <c r="X14" s="2897"/>
      <c r="Y14" s="2897"/>
      <c r="Z14" s="2897"/>
      <c r="AA14" s="2897"/>
      <c r="AB14" s="2897"/>
      <c r="AC14" s="2897"/>
      <c r="AD14" s="2912"/>
      <c r="AE14" s="2896" t="s">
        <v>17</v>
      </c>
      <c r="AF14" s="2897"/>
      <c r="AG14" s="2897"/>
      <c r="AH14" s="2897"/>
      <c r="AI14" s="2897"/>
      <c r="AJ14" s="2897"/>
      <c r="AK14" s="2897"/>
      <c r="AL14" s="2897"/>
      <c r="AM14" s="2897"/>
      <c r="AN14" s="2912"/>
      <c r="AO14" s="2715" t="s">
        <v>18</v>
      </c>
      <c r="AP14" s="2716"/>
      <c r="AQ14" s="2716"/>
      <c r="AR14" s="2716"/>
      <c r="AS14" s="2716"/>
      <c r="AT14" s="2716"/>
      <c r="AU14" s="1652"/>
      <c r="AV14" s="354"/>
      <c r="AW14" s="354"/>
      <c r="AX14" s="1122"/>
      <c r="BD14" s="121" t="s">
        <v>8246</v>
      </c>
      <c r="BE14" s="113" t="s">
        <v>8246</v>
      </c>
    </row>
    <row r="15" spans="2:58" ht="36" customHeight="1" x14ac:dyDescent="0.2">
      <c r="B15" s="1121"/>
      <c r="C15" s="2864"/>
      <c r="D15" s="2865"/>
      <c r="E15" s="2872"/>
      <c r="F15" s="2873"/>
      <c r="G15" s="2873"/>
      <c r="H15" s="2873"/>
      <c r="I15" s="2873"/>
      <c r="J15" s="2873"/>
      <c r="K15" s="2873"/>
      <c r="L15" s="2873"/>
      <c r="M15" s="2873"/>
      <c r="N15" s="2873"/>
      <c r="O15" s="2873"/>
      <c r="P15" s="2873"/>
      <c r="Q15" s="2873"/>
      <c r="R15" s="2873"/>
      <c r="S15" s="2873"/>
      <c r="T15" s="2873"/>
      <c r="U15" s="2873"/>
      <c r="V15" s="2874"/>
      <c r="W15" s="2723"/>
      <c r="X15" s="2724"/>
      <c r="Y15" s="2724"/>
      <c r="Z15" s="2724"/>
      <c r="AA15" s="2724"/>
      <c r="AB15" s="2724"/>
      <c r="AC15" s="2724"/>
      <c r="AD15" s="2725"/>
      <c r="AE15" s="2723"/>
      <c r="AF15" s="2724"/>
      <c r="AG15" s="2724"/>
      <c r="AH15" s="2724"/>
      <c r="AI15" s="2724"/>
      <c r="AJ15" s="2724"/>
      <c r="AK15" s="2724"/>
      <c r="AL15" s="2724"/>
      <c r="AM15" s="2724"/>
      <c r="AN15" s="2725"/>
      <c r="AO15" s="2875"/>
      <c r="AP15" s="2876"/>
      <c r="AQ15" s="2876"/>
      <c r="AR15" s="2876"/>
      <c r="AS15" s="2876"/>
      <c r="AT15" s="2876"/>
      <c r="AU15" s="1652"/>
      <c r="AV15" s="354"/>
      <c r="AW15" s="354"/>
      <c r="AX15" s="1122"/>
      <c r="BD15" s="121" t="s">
        <v>8245</v>
      </c>
    </row>
    <row r="16" spans="2:58" ht="15" customHeight="1" x14ac:dyDescent="0.2">
      <c r="B16" s="1121"/>
      <c r="C16" s="2864"/>
      <c r="D16" s="2865"/>
      <c r="E16" s="2880" t="s">
        <v>12752</v>
      </c>
      <c r="F16" s="2881"/>
      <c r="G16" s="2881"/>
      <c r="H16" s="2881"/>
      <c r="I16" s="2881"/>
      <c r="J16" s="2881"/>
      <c r="K16" s="2881"/>
      <c r="L16" s="2881"/>
      <c r="M16" s="2881"/>
      <c r="N16" s="2881"/>
      <c r="O16" s="2881"/>
      <c r="P16" s="2881"/>
      <c r="Q16" s="2881"/>
      <c r="R16" s="2881"/>
      <c r="S16" s="2881"/>
      <c r="T16" s="2881"/>
      <c r="U16" s="2881"/>
      <c r="V16" s="2881"/>
      <c r="W16" s="2881"/>
      <c r="X16" s="2881"/>
      <c r="Y16" s="2881"/>
      <c r="Z16" s="2881"/>
      <c r="AA16" s="2881"/>
      <c r="AB16" s="2881"/>
      <c r="AC16" s="2881"/>
      <c r="AD16" s="2882"/>
      <c r="AE16" s="2877"/>
      <c r="AF16" s="2878"/>
      <c r="AG16" s="2879"/>
      <c r="AH16" s="2917" t="s">
        <v>8072</v>
      </c>
      <c r="AI16" s="2918"/>
      <c r="AJ16" s="2919"/>
      <c r="AK16" s="2910"/>
      <c r="AL16" s="2911"/>
      <c r="AM16" s="2911"/>
      <c r="AN16" s="2911"/>
      <c r="AO16" s="2911"/>
      <c r="AP16" s="2911"/>
      <c r="AQ16" s="2911"/>
      <c r="AR16" s="122"/>
      <c r="AS16" s="123"/>
      <c r="AT16" s="123"/>
      <c r="AU16" s="1652"/>
      <c r="AV16" s="354"/>
      <c r="AW16" s="354"/>
      <c r="AX16" s="1122"/>
    </row>
    <row r="17" spans="2:56" ht="12.75" customHeight="1" x14ac:dyDescent="0.2">
      <c r="B17" s="1121"/>
      <c r="C17" s="2864"/>
      <c r="D17" s="2865"/>
      <c r="E17" s="2772" t="s">
        <v>19</v>
      </c>
      <c r="F17" s="2773"/>
      <c r="G17" s="2773"/>
      <c r="H17" s="2773"/>
      <c r="I17" s="2773"/>
      <c r="J17" s="2773"/>
      <c r="K17" s="2773"/>
      <c r="L17" s="2773"/>
      <c r="M17" s="2774"/>
      <c r="N17" s="2702" t="s">
        <v>20</v>
      </c>
      <c r="O17" s="2693"/>
      <c r="P17" s="2693"/>
      <c r="Q17" s="2693"/>
      <c r="R17" s="2693"/>
      <c r="S17" s="2693"/>
      <c r="T17" s="2693"/>
      <c r="U17" s="2693"/>
      <c r="V17" s="2703"/>
      <c r="W17" s="2888" t="s">
        <v>21</v>
      </c>
      <c r="X17" s="2889"/>
      <c r="Y17" s="2889"/>
      <c r="Z17" s="2889"/>
      <c r="AA17" s="2829" t="s">
        <v>9692</v>
      </c>
      <c r="AB17" s="2830"/>
      <c r="AC17" s="2830"/>
      <c r="AD17" s="2831"/>
      <c r="AE17" s="2830" t="s">
        <v>44</v>
      </c>
      <c r="AF17" s="2830"/>
      <c r="AG17" s="2830"/>
      <c r="AH17" s="2830"/>
      <c r="AI17" s="2830"/>
      <c r="AJ17" s="2831"/>
      <c r="AK17" s="2829" t="s">
        <v>22</v>
      </c>
      <c r="AL17" s="2830"/>
      <c r="AM17" s="2830"/>
      <c r="AN17" s="2830"/>
      <c r="AO17" s="2830"/>
      <c r="AP17" s="2830"/>
      <c r="AQ17" s="2830"/>
      <c r="AR17" s="2830"/>
      <c r="AS17" s="2830"/>
      <c r="AT17" s="2831"/>
      <c r="AU17" s="1652"/>
      <c r="AV17" s="354"/>
      <c r="AW17" s="354"/>
      <c r="AX17" s="1122"/>
    </row>
    <row r="18" spans="2:56" ht="34.5" customHeight="1" x14ac:dyDescent="0.2">
      <c r="B18" s="1121"/>
      <c r="C18" s="2867"/>
      <c r="D18" s="2868"/>
      <c r="E18" s="2832"/>
      <c r="F18" s="2833"/>
      <c r="G18" s="2833"/>
      <c r="H18" s="2833"/>
      <c r="I18" s="2833"/>
      <c r="J18" s="2833"/>
      <c r="K18" s="2833"/>
      <c r="L18" s="2833"/>
      <c r="M18" s="2833"/>
      <c r="N18" s="2832"/>
      <c r="O18" s="2833"/>
      <c r="P18" s="2833"/>
      <c r="Q18" s="2833"/>
      <c r="R18" s="2833"/>
      <c r="S18" s="2833"/>
      <c r="T18" s="2833"/>
      <c r="U18" s="2833"/>
      <c r="V18" s="2833"/>
      <c r="W18" s="1348" t="s">
        <v>23</v>
      </c>
      <c r="X18" s="2827" t="s">
        <v>23</v>
      </c>
      <c r="Y18" s="2827"/>
      <c r="Z18" s="2828"/>
      <c r="AA18" s="2826"/>
      <c r="AB18" s="2827"/>
      <c r="AC18" s="2827"/>
      <c r="AD18" s="2828"/>
      <c r="AE18" s="2870"/>
      <c r="AF18" s="2871"/>
      <c r="AG18" s="2871"/>
      <c r="AH18" s="2871"/>
      <c r="AI18" s="2871"/>
      <c r="AJ18" s="2871"/>
      <c r="AK18" s="1349" t="s">
        <v>23</v>
      </c>
      <c r="AL18" s="2826"/>
      <c r="AM18" s="2827"/>
      <c r="AN18" s="2827"/>
      <c r="AO18" s="2827"/>
      <c r="AP18" s="2827"/>
      <c r="AQ18" s="2827"/>
      <c r="AR18" s="2827"/>
      <c r="AS18" s="2827"/>
      <c r="AT18" s="2828"/>
      <c r="AU18" s="1652"/>
      <c r="AV18" s="354"/>
      <c r="AW18" s="354"/>
      <c r="AX18" s="1122"/>
      <c r="BD18" s="144" t="s">
        <v>12</v>
      </c>
    </row>
    <row r="19" spans="2:56" ht="15.75" customHeight="1" x14ac:dyDescent="0.2">
      <c r="B19" s="1121"/>
      <c r="C19" s="2864"/>
      <c r="D19" s="2866"/>
      <c r="E19" s="1100"/>
      <c r="F19" s="1101"/>
      <c r="G19" s="1101"/>
      <c r="H19" s="1101"/>
      <c r="I19" s="1101"/>
      <c r="J19" s="1101"/>
      <c r="K19" s="1101"/>
      <c r="L19" s="1101"/>
      <c r="M19" s="1101"/>
      <c r="N19" s="2854" t="s">
        <v>9617</v>
      </c>
      <c r="O19" s="2854"/>
      <c r="P19" s="1647"/>
      <c r="Q19" s="2854" t="s">
        <v>9616</v>
      </c>
      <c r="R19" s="2854"/>
      <c r="S19" s="2854"/>
      <c r="T19" s="2854"/>
      <c r="U19" s="2854"/>
      <c r="V19" s="2854"/>
      <c r="W19" s="2855"/>
      <c r="X19" s="2723" t="s">
        <v>12</v>
      </c>
      <c r="Y19" s="2724"/>
      <c r="Z19" s="2724"/>
      <c r="AA19" s="2724"/>
      <c r="AB19" s="2724"/>
      <c r="AC19" s="2724"/>
      <c r="AD19" s="2724"/>
      <c r="AE19" s="2802" t="s">
        <v>9643</v>
      </c>
      <c r="AF19" s="2802"/>
      <c r="AG19" s="2802"/>
      <c r="AH19" s="2802"/>
      <c r="AI19" s="2802"/>
      <c r="AJ19" s="2802"/>
      <c r="AK19" s="2723" t="s">
        <v>12</v>
      </c>
      <c r="AL19" s="2724"/>
      <c r="AM19" s="2724"/>
      <c r="AN19" s="2724"/>
      <c r="AO19" s="2724"/>
      <c r="AP19" s="2724"/>
      <c r="AQ19" s="2724"/>
      <c r="AR19" s="2724"/>
      <c r="AS19" s="2724"/>
      <c r="AT19" s="2725"/>
      <c r="AU19" s="1133"/>
      <c r="AV19" s="354"/>
      <c r="AW19" s="354"/>
      <c r="AX19" s="1122"/>
      <c r="BB19" s="144" t="str">
        <f>VLOOKUP(sheet1.ReturnFileSec,ReturnFileUnderSection,2,FALSE)</f>
        <v>(Select)</v>
      </c>
    </row>
    <row r="20" spans="2:56" ht="12.75" x14ac:dyDescent="0.2">
      <c r="B20" s="1121"/>
      <c r="C20" s="2864"/>
      <c r="D20" s="2865"/>
      <c r="E20" s="2936" t="s">
        <v>9693</v>
      </c>
      <c r="F20" s="2936"/>
      <c r="G20" s="2936"/>
      <c r="H20" s="2936"/>
      <c r="I20" s="2936"/>
      <c r="J20" s="2936"/>
      <c r="K20" s="2936"/>
      <c r="L20" s="2936"/>
      <c r="M20" s="2936"/>
      <c r="N20" s="2936"/>
      <c r="O20" s="2936"/>
      <c r="P20" s="2936"/>
      <c r="Q20" s="2936"/>
      <c r="R20" s="2936"/>
      <c r="S20" s="2936"/>
      <c r="T20" s="2936"/>
      <c r="U20" s="2936"/>
      <c r="V20" s="2936"/>
      <c r="W20" s="2849"/>
      <c r="X20" s="2849"/>
      <c r="Y20" s="2849"/>
      <c r="Z20" s="2849"/>
      <c r="AA20" s="2849"/>
      <c r="AB20" s="2849"/>
      <c r="AC20" s="2849"/>
      <c r="AD20" s="2849"/>
      <c r="AE20" s="2849"/>
      <c r="AF20" s="2842" t="s">
        <v>13155</v>
      </c>
      <c r="AG20" s="2843"/>
      <c r="AH20" s="2843"/>
      <c r="AI20" s="2843"/>
      <c r="AJ20" s="2843"/>
      <c r="AK20" s="2843"/>
      <c r="AL20" s="2843"/>
      <c r="AM20" s="2846"/>
      <c r="AN20" s="2846"/>
      <c r="AO20" s="2846"/>
      <c r="AP20" s="2846"/>
      <c r="AQ20" s="2846"/>
      <c r="AR20" s="2846"/>
      <c r="AS20" s="2846"/>
      <c r="AT20" s="2847"/>
      <c r="AU20" s="1648"/>
      <c r="AV20" s="354"/>
      <c r="AW20" s="354"/>
      <c r="AX20" s="1122"/>
      <c r="BB20" s="1326">
        <v>1</v>
      </c>
    </row>
    <row r="21" spans="2:56" ht="15" customHeight="1" x14ac:dyDescent="0.2">
      <c r="B21" s="1121"/>
      <c r="C21" s="2864"/>
      <c r="D21" s="2865"/>
      <c r="E21" s="2937"/>
      <c r="F21" s="2937"/>
      <c r="G21" s="2937"/>
      <c r="H21" s="2937"/>
      <c r="I21" s="2937"/>
      <c r="J21" s="2937"/>
      <c r="K21" s="2937"/>
      <c r="L21" s="2937"/>
      <c r="M21" s="2937"/>
      <c r="N21" s="2937"/>
      <c r="O21" s="2937"/>
      <c r="P21" s="2937"/>
      <c r="Q21" s="2937"/>
      <c r="R21" s="2937"/>
      <c r="S21" s="2937"/>
      <c r="T21" s="2937"/>
      <c r="U21" s="2937"/>
      <c r="V21" s="2937"/>
      <c r="W21" s="2850"/>
      <c r="X21" s="2850"/>
      <c r="Y21" s="2850"/>
      <c r="Z21" s="2850"/>
      <c r="AA21" s="2850"/>
      <c r="AB21" s="2850"/>
      <c r="AC21" s="2850"/>
      <c r="AD21" s="2850"/>
      <c r="AE21" s="2850"/>
      <c r="AF21" s="2844"/>
      <c r="AG21" s="2845"/>
      <c r="AH21" s="2845"/>
      <c r="AI21" s="2845"/>
      <c r="AJ21" s="2845"/>
      <c r="AK21" s="2845"/>
      <c r="AL21" s="2845"/>
      <c r="AM21" s="2848"/>
      <c r="AN21" s="2848"/>
      <c r="AO21" s="2848"/>
      <c r="AP21" s="2848"/>
      <c r="AQ21" s="2848"/>
      <c r="AR21" s="2848"/>
      <c r="AS21" s="2848"/>
      <c r="AT21" s="2682"/>
      <c r="AU21" s="1648"/>
      <c r="AV21" s="354"/>
      <c r="AW21" s="354"/>
      <c r="AX21" s="1122"/>
    </row>
    <row r="22" spans="2:56" ht="15" customHeight="1" x14ac:dyDescent="0.2">
      <c r="B22" s="1121"/>
      <c r="C22" s="2864"/>
      <c r="D22" s="2865"/>
      <c r="E22" s="2839" t="s">
        <v>13023</v>
      </c>
      <c r="F22" s="2840"/>
      <c r="G22" s="2840"/>
      <c r="H22" s="2840"/>
      <c r="I22" s="2840"/>
      <c r="J22" s="2840"/>
      <c r="K22" s="2840"/>
      <c r="L22" s="2840"/>
      <c r="M22" s="2840"/>
      <c r="N22" s="2840"/>
      <c r="O22" s="2840"/>
      <c r="P22" s="2840"/>
      <c r="Q22" s="2840"/>
      <c r="R22" s="2840"/>
      <c r="S22" s="2840"/>
      <c r="T22" s="2840"/>
      <c r="U22" s="2840"/>
      <c r="V22" s="2840"/>
      <c r="W22" s="2840"/>
      <c r="X22" s="2840"/>
      <c r="Y22" s="2840"/>
      <c r="Z22" s="2840"/>
      <c r="AA22" s="2840"/>
      <c r="AB22" s="2840"/>
      <c r="AC22" s="2840"/>
      <c r="AD22" s="2840"/>
      <c r="AE22" s="2840"/>
      <c r="AF22" s="2840"/>
      <c r="AG22" s="2840"/>
      <c r="AH22" s="2840"/>
      <c r="AI22" s="2840"/>
      <c r="AJ22" s="2840"/>
      <c r="AK22" s="2840"/>
      <c r="AL22" s="2840"/>
      <c r="AM22" s="2840"/>
      <c r="AN22" s="2840"/>
      <c r="AO22" s="2840"/>
      <c r="AP22" s="2840"/>
      <c r="AQ22" s="2840"/>
      <c r="AR22" s="2840"/>
      <c r="AS22" s="2840"/>
      <c r="AT22" s="2841"/>
      <c r="AU22" s="1648"/>
      <c r="AV22" s="354"/>
      <c r="AW22" s="354"/>
      <c r="AX22" s="1122"/>
    </row>
    <row r="23" spans="2:56" ht="41.25" customHeight="1" x14ac:dyDescent="0.2">
      <c r="B23" s="1121"/>
      <c r="C23" s="2864"/>
      <c r="D23" s="2865"/>
      <c r="E23" s="2829" t="s">
        <v>13281</v>
      </c>
      <c r="F23" s="2830"/>
      <c r="G23" s="2830"/>
      <c r="H23" s="2830"/>
      <c r="I23" s="2830"/>
      <c r="J23" s="2830"/>
      <c r="K23" s="2830"/>
      <c r="L23" s="2830"/>
      <c r="M23" s="2830"/>
      <c r="N23" s="2830"/>
      <c r="O23" s="2830"/>
      <c r="P23" s="2830"/>
      <c r="Q23" s="2830"/>
      <c r="R23" s="2830"/>
      <c r="S23" s="2830"/>
      <c r="T23" s="2830"/>
      <c r="U23" s="2830"/>
      <c r="V23" s="2831"/>
      <c r="W23" s="2682"/>
      <c r="X23" s="2683"/>
      <c r="Y23" s="2683"/>
      <c r="Z23" s="2683"/>
      <c r="AA23" s="2683"/>
      <c r="AB23" s="2683"/>
      <c r="AC23" s="2683"/>
      <c r="AD23" s="2683"/>
      <c r="AE23" s="2684"/>
      <c r="AF23" s="2937" t="s">
        <v>12102</v>
      </c>
      <c r="AG23" s="2937"/>
      <c r="AH23" s="2937"/>
      <c r="AI23" s="2937"/>
      <c r="AJ23" s="2937"/>
      <c r="AK23" s="2937"/>
      <c r="AL23" s="2937"/>
      <c r="AM23" s="2848"/>
      <c r="AN23" s="2848"/>
      <c r="AO23" s="2848"/>
      <c r="AP23" s="2848"/>
      <c r="AQ23" s="2848"/>
      <c r="AR23" s="2848"/>
      <c r="AS23" s="2848"/>
      <c r="AT23" s="2848"/>
      <c r="AU23" s="1648"/>
      <c r="AV23" s="354"/>
      <c r="AW23" s="354"/>
      <c r="AX23" s="1122"/>
    </row>
    <row r="24" spans="2:56" ht="27.75" hidden="1" customHeight="1" x14ac:dyDescent="0.2">
      <c r="B24" s="1121"/>
      <c r="C24" s="1235"/>
      <c r="D24" s="1236"/>
      <c r="E24" s="2851" t="s">
        <v>9212</v>
      </c>
      <c r="F24" s="2851"/>
      <c r="G24" s="2851"/>
      <c r="H24" s="2851"/>
      <c r="I24" s="2851"/>
      <c r="J24" s="2851"/>
      <c r="K24" s="2851"/>
      <c r="L24" s="2851"/>
      <c r="M24" s="2851"/>
      <c r="N24" s="2851"/>
      <c r="O24" s="2851"/>
      <c r="P24" s="2851"/>
      <c r="Q24" s="2851"/>
      <c r="R24" s="2851"/>
      <c r="S24" s="2851"/>
      <c r="T24" s="2851"/>
      <c r="U24" s="2851"/>
      <c r="V24" s="2851"/>
      <c r="W24" s="2834" t="s">
        <v>12</v>
      </c>
      <c r="X24" s="2835"/>
      <c r="Y24" s="2835"/>
      <c r="Z24" s="2835"/>
      <c r="AA24" s="2835"/>
      <c r="AB24" s="2835"/>
      <c r="AC24" s="2835"/>
      <c r="AD24" s="2835"/>
      <c r="AE24" s="2835"/>
      <c r="AF24" s="2836"/>
      <c r="AG24" s="2836"/>
      <c r="AH24" s="2836"/>
      <c r="AI24" s="2836"/>
      <c r="AJ24" s="2836"/>
      <c r="AK24" s="2836"/>
      <c r="AL24" s="2836"/>
      <c r="AM24" s="2836"/>
      <c r="AN24" s="2836"/>
      <c r="AO24" s="2836"/>
      <c r="AP24" s="2836"/>
      <c r="AQ24" s="2836"/>
      <c r="AR24" s="2836"/>
      <c r="AS24" s="2836"/>
      <c r="AT24" s="2837"/>
      <c r="AU24" s="1648"/>
      <c r="AV24" s="354"/>
      <c r="AW24" s="354"/>
      <c r="AX24" s="1122"/>
    </row>
    <row r="25" spans="2:56" ht="18" hidden="1" customHeight="1" x14ac:dyDescent="0.2">
      <c r="B25" s="1121"/>
      <c r="C25" s="1235"/>
      <c r="D25" s="1236"/>
      <c r="E25" s="2794" t="s">
        <v>9213</v>
      </c>
      <c r="F25" s="2795"/>
      <c r="G25" s="2795"/>
      <c r="H25" s="2795"/>
      <c r="I25" s="2795"/>
      <c r="J25" s="2795"/>
      <c r="K25" s="2795"/>
      <c r="L25" s="2795"/>
      <c r="M25" s="2795"/>
      <c r="N25" s="2795"/>
      <c r="O25" s="2795"/>
      <c r="P25" s="2795"/>
      <c r="Q25" s="2795"/>
      <c r="R25" s="2795"/>
      <c r="S25" s="2795"/>
      <c r="T25" s="2795"/>
      <c r="U25" s="2795"/>
      <c r="V25" s="2795"/>
      <c r="W25" s="2795"/>
      <c r="X25" s="2795"/>
      <c r="Y25" s="2795"/>
      <c r="Z25" s="2795"/>
      <c r="AA25" s="2795"/>
      <c r="AB25" s="2795"/>
      <c r="AC25" s="2795"/>
      <c r="AD25" s="2795"/>
      <c r="AE25" s="2795"/>
      <c r="AF25" s="2795"/>
      <c r="AG25" s="2795"/>
      <c r="AH25" s="2795"/>
      <c r="AI25" s="2795"/>
      <c r="AJ25" s="2795"/>
      <c r="AK25" s="2795"/>
      <c r="AL25" s="2795"/>
      <c r="AM25" s="2795"/>
      <c r="AN25" s="2795"/>
      <c r="AO25" s="2795"/>
      <c r="AP25" s="2795"/>
      <c r="AQ25" s="2795"/>
      <c r="AR25" s="2795"/>
      <c r="AS25" s="2795"/>
      <c r="AT25" s="2852"/>
      <c r="AU25" s="1648"/>
      <c r="AV25" s="354"/>
      <c r="AW25" s="354"/>
      <c r="AX25" s="1122"/>
    </row>
    <row r="26" spans="2:56" ht="27.75" hidden="1" customHeight="1" x14ac:dyDescent="0.2">
      <c r="B26" s="1121"/>
      <c r="C26" s="1235"/>
      <c r="D26" s="1236"/>
      <c r="E26" s="1237" t="s">
        <v>8280</v>
      </c>
      <c r="F26" s="2853" t="s">
        <v>9214</v>
      </c>
      <c r="G26" s="2853"/>
      <c r="H26" s="2853"/>
      <c r="I26" s="2853"/>
      <c r="J26" s="2853"/>
      <c r="K26" s="2853"/>
      <c r="L26" s="2853"/>
      <c r="M26" s="2853"/>
      <c r="N26" s="2853"/>
      <c r="O26" s="2853"/>
      <c r="P26" s="2853"/>
      <c r="Q26" s="2853"/>
      <c r="R26" s="2853"/>
      <c r="S26" s="2853"/>
      <c r="T26" s="2853"/>
      <c r="U26" s="2853"/>
      <c r="V26" s="2853"/>
      <c r="W26" s="2853"/>
      <c r="X26" s="2853"/>
      <c r="Y26" s="2853"/>
      <c r="Z26" s="2853"/>
      <c r="AA26" s="2856" t="s">
        <v>9215</v>
      </c>
      <c r="AB26" s="2857"/>
      <c r="AC26" s="2857"/>
      <c r="AD26" s="2857"/>
      <c r="AE26" s="2857"/>
      <c r="AF26" s="2857"/>
      <c r="AG26" s="2857"/>
      <c r="AH26" s="2857"/>
      <c r="AI26" s="2857"/>
      <c r="AJ26" s="2857"/>
      <c r="AK26" s="2857"/>
      <c r="AL26" s="2857"/>
      <c r="AM26" s="2857"/>
      <c r="AN26" s="2857"/>
      <c r="AO26" s="2857"/>
      <c r="AP26" s="2857"/>
      <c r="AQ26" s="2857"/>
      <c r="AR26" s="2857"/>
      <c r="AS26" s="2857"/>
      <c r="AT26" s="2858"/>
      <c r="AU26" s="1648"/>
      <c r="AV26" s="354"/>
      <c r="AW26" s="354"/>
      <c r="AX26" s="1122"/>
    </row>
    <row r="27" spans="2:56" ht="27.75" hidden="1" customHeight="1" x14ac:dyDescent="0.2">
      <c r="B27" s="1121"/>
      <c r="C27" s="1235"/>
      <c r="D27" s="1236"/>
      <c r="E27" s="1238">
        <v>1</v>
      </c>
      <c r="F27" s="2834" t="s">
        <v>12</v>
      </c>
      <c r="G27" s="2835"/>
      <c r="H27" s="2835"/>
      <c r="I27" s="2835"/>
      <c r="J27" s="2835"/>
      <c r="K27" s="2835"/>
      <c r="L27" s="2835"/>
      <c r="M27" s="2835"/>
      <c r="N27" s="2835"/>
      <c r="O27" s="2835"/>
      <c r="P27" s="2835"/>
      <c r="Q27" s="2835"/>
      <c r="R27" s="2835"/>
      <c r="S27" s="2835"/>
      <c r="T27" s="2835"/>
      <c r="U27" s="2835"/>
      <c r="V27" s="2835"/>
      <c r="W27" s="2835"/>
      <c r="X27" s="2835"/>
      <c r="Y27" s="2835"/>
      <c r="Z27" s="2838"/>
      <c r="AA27" s="2834"/>
      <c r="AB27" s="2835"/>
      <c r="AC27" s="2835"/>
      <c r="AD27" s="2835"/>
      <c r="AE27" s="2835"/>
      <c r="AF27" s="2835"/>
      <c r="AG27" s="2835"/>
      <c r="AH27" s="2835"/>
      <c r="AI27" s="2835"/>
      <c r="AJ27" s="2835"/>
      <c r="AK27" s="2835"/>
      <c r="AL27" s="2835"/>
      <c r="AM27" s="2835"/>
      <c r="AN27" s="2835"/>
      <c r="AO27" s="2835"/>
      <c r="AP27" s="2835"/>
      <c r="AQ27" s="2835"/>
      <c r="AR27" s="2835"/>
      <c r="AS27" s="2835"/>
      <c r="AT27" s="2838"/>
      <c r="AU27" s="1648"/>
      <c r="AV27" s="354"/>
      <c r="AW27" s="354"/>
      <c r="AX27" s="1122"/>
    </row>
    <row r="28" spans="2:56" ht="27.75" hidden="1" customHeight="1" x14ac:dyDescent="0.2">
      <c r="B28" s="1121"/>
      <c r="C28" s="1235"/>
      <c r="D28" s="1236"/>
      <c r="E28" s="1238">
        <f>E27+1</f>
        <v>2</v>
      </c>
      <c r="F28" s="2834" t="s">
        <v>12</v>
      </c>
      <c r="G28" s="2835"/>
      <c r="H28" s="2835"/>
      <c r="I28" s="2835"/>
      <c r="J28" s="2835"/>
      <c r="K28" s="2835"/>
      <c r="L28" s="2835"/>
      <c r="M28" s="2835"/>
      <c r="N28" s="2835"/>
      <c r="O28" s="2835"/>
      <c r="P28" s="2835"/>
      <c r="Q28" s="2835"/>
      <c r="R28" s="2835"/>
      <c r="S28" s="2835"/>
      <c r="T28" s="2835"/>
      <c r="U28" s="2835"/>
      <c r="V28" s="2835"/>
      <c r="W28" s="2835"/>
      <c r="X28" s="2835"/>
      <c r="Y28" s="2835"/>
      <c r="Z28" s="2838"/>
      <c r="AA28" s="2834"/>
      <c r="AB28" s="2835"/>
      <c r="AC28" s="2835"/>
      <c r="AD28" s="2835"/>
      <c r="AE28" s="2835"/>
      <c r="AF28" s="2835"/>
      <c r="AG28" s="2835"/>
      <c r="AH28" s="2835"/>
      <c r="AI28" s="2835"/>
      <c r="AJ28" s="2835"/>
      <c r="AK28" s="2835"/>
      <c r="AL28" s="2835"/>
      <c r="AM28" s="2835"/>
      <c r="AN28" s="2835"/>
      <c r="AO28" s="2835"/>
      <c r="AP28" s="2835"/>
      <c r="AQ28" s="2835"/>
      <c r="AR28" s="2835"/>
      <c r="AS28" s="2835"/>
      <c r="AT28" s="2838"/>
      <c r="AU28" s="1648"/>
      <c r="AV28" s="354"/>
      <c r="AW28" s="354"/>
      <c r="AX28" s="1122"/>
    </row>
    <row r="29" spans="2:56" ht="27.75" hidden="1" customHeight="1" x14ac:dyDescent="0.2">
      <c r="B29" s="1121"/>
      <c r="C29" s="1235"/>
      <c r="D29" s="1236"/>
      <c r="E29" s="2804"/>
      <c r="F29" s="2805"/>
      <c r="G29" s="2805"/>
      <c r="H29" s="2805"/>
      <c r="I29" s="2805"/>
      <c r="J29" s="2805"/>
      <c r="K29" s="2805"/>
      <c r="L29" s="2805"/>
      <c r="M29" s="2805"/>
      <c r="N29" s="2805"/>
      <c r="O29" s="2805"/>
      <c r="P29" s="2805"/>
      <c r="Q29" s="2805"/>
      <c r="R29" s="2805"/>
      <c r="S29" s="2805"/>
      <c r="T29" s="2805"/>
      <c r="U29" s="2805"/>
      <c r="V29" s="2805"/>
      <c r="W29" s="2805"/>
      <c r="X29" s="2805"/>
      <c r="Y29" s="2805"/>
      <c r="Z29" s="2805"/>
      <c r="AA29" s="2805"/>
      <c r="AB29" s="2805"/>
      <c r="AC29" s="2805"/>
      <c r="AD29" s="2805"/>
      <c r="AE29" s="2805"/>
      <c r="AF29" s="2805"/>
      <c r="AG29" s="2805"/>
      <c r="AH29" s="2805"/>
      <c r="AI29" s="2805"/>
      <c r="AJ29" s="2805"/>
      <c r="AK29" s="2805"/>
      <c r="AL29" s="2805"/>
      <c r="AM29" s="2805"/>
      <c r="AN29" s="2805"/>
      <c r="AO29" s="2805"/>
      <c r="AP29" s="2805"/>
      <c r="AQ29" s="2805"/>
      <c r="AR29" s="2805"/>
      <c r="AS29" s="2805"/>
      <c r="AT29" s="2811"/>
      <c r="AU29" s="1648"/>
      <c r="AV29" s="354"/>
      <c r="AW29" s="354"/>
      <c r="AX29" s="1122"/>
    </row>
    <row r="30" spans="2:56" ht="12.75" hidden="1" x14ac:dyDescent="0.2">
      <c r="B30" s="1121"/>
      <c r="C30" s="1235"/>
      <c r="D30" s="1236"/>
      <c r="E30" s="2804" t="s">
        <v>9216</v>
      </c>
      <c r="F30" s="2805"/>
      <c r="G30" s="2805"/>
      <c r="H30" s="2805"/>
      <c r="I30" s="2805"/>
      <c r="J30" s="2805"/>
      <c r="K30" s="2805"/>
      <c r="L30" s="2805"/>
      <c r="M30" s="2805"/>
      <c r="N30" s="2805"/>
      <c r="O30" s="2805"/>
      <c r="P30" s="2805"/>
      <c r="Q30" s="2805"/>
      <c r="R30" s="2805"/>
      <c r="S30" s="2805"/>
      <c r="T30" s="2805"/>
      <c r="U30" s="2805"/>
      <c r="V30" s="2805"/>
      <c r="W30" s="2805"/>
      <c r="X30" s="2805"/>
      <c r="Y30" s="2805"/>
      <c r="Z30" s="2805"/>
      <c r="AA30" s="2805"/>
      <c r="AB30" s="2805"/>
      <c r="AC30" s="2805"/>
      <c r="AD30" s="2805"/>
      <c r="AE30" s="2805"/>
      <c r="AF30" s="2805"/>
      <c r="AG30" s="2805"/>
      <c r="AH30" s="2805"/>
      <c r="AI30" s="2805"/>
      <c r="AJ30" s="2805"/>
      <c r="AK30" s="2805"/>
      <c r="AL30" s="2805"/>
      <c r="AM30" s="2805"/>
      <c r="AN30" s="2805"/>
      <c r="AO30" s="2805"/>
      <c r="AP30" s="2805"/>
      <c r="AQ30" s="2805"/>
      <c r="AR30" s="2805"/>
      <c r="AS30" s="2805"/>
      <c r="AT30" s="2811"/>
      <c r="AU30" s="1648"/>
      <c r="AV30" s="354"/>
      <c r="AW30" s="354"/>
      <c r="AX30" s="1122"/>
    </row>
    <row r="31" spans="2:56" ht="12.75" hidden="1" customHeight="1" x14ac:dyDescent="0.2">
      <c r="B31" s="1121"/>
      <c r="C31" s="1235"/>
      <c r="D31" s="1236"/>
      <c r="E31" s="2804" t="s">
        <v>9217</v>
      </c>
      <c r="F31" s="2805"/>
      <c r="G31" s="2805"/>
      <c r="H31" s="2805"/>
      <c r="I31" s="2805"/>
      <c r="J31" s="2805"/>
      <c r="K31" s="2805"/>
      <c r="L31" s="2805"/>
      <c r="M31" s="2805"/>
      <c r="N31" s="2805"/>
      <c r="O31" s="2805"/>
      <c r="P31" s="2805"/>
      <c r="Q31" s="2805"/>
      <c r="R31" s="2805"/>
      <c r="S31" s="2805"/>
      <c r="T31" s="2805"/>
      <c r="U31" s="2805"/>
      <c r="V31" s="2805"/>
      <c r="W31" s="2805"/>
      <c r="X31" s="2805"/>
      <c r="Y31" s="2805"/>
      <c r="Z31" s="2805"/>
      <c r="AA31" s="2805"/>
      <c r="AB31" s="2805"/>
      <c r="AC31" s="2805"/>
      <c r="AD31" s="2805"/>
      <c r="AE31" s="2805"/>
      <c r="AF31" s="2805"/>
      <c r="AG31" s="2805"/>
      <c r="AH31" s="2978">
        <v>100</v>
      </c>
      <c r="AI31" s="2979"/>
      <c r="AJ31" s="2979"/>
      <c r="AK31" s="2979"/>
      <c r="AL31" s="2979"/>
      <c r="AM31" s="2979"/>
      <c r="AN31" s="2979"/>
      <c r="AO31" s="2979"/>
      <c r="AP31" s="2979"/>
      <c r="AQ31" s="2979"/>
      <c r="AR31" s="2979"/>
      <c r="AS31" s="2979"/>
      <c r="AT31" s="2979"/>
      <c r="AU31" s="1648"/>
      <c r="AV31" s="354"/>
      <c r="AW31" s="354"/>
      <c r="AX31" s="1122"/>
    </row>
    <row r="32" spans="2:56" ht="12.75" hidden="1" x14ac:dyDescent="0.2">
      <c r="B32" s="1121"/>
      <c r="C32" s="1235"/>
      <c r="D32" s="1236"/>
      <c r="E32" s="2793" t="s">
        <v>9218</v>
      </c>
      <c r="F32" s="2793"/>
      <c r="G32" s="2793"/>
      <c r="H32" s="2793"/>
      <c r="I32" s="2793"/>
      <c r="J32" s="2793"/>
      <c r="K32" s="2793"/>
      <c r="L32" s="2793"/>
      <c r="M32" s="2793"/>
      <c r="N32" s="2793"/>
      <c r="O32" s="2793"/>
      <c r="P32" s="2793"/>
      <c r="Q32" s="2793"/>
      <c r="R32" s="2793"/>
      <c r="S32" s="2793"/>
      <c r="T32" s="2793"/>
      <c r="U32" s="2793"/>
      <c r="V32" s="2793"/>
      <c r="W32" s="2793"/>
      <c r="X32" s="2793"/>
      <c r="Y32" s="2793"/>
      <c r="Z32" s="2793"/>
      <c r="AA32" s="2793"/>
      <c r="AB32" s="2793"/>
      <c r="AC32" s="2793"/>
      <c r="AD32" s="2793"/>
      <c r="AE32" s="2793"/>
      <c r="AF32" s="2793"/>
      <c r="AG32" s="2793"/>
      <c r="AH32" s="2978">
        <v>200</v>
      </c>
      <c r="AI32" s="2979"/>
      <c r="AJ32" s="2979"/>
      <c r="AK32" s="2979"/>
      <c r="AL32" s="2979"/>
      <c r="AM32" s="2979"/>
      <c r="AN32" s="2979"/>
      <c r="AO32" s="2979"/>
      <c r="AP32" s="2979"/>
      <c r="AQ32" s="2979"/>
      <c r="AR32" s="2979"/>
      <c r="AS32" s="2979"/>
      <c r="AT32" s="2979"/>
      <c r="AU32" s="1648"/>
      <c r="AV32" s="354"/>
      <c r="AW32" s="354"/>
      <c r="AX32" s="1122"/>
    </row>
    <row r="33" spans="2:55" ht="9.75" hidden="1" customHeight="1" x14ac:dyDescent="0.2">
      <c r="B33" s="1121"/>
      <c r="C33" s="1235"/>
      <c r="D33" s="1236"/>
      <c r="E33" s="2806" t="s">
        <v>8073</v>
      </c>
      <c r="F33" s="2807"/>
      <c r="G33" s="2807"/>
      <c r="H33" s="2807"/>
      <c r="I33" s="2807"/>
      <c r="J33" s="2807"/>
      <c r="K33" s="2807"/>
      <c r="L33" s="2807"/>
      <c r="M33" s="2807"/>
      <c r="N33" s="2807"/>
      <c r="O33" s="2807"/>
      <c r="P33" s="2807"/>
      <c r="Q33" s="2807"/>
      <c r="R33" s="2807"/>
      <c r="S33" s="2807"/>
      <c r="T33" s="2807"/>
      <c r="U33" s="2807"/>
      <c r="V33" s="2807"/>
      <c r="W33" s="2807"/>
      <c r="X33" s="2807"/>
      <c r="Y33" s="2807"/>
      <c r="Z33" s="2807"/>
      <c r="AA33" s="2807"/>
      <c r="AB33" s="2807"/>
      <c r="AC33" s="2807"/>
      <c r="AD33" s="2807"/>
      <c r="AE33" s="2808"/>
      <c r="AF33" s="2976"/>
      <c r="AG33" s="2977"/>
      <c r="AH33" s="2977"/>
      <c r="AI33" s="2977"/>
      <c r="AJ33" s="2977"/>
      <c r="AK33" s="2977"/>
      <c r="AL33" s="2977"/>
      <c r="AM33" s="2977"/>
      <c r="AN33" s="2977"/>
      <c r="AO33" s="2977"/>
      <c r="AP33" s="2977"/>
      <c r="AQ33" s="2977"/>
      <c r="AR33" s="2977"/>
      <c r="AS33" s="2977"/>
      <c r="AT33" s="2977"/>
      <c r="AU33" s="1648"/>
      <c r="AV33" s="354"/>
      <c r="AW33" s="354"/>
      <c r="AX33" s="1122"/>
    </row>
    <row r="34" spans="2:55" ht="39" customHeight="1" x14ac:dyDescent="0.2">
      <c r="B34" s="1121"/>
      <c r="C34" s="2254"/>
      <c r="D34" s="2255"/>
      <c r="E34" s="2809" t="s">
        <v>13030</v>
      </c>
      <c r="F34" s="2810"/>
      <c r="G34" s="2810"/>
      <c r="H34" s="2810"/>
      <c r="I34" s="2810"/>
      <c r="J34" s="2810"/>
      <c r="K34" s="2810"/>
      <c r="L34" s="2810"/>
      <c r="M34" s="2810"/>
      <c r="N34" s="2810"/>
      <c r="O34" s="2810"/>
      <c r="P34" s="2810"/>
      <c r="Q34" s="2810"/>
      <c r="R34" s="2810"/>
      <c r="S34" s="2810"/>
      <c r="T34" s="2810"/>
      <c r="U34" s="2810"/>
      <c r="V34" s="2810"/>
      <c r="W34" s="2810"/>
      <c r="X34" s="2810"/>
      <c r="Y34" s="2810"/>
      <c r="Z34" s="2810"/>
      <c r="AA34" s="2810"/>
      <c r="AB34" s="2810"/>
      <c r="AC34" s="2810"/>
      <c r="AD34" s="2810"/>
      <c r="AE34" s="2810"/>
      <c r="AF34" s="2810"/>
      <c r="AG34" s="2810"/>
      <c r="AH34" s="2810"/>
      <c r="AI34" s="2810"/>
      <c r="AJ34" s="2810"/>
      <c r="AK34" s="2723"/>
      <c r="AL34" s="2724"/>
      <c r="AM34" s="2724"/>
      <c r="AN34" s="2724"/>
      <c r="AO34" s="2724"/>
      <c r="AP34" s="2724"/>
      <c r="AQ34" s="2724"/>
      <c r="AR34" s="2724"/>
      <c r="AS34" s="2724"/>
      <c r="AT34" s="2725"/>
      <c r="AU34" s="1648"/>
      <c r="AV34" s="354"/>
      <c r="AW34" s="354"/>
      <c r="AX34" s="1122"/>
    </row>
    <row r="35" spans="2:55" s="2454" customFormat="1" ht="40.5" customHeight="1" x14ac:dyDescent="0.25">
      <c r="B35" s="2448"/>
      <c r="C35" s="2449"/>
      <c r="D35" s="2450"/>
      <c r="E35" s="2809" t="s">
        <v>13031</v>
      </c>
      <c r="F35" s="2810"/>
      <c r="G35" s="2810"/>
      <c r="H35" s="2810"/>
      <c r="I35" s="2810"/>
      <c r="J35" s="2810"/>
      <c r="K35" s="2810"/>
      <c r="L35" s="2810"/>
      <c r="M35" s="2810"/>
      <c r="N35" s="2810"/>
      <c r="O35" s="2810"/>
      <c r="P35" s="2810"/>
      <c r="Q35" s="2810"/>
      <c r="R35" s="2810"/>
      <c r="S35" s="2810"/>
      <c r="T35" s="2810"/>
      <c r="U35" s="2810"/>
      <c r="V35" s="2810"/>
      <c r="W35" s="2810"/>
      <c r="X35" s="2810"/>
      <c r="Y35" s="2810"/>
      <c r="Z35" s="2810"/>
      <c r="AA35" s="2810"/>
      <c r="AB35" s="2810"/>
      <c r="AC35" s="2810"/>
      <c r="AD35" s="2810"/>
      <c r="AE35" s="2810"/>
      <c r="AF35" s="2810"/>
      <c r="AG35" s="2810"/>
      <c r="AH35" s="2810"/>
      <c r="AI35" s="2810"/>
      <c r="AJ35" s="2815"/>
      <c r="AK35" s="2967" t="s">
        <v>12</v>
      </c>
      <c r="AL35" s="2968"/>
      <c r="AM35" s="2968"/>
      <c r="AN35" s="2968"/>
      <c r="AO35" s="2968"/>
      <c r="AP35" s="2968"/>
      <c r="AQ35" s="2968"/>
      <c r="AR35" s="2968"/>
      <c r="AS35" s="2968"/>
      <c r="AT35" s="2969"/>
      <c r="AU35" s="2451"/>
      <c r="AV35" s="2452"/>
      <c r="AW35" s="2452"/>
      <c r="AX35" s="2453"/>
    </row>
    <row r="36" spans="2:55" s="2454" customFormat="1" ht="12.75" x14ac:dyDescent="0.25">
      <c r="B36" s="2448"/>
      <c r="C36" s="2449"/>
      <c r="D36" s="2450"/>
      <c r="E36" s="2809" t="s">
        <v>13235</v>
      </c>
      <c r="F36" s="2810"/>
      <c r="G36" s="2810"/>
      <c r="H36" s="2810"/>
      <c r="I36" s="2810"/>
      <c r="J36" s="2810"/>
      <c r="K36" s="2810"/>
      <c r="L36" s="2810"/>
      <c r="M36" s="2810"/>
      <c r="N36" s="2810"/>
      <c r="O36" s="2810"/>
      <c r="P36" s="2810"/>
      <c r="Q36" s="2810"/>
      <c r="R36" s="2810"/>
      <c r="S36" s="2810"/>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c r="AT36" s="2815"/>
      <c r="AU36" s="2451"/>
      <c r="AV36" s="2452"/>
      <c r="AW36" s="2452"/>
      <c r="AX36" s="2453"/>
    </row>
    <row r="37" spans="2:55" ht="36" customHeight="1" x14ac:dyDescent="0.2">
      <c r="B37" s="1121"/>
      <c r="C37" s="2167"/>
      <c r="D37" s="2168"/>
      <c r="E37" s="2804" t="s">
        <v>13154</v>
      </c>
      <c r="F37" s="2805"/>
      <c r="G37" s="2805"/>
      <c r="H37" s="2805"/>
      <c r="I37" s="2805"/>
      <c r="J37" s="2805"/>
      <c r="K37" s="2805"/>
      <c r="L37" s="2805"/>
      <c r="M37" s="2805"/>
      <c r="N37" s="2805"/>
      <c r="O37" s="2805"/>
      <c r="P37" s="2805"/>
      <c r="Q37" s="2805"/>
      <c r="R37" s="2805"/>
      <c r="S37" s="2805"/>
      <c r="T37" s="2805"/>
      <c r="U37" s="2805"/>
      <c r="V37" s="2805"/>
      <c r="W37" s="2805"/>
      <c r="X37" s="2805"/>
      <c r="Y37" s="2805"/>
      <c r="Z37" s="2805"/>
      <c r="AA37" s="2805"/>
      <c r="AB37" s="2805"/>
      <c r="AC37" s="2805"/>
      <c r="AD37" s="2805"/>
      <c r="AE37" s="2805"/>
      <c r="AF37" s="2805"/>
      <c r="AG37" s="2805"/>
      <c r="AH37" s="2805"/>
      <c r="AI37" s="2805"/>
      <c r="AJ37" s="2811"/>
      <c r="AK37" s="2980" t="s">
        <v>23</v>
      </c>
      <c r="AL37" s="2981"/>
      <c r="AM37" s="2981"/>
      <c r="AN37" s="2981"/>
      <c r="AO37" s="2981"/>
      <c r="AP37" s="2981"/>
      <c r="AQ37" s="2981"/>
      <c r="AR37" s="2981"/>
      <c r="AS37" s="2981"/>
      <c r="AT37" s="2982"/>
      <c r="AU37" s="1648"/>
      <c r="AV37" s="354"/>
      <c r="AW37" s="354"/>
      <c r="AX37" s="1122"/>
    </row>
    <row r="38" spans="2:55" ht="36" customHeight="1" x14ac:dyDescent="0.2">
      <c r="B38" s="1121"/>
      <c r="C38" s="2167"/>
      <c r="D38" s="2168"/>
      <c r="E38" s="2804" t="s">
        <v>12778</v>
      </c>
      <c r="F38" s="2805"/>
      <c r="G38" s="2805"/>
      <c r="H38" s="2805"/>
      <c r="I38" s="2805"/>
      <c r="J38" s="2805"/>
      <c r="K38" s="2805"/>
      <c r="L38" s="2805"/>
      <c r="M38" s="2805"/>
      <c r="N38" s="2805"/>
      <c r="O38" s="2805"/>
      <c r="P38" s="2805"/>
      <c r="Q38" s="2805"/>
      <c r="R38" s="2805"/>
      <c r="S38" s="2805"/>
      <c r="T38" s="2805"/>
      <c r="U38" s="2805"/>
      <c r="V38" s="2805"/>
      <c r="W38" s="2805"/>
      <c r="X38" s="2805"/>
      <c r="Y38" s="2805"/>
      <c r="Z38" s="2805"/>
      <c r="AA38" s="2805"/>
      <c r="AB38" s="2805"/>
      <c r="AC38" s="2805"/>
      <c r="AD38" s="2805"/>
      <c r="AE38" s="2805"/>
      <c r="AF38" s="2805"/>
      <c r="AG38" s="2805"/>
      <c r="AH38" s="2805"/>
      <c r="AI38" s="2805"/>
      <c r="AJ38" s="2811"/>
      <c r="AK38" s="2812"/>
      <c r="AL38" s="2813"/>
      <c r="AM38" s="2813"/>
      <c r="AN38" s="2813"/>
      <c r="AO38" s="2813"/>
      <c r="AP38" s="2813"/>
      <c r="AQ38" s="2813"/>
      <c r="AR38" s="2813"/>
      <c r="AS38" s="2813"/>
      <c r="AT38" s="2814"/>
      <c r="AU38" s="1648"/>
      <c r="AV38" s="354"/>
      <c r="AW38" s="354"/>
      <c r="AX38" s="1122"/>
    </row>
    <row r="39" spans="2:55" ht="50.25" customHeight="1" x14ac:dyDescent="0.2">
      <c r="B39" s="1121"/>
      <c r="C39" s="1235"/>
      <c r="D39" s="1236"/>
      <c r="E39" s="2804" t="s">
        <v>11935</v>
      </c>
      <c r="F39" s="2805"/>
      <c r="G39" s="2805"/>
      <c r="H39" s="2805"/>
      <c r="I39" s="2805"/>
      <c r="J39" s="2805"/>
      <c r="K39" s="2805"/>
      <c r="L39" s="2805"/>
      <c r="M39" s="2805"/>
      <c r="N39" s="2805"/>
      <c r="O39" s="2805"/>
      <c r="P39" s="2805"/>
      <c r="Q39" s="2805"/>
      <c r="R39" s="2805"/>
      <c r="S39" s="2805"/>
      <c r="T39" s="2805"/>
      <c r="U39" s="2805"/>
      <c r="V39" s="2805"/>
      <c r="W39" s="2805"/>
      <c r="X39" s="2805"/>
      <c r="Y39" s="2805"/>
      <c r="Z39" s="2805"/>
      <c r="AA39" s="2805"/>
      <c r="AB39" s="2805"/>
      <c r="AC39" s="2805"/>
      <c r="AD39" s="2805"/>
      <c r="AE39" s="2805"/>
      <c r="AF39" s="2805"/>
      <c r="AG39" s="2805"/>
      <c r="AH39" s="2805"/>
      <c r="AI39" s="2805"/>
      <c r="AJ39" s="2805"/>
      <c r="AK39" s="2973" t="s">
        <v>12</v>
      </c>
      <c r="AL39" s="2974"/>
      <c r="AM39" s="2974"/>
      <c r="AN39" s="2974"/>
      <c r="AO39" s="2974"/>
      <c r="AP39" s="2974"/>
      <c r="AQ39" s="2974"/>
      <c r="AR39" s="2974"/>
      <c r="AS39" s="2974"/>
      <c r="AT39" s="2975"/>
      <c r="AU39" s="1648"/>
      <c r="AV39" s="354"/>
      <c r="AW39" s="354"/>
      <c r="AX39" s="1122"/>
    </row>
    <row r="40" spans="2:55" ht="24" customHeight="1" x14ac:dyDescent="0.2">
      <c r="B40" s="1121"/>
      <c r="C40" s="1235"/>
      <c r="D40" s="1236"/>
      <c r="E40" s="2794" t="s">
        <v>11933</v>
      </c>
      <c r="F40" s="2795"/>
      <c r="G40" s="2795"/>
      <c r="H40" s="2795"/>
      <c r="I40" s="2795"/>
      <c r="J40" s="2795"/>
      <c r="K40" s="2795"/>
      <c r="L40" s="2795"/>
      <c r="M40" s="2795"/>
      <c r="N40" s="2795"/>
      <c r="O40" s="2795"/>
      <c r="P40" s="2795"/>
      <c r="Q40" s="2795"/>
      <c r="R40" s="2795"/>
      <c r="S40" s="2795"/>
      <c r="T40" s="2795"/>
      <c r="U40" s="2795"/>
      <c r="V40" s="2795"/>
      <c r="W40" s="2795"/>
      <c r="X40" s="2795"/>
      <c r="Y40" s="2795"/>
      <c r="Z40" s="2795"/>
      <c r="AA40" s="2795"/>
      <c r="AB40" s="2795"/>
      <c r="AC40" s="2795"/>
      <c r="AD40" s="2795"/>
      <c r="AE40" s="2795"/>
      <c r="AF40" s="2795"/>
      <c r="AG40" s="2795"/>
      <c r="AH40" s="2795"/>
      <c r="AI40" s="2795"/>
      <c r="AJ40" s="2795"/>
      <c r="AK40" s="2744"/>
      <c r="AL40" s="2792"/>
      <c r="AM40" s="2796"/>
      <c r="AN40" s="2797"/>
      <c r="AO40" s="2797"/>
      <c r="AP40" s="2797"/>
      <c r="AQ40" s="2797"/>
      <c r="AR40" s="2797"/>
      <c r="AS40" s="2797"/>
      <c r="AT40" s="2798"/>
      <c r="AU40" s="1648"/>
      <c r="AV40" s="354"/>
      <c r="AW40" s="354"/>
      <c r="AX40" s="1122"/>
    </row>
    <row r="41" spans="2:55" ht="22.5" customHeight="1" x14ac:dyDescent="0.2">
      <c r="B41" s="1121"/>
      <c r="C41" s="1235"/>
      <c r="D41" s="1236"/>
      <c r="E41" s="2794" t="s">
        <v>11936</v>
      </c>
      <c r="F41" s="2795"/>
      <c r="G41" s="2795"/>
      <c r="H41" s="2795"/>
      <c r="I41" s="2795"/>
      <c r="J41" s="2795"/>
      <c r="K41" s="2795"/>
      <c r="L41" s="2795"/>
      <c r="M41" s="2795"/>
      <c r="N41" s="2795"/>
      <c r="O41" s="2795"/>
      <c r="P41" s="2795"/>
      <c r="Q41" s="2795"/>
      <c r="R41" s="2795"/>
      <c r="S41" s="2795"/>
      <c r="T41" s="2795"/>
      <c r="U41" s="2795"/>
      <c r="V41" s="2795"/>
      <c r="W41" s="2795"/>
      <c r="X41" s="2795"/>
      <c r="Y41" s="2795"/>
      <c r="Z41" s="2795"/>
      <c r="AA41" s="2795"/>
      <c r="AB41" s="2795"/>
      <c r="AC41" s="2795"/>
      <c r="AD41" s="2795"/>
      <c r="AE41" s="2795"/>
      <c r="AF41" s="2795"/>
      <c r="AG41" s="2795"/>
      <c r="AH41" s="2795"/>
      <c r="AI41" s="2795"/>
      <c r="AJ41" s="2795"/>
      <c r="AK41" s="2744"/>
      <c r="AL41" s="2792"/>
      <c r="AM41" s="2796"/>
      <c r="AN41" s="2797"/>
      <c r="AO41" s="2797"/>
      <c r="AP41" s="2797"/>
      <c r="AQ41" s="2797"/>
      <c r="AR41" s="2797"/>
      <c r="AS41" s="2797"/>
      <c r="AT41" s="2798"/>
      <c r="AU41" s="1648"/>
      <c r="AV41" s="354"/>
      <c r="AW41" s="354"/>
      <c r="AX41" s="1122"/>
    </row>
    <row r="42" spans="2:55" ht="22.5" customHeight="1" x14ac:dyDescent="0.2">
      <c r="B42" s="1121"/>
      <c r="C42" s="1235"/>
      <c r="D42" s="1236"/>
      <c r="E42" s="2794" t="s">
        <v>11934</v>
      </c>
      <c r="F42" s="2795"/>
      <c r="G42" s="2795"/>
      <c r="H42" s="2795"/>
      <c r="I42" s="2795"/>
      <c r="J42" s="2795"/>
      <c r="K42" s="2795"/>
      <c r="L42" s="2795"/>
      <c r="M42" s="2795"/>
      <c r="N42" s="2795"/>
      <c r="O42" s="2795"/>
      <c r="P42" s="2795"/>
      <c r="Q42" s="2795"/>
      <c r="R42" s="2795"/>
      <c r="S42" s="2795"/>
      <c r="T42" s="2795"/>
      <c r="U42" s="2795"/>
      <c r="V42" s="2795"/>
      <c r="W42" s="2795"/>
      <c r="X42" s="2795"/>
      <c r="Y42" s="2795"/>
      <c r="Z42" s="2795"/>
      <c r="AA42" s="2795"/>
      <c r="AB42" s="2795"/>
      <c r="AC42" s="2795"/>
      <c r="AD42" s="2795"/>
      <c r="AE42" s="2795"/>
      <c r="AF42" s="2795"/>
      <c r="AG42" s="2795"/>
      <c r="AH42" s="2795"/>
      <c r="AI42" s="2795"/>
      <c r="AJ42" s="2795"/>
      <c r="AK42" s="2744"/>
      <c r="AL42" s="2792"/>
      <c r="AM42" s="2796"/>
      <c r="AN42" s="2797"/>
      <c r="AO42" s="2797"/>
      <c r="AP42" s="2797"/>
      <c r="AQ42" s="2797"/>
      <c r="AR42" s="2797"/>
      <c r="AS42" s="2797"/>
      <c r="AT42" s="2798"/>
      <c r="AU42" s="1648"/>
      <c r="AV42" s="354"/>
      <c r="AW42" s="354"/>
      <c r="AX42" s="1122"/>
    </row>
    <row r="43" spans="2:55" ht="22.5" customHeight="1" x14ac:dyDescent="0.2">
      <c r="B43" s="1121"/>
      <c r="C43" s="2481"/>
      <c r="D43" s="2482"/>
      <c r="E43" s="2794" t="s">
        <v>13091</v>
      </c>
      <c r="F43" s="2795"/>
      <c r="G43" s="2795"/>
      <c r="H43" s="2795"/>
      <c r="I43" s="2795"/>
      <c r="J43" s="2795"/>
      <c r="K43" s="2795"/>
      <c r="L43" s="2795"/>
      <c r="M43" s="2795"/>
      <c r="N43" s="2795"/>
      <c r="O43" s="2795"/>
      <c r="P43" s="2795"/>
      <c r="Q43" s="2795"/>
      <c r="R43" s="2795"/>
      <c r="S43" s="2795"/>
      <c r="T43" s="2795"/>
      <c r="U43" s="2795"/>
      <c r="V43" s="2795"/>
      <c r="W43" s="2795"/>
      <c r="X43" s="2795"/>
      <c r="Y43" s="2795"/>
      <c r="Z43" s="2795"/>
      <c r="AA43" s="2795"/>
      <c r="AB43" s="2795"/>
      <c r="AC43" s="2795"/>
      <c r="AD43" s="2795"/>
      <c r="AE43" s="2795"/>
      <c r="AF43" s="2795"/>
      <c r="AG43" s="2795"/>
      <c r="AH43" s="2795"/>
      <c r="AI43" s="2795"/>
      <c r="AJ43" s="2852"/>
      <c r="AK43" s="2816"/>
      <c r="AL43" s="2817"/>
      <c r="AM43" s="2817"/>
      <c r="AN43" s="2817"/>
      <c r="AO43" s="2817"/>
      <c r="AP43" s="2817"/>
      <c r="AQ43" s="2817"/>
      <c r="AR43" s="2817"/>
      <c r="AS43" s="2817"/>
      <c r="AT43" s="2818"/>
      <c r="AU43" s="1648"/>
      <c r="AV43" s="354"/>
      <c r="AW43" s="354"/>
      <c r="AX43" s="1122"/>
    </row>
    <row r="44" spans="2:55" ht="22.5" customHeight="1" x14ac:dyDescent="0.2">
      <c r="B44" s="1121"/>
      <c r="C44" s="2481"/>
      <c r="D44" s="2482"/>
      <c r="E44" s="2794" t="s">
        <v>13276</v>
      </c>
      <c r="F44" s="2795"/>
      <c r="G44" s="2795"/>
      <c r="H44" s="2795"/>
      <c r="I44" s="2795"/>
      <c r="J44" s="2795"/>
      <c r="K44" s="2795"/>
      <c r="L44" s="2795"/>
      <c r="M44" s="2795"/>
      <c r="N44" s="2795"/>
      <c r="O44" s="2795"/>
      <c r="P44" s="2795"/>
      <c r="Q44" s="2795"/>
      <c r="R44" s="2795"/>
      <c r="S44" s="2795"/>
      <c r="T44" s="2795"/>
      <c r="U44" s="2795"/>
      <c r="V44" s="2795"/>
      <c r="W44" s="2795"/>
      <c r="X44" s="2795"/>
      <c r="Y44" s="2795"/>
      <c r="Z44" s="2795"/>
      <c r="AA44" s="2795"/>
      <c r="AB44" s="2795"/>
      <c r="AC44" s="2795"/>
      <c r="AD44" s="2795"/>
      <c r="AE44" s="2795"/>
      <c r="AF44" s="2795"/>
      <c r="AG44" s="2795"/>
      <c r="AH44" s="2795"/>
      <c r="AI44" s="2795"/>
      <c r="AJ44" s="2852"/>
      <c r="AK44" s="2775"/>
      <c r="AL44" s="2775"/>
      <c r="AM44" s="2796"/>
      <c r="AN44" s="2797"/>
      <c r="AO44" s="2797"/>
      <c r="AP44" s="2797"/>
      <c r="AQ44" s="2797"/>
      <c r="AR44" s="2797"/>
      <c r="AS44" s="2797"/>
      <c r="AT44" s="2798"/>
      <c r="AU44" s="1648"/>
      <c r="AV44" s="354"/>
      <c r="AW44" s="354"/>
      <c r="AX44" s="1122"/>
    </row>
    <row r="45" spans="2:55" ht="22.5" customHeight="1" x14ac:dyDescent="0.2">
      <c r="B45" s="1121"/>
      <c r="C45" s="2481"/>
      <c r="D45" s="2482"/>
      <c r="E45" s="2794" t="s">
        <v>13277</v>
      </c>
      <c r="F45" s="2795"/>
      <c r="G45" s="2795"/>
      <c r="H45" s="2795"/>
      <c r="I45" s="2795"/>
      <c r="J45" s="2795"/>
      <c r="K45" s="2795"/>
      <c r="L45" s="2795"/>
      <c r="M45" s="2795"/>
      <c r="N45" s="2795"/>
      <c r="O45" s="2795"/>
      <c r="P45" s="2795"/>
      <c r="Q45" s="2795"/>
      <c r="R45" s="2795"/>
      <c r="S45" s="2795"/>
      <c r="T45" s="2795"/>
      <c r="U45" s="2795"/>
      <c r="V45" s="2795"/>
      <c r="W45" s="2795"/>
      <c r="X45" s="2795"/>
      <c r="Y45" s="2795"/>
      <c r="Z45" s="2795"/>
      <c r="AA45" s="2795"/>
      <c r="AB45" s="2795"/>
      <c r="AC45" s="2795"/>
      <c r="AD45" s="2795"/>
      <c r="AE45" s="2795"/>
      <c r="AF45" s="2795"/>
      <c r="AG45" s="2795"/>
      <c r="AH45" s="2795"/>
      <c r="AI45" s="2795"/>
      <c r="AJ45" s="2852"/>
      <c r="AK45" s="2775"/>
      <c r="AL45" s="2775"/>
      <c r="AM45" s="2796"/>
      <c r="AN45" s="2797"/>
      <c r="AO45" s="2797"/>
      <c r="AP45" s="2797"/>
      <c r="AQ45" s="2797"/>
      <c r="AR45" s="2797"/>
      <c r="AS45" s="2797"/>
      <c r="AT45" s="2798"/>
      <c r="AU45" s="1648"/>
      <c r="AV45" s="354"/>
      <c r="AW45" s="354"/>
      <c r="AX45" s="1122"/>
    </row>
    <row r="46" spans="2:55" ht="22.5" customHeight="1" x14ac:dyDescent="0.2">
      <c r="B46" s="1121"/>
      <c r="C46" s="2481"/>
      <c r="D46" s="2482"/>
      <c r="E46" s="2794" t="s">
        <v>13278</v>
      </c>
      <c r="F46" s="2795"/>
      <c r="G46" s="2795"/>
      <c r="H46" s="2795"/>
      <c r="I46" s="2795"/>
      <c r="J46" s="2795"/>
      <c r="K46" s="2795"/>
      <c r="L46" s="2795"/>
      <c r="M46" s="2795"/>
      <c r="N46" s="2795"/>
      <c r="O46" s="2795"/>
      <c r="P46" s="2795"/>
      <c r="Q46" s="2795"/>
      <c r="R46" s="2795"/>
      <c r="S46" s="2795"/>
      <c r="T46" s="2795"/>
      <c r="U46" s="2795"/>
      <c r="V46" s="2795"/>
      <c r="W46" s="2795"/>
      <c r="X46" s="2795"/>
      <c r="Y46" s="2795"/>
      <c r="Z46" s="2795"/>
      <c r="AA46" s="2795"/>
      <c r="AB46" s="2795"/>
      <c r="AC46" s="2795"/>
      <c r="AD46" s="2795"/>
      <c r="AE46" s="2795"/>
      <c r="AF46" s="2795"/>
      <c r="AG46" s="2795"/>
      <c r="AH46" s="2795"/>
      <c r="AI46" s="2795"/>
      <c r="AJ46" s="2852"/>
      <c r="AK46" s="2775"/>
      <c r="AL46" s="2775"/>
      <c r="AM46" s="2796"/>
      <c r="AN46" s="2797"/>
      <c r="AO46" s="2797"/>
      <c r="AP46" s="2797"/>
      <c r="AQ46" s="2797"/>
      <c r="AR46" s="2797"/>
      <c r="AS46" s="2797"/>
      <c r="AT46" s="2798"/>
      <c r="AU46" s="1648"/>
      <c r="AV46" s="354"/>
      <c r="AW46" s="354"/>
      <c r="AX46" s="1122"/>
    </row>
    <row r="47" spans="2:55" ht="22.5" customHeight="1" x14ac:dyDescent="0.2">
      <c r="B47" s="1121"/>
      <c r="C47" s="2481"/>
      <c r="D47" s="2482"/>
      <c r="E47" s="2794" t="s">
        <v>13282</v>
      </c>
      <c r="F47" s="2795"/>
      <c r="G47" s="2795"/>
      <c r="H47" s="2795"/>
      <c r="I47" s="2795"/>
      <c r="J47" s="2795"/>
      <c r="K47" s="2795"/>
      <c r="L47" s="2795"/>
      <c r="M47" s="2795"/>
      <c r="N47" s="2795"/>
      <c r="O47" s="2795"/>
      <c r="P47" s="2795"/>
      <c r="Q47" s="2795"/>
      <c r="R47" s="2795"/>
      <c r="S47" s="2795"/>
      <c r="T47" s="2795"/>
      <c r="U47" s="2795"/>
      <c r="V47" s="2795"/>
      <c r="W47" s="2795"/>
      <c r="X47" s="2795"/>
      <c r="Y47" s="2795"/>
      <c r="Z47" s="2795"/>
      <c r="AA47" s="2795"/>
      <c r="AB47" s="2795"/>
      <c r="AC47" s="2795"/>
      <c r="AD47" s="2795"/>
      <c r="AE47" s="2795"/>
      <c r="AF47" s="2795"/>
      <c r="AG47" s="2795"/>
      <c r="AH47" s="2795"/>
      <c r="AI47" s="2795"/>
      <c r="AJ47" s="2852"/>
      <c r="AK47" s="2775"/>
      <c r="AL47" s="2775"/>
      <c r="AM47" s="2796"/>
      <c r="AN47" s="2797"/>
      <c r="AO47" s="2797"/>
      <c r="AP47" s="2797"/>
      <c r="AQ47" s="2797"/>
      <c r="AR47" s="2797"/>
      <c r="AS47" s="2797"/>
      <c r="AT47" s="2798"/>
      <c r="AU47" s="1648"/>
      <c r="AV47" s="354"/>
      <c r="AW47" s="354"/>
      <c r="AX47" s="1122"/>
    </row>
    <row r="48" spans="2:55" ht="41.25" customHeight="1" x14ac:dyDescent="0.2">
      <c r="B48" s="1121"/>
      <c r="C48" s="1235"/>
      <c r="D48" s="1236"/>
      <c r="E48" s="2794" t="s">
        <v>9633</v>
      </c>
      <c r="F48" s="2795"/>
      <c r="G48" s="2795"/>
      <c r="H48" s="2795"/>
      <c r="I48" s="2795"/>
      <c r="J48" s="2795"/>
      <c r="K48" s="2795"/>
      <c r="L48" s="2795"/>
      <c r="M48" s="2795"/>
      <c r="N48" s="2795"/>
      <c r="O48" s="2795"/>
      <c r="P48" s="2795"/>
      <c r="Q48" s="2795"/>
      <c r="R48" s="2795"/>
      <c r="S48" s="2795"/>
      <c r="T48" s="2795"/>
      <c r="U48" s="2795"/>
      <c r="V48" s="2795"/>
      <c r="W48" s="2795"/>
      <c r="X48" s="2795"/>
      <c r="Y48" s="2795"/>
      <c r="Z48" s="2795"/>
      <c r="AA48" s="2795"/>
      <c r="AB48" s="2795"/>
      <c r="AC48" s="2795"/>
      <c r="AD48" s="2795"/>
      <c r="AE48" s="2852"/>
      <c r="AF48" s="2778"/>
      <c r="AG48" s="2779"/>
      <c r="AH48" s="2779"/>
      <c r="AI48" s="2779"/>
      <c r="AJ48" s="2779"/>
      <c r="AK48" s="2779"/>
      <c r="AL48" s="2779"/>
      <c r="AM48" s="2779"/>
      <c r="AN48" s="2779"/>
      <c r="AO48" s="2779"/>
      <c r="AP48" s="2779"/>
      <c r="AQ48" s="2779"/>
      <c r="AR48" s="2779"/>
      <c r="AS48" s="2779"/>
      <c r="AT48" s="2779"/>
      <c r="AU48" s="1648"/>
      <c r="AV48" s="354"/>
      <c r="AW48" s="354"/>
      <c r="AX48" s="1122"/>
      <c r="BB48" s="113" t="s">
        <v>12</v>
      </c>
      <c r="BC48" s="113" t="s">
        <v>12</v>
      </c>
    </row>
    <row r="49" spans="2:59" ht="65.25" customHeight="1" x14ac:dyDescent="0.2">
      <c r="B49" s="1121"/>
      <c r="C49" s="1235"/>
      <c r="D49" s="1236"/>
      <c r="E49" s="2946" t="s">
        <v>9694</v>
      </c>
      <c r="F49" s="2947"/>
      <c r="G49" s="2947"/>
      <c r="H49" s="2947"/>
      <c r="I49" s="2947"/>
      <c r="J49" s="2947"/>
      <c r="K49" s="2947"/>
      <c r="L49" s="2947"/>
      <c r="M49" s="2947"/>
      <c r="N49" s="2947"/>
      <c r="O49" s="2947"/>
      <c r="P49" s="2947"/>
      <c r="Q49" s="2947"/>
      <c r="R49" s="2947"/>
      <c r="S49" s="2947"/>
      <c r="T49" s="2947"/>
      <c r="U49" s="2947"/>
      <c r="V49" s="2947"/>
      <c r="W49" s="2947"/>
      <c r="X49" s="2947"/>
      <c r="Y49" s="2947"/>
      <c r="Z49" s="2947"/>
      <c r="AA49" s="2947"/>
      <c r="AB49" s="2947"/>
      <c r="AC49" s="2947"/>
      <c r="AD49" s="2947"/>
      <c r="AE49" s="2948"/>
      <c r="AF49" s="2783"/>
      <c r="AG49" s="2784"/>
      <c r="AH49" s="2784"/>
      <c r="AI49" s="2784"/>
      <c r="AJ49" s="2784"/>
      <c r="AK49" s="2784"/>
      <c r="AL49" s="2784"/>
      <c r="AM49" s="2784"/>
      <c r="AN49" s="2784"/>
      <c r="AO49" s="2784"/>
      <c r="AP49" s="2784"/>
      <c r="AQ49" s="2784"/>
      <c r="AR49" s="2784"/>
      <c r="AS49" s="2784"/>
      <c r="AT49" s="2784"/>
      <c r="AU49" s="1648"/>
      <c r="AV49" s="354"/>
      <c r="AW49" s="354"/>
      <c r="AX49" s="1122"/>
    </row>
    <row r="50" spans="2:59" ht="29.25" customHeight="1" x14ac:dyDescent="0.25">
      <c r="B50" s="1121"/>
      <c r="C50" s="1235"/>
      <c r="D50" s="1236"/>
      <c r="E50" s="2781" t="s">
        <v>8399</v>
      </c>
      <c r="F50" s="2782"/>
      <c r="G50" s="2782"/>
      <c r="H50" s="2782"/>
      <c r="I50" s="2782"/>
      <c r="J50" s="2782"/>
      <c r="K50" s="2782"/>
      <c r="L50" s="2782"/>
      <c r="M50" s="2782"/>
      <c r="N50" s="2782"/>
      <c r="O50" s="2782"/>
      <c r="P50" s="2782"/>
      <c r="Q50" s="2782"/>
      <c r="R50" s="2782"/>
      <c r="S50" s="2782"/>
      <c r="T50" s="2782"/>
      <c r="U50" s="2782"/>
      <c r="V50" s="2782"/>
      <c r="W50" s="2782"/>
      <c r="X50" s="2782"/>
      <c r="Y50" s="2782"/>
      <c r="Z50" s="2744"/>
      <c r="AA50" s="2746"/>
      <c r="AB50" s="2746"/>
      <c r="AC50" s="2746"/>
      <c r="AD50" s="2746"/>
      <c r="AE50" s="2746"/>
      <c r="AF50" s="2772" t="s">
        <v>9714</v>
      </c>
      <c r="AG50" s="2773"/>
      <c r="AH50" s="2773"/>
      <c r="AI50" s="2773"/>
      <c r="AJ50" s="2773"/>
      <c r="AK50" s="2773"/>
      <c r="AL50" s="2773"/>
      <c r="AM50" s="2773"/>
      <c r="AN50" s="2773"/>
      <c r="AO50" s="2773"/>
      <c r="AP50" s="2773"/>
      <c r="AQ50" s="2773"/>
      <c r="AR50" s="2723" t="s">
        <v>12</v>
      </c>
      <c r="AS50" s="2724"/>
      <c r="AT50" s="2725"/>
      <c r="AU50" s="1648"/>
      <c r="AV50" s="354"/>
      <c r="AW50" s="354"/>
      <c r="AX50" s="1122"/>
    </row>
    <row r="51" spans="2:59" ht="12.75" hidden="1" customHeight="1" x14ac:dyDescent="0.2">
      <c r="B51" s="1121"/>
      <c r="C51" s="1235"/>
      <c r="D51" s="1236"/>
      <c r="E51" s="2801" t="s">
        <v>7205</v>
      </c>
      <c r="F51" s="2701"/>
      <c r="G51" s="2701"/>
      <c r="H51" s="2701"/>
      <c r="I51" s="2701"/>
      <c r="J51" s="2701"/>
      <c r="K51" s="2701"/>
      <c r="L51" s="2701"/>
      <c r="M51" s="2701"/>
      <c r="N51" s="2701"/>
      <c r="O51" s="2701"/>
      <c r="P51" s="2701"/>
      <c r="Q51" s="2701"/>
      <c r="R51" s="2701"/>
      <c r="S51" s="2701"/>
      <c r="T51" s="2701"/>
      <c r="U51" s="2701"/>
      <c r="V51" s="2701"/>
      <c r="W51" s="2701"/>
      <c r="X51" s="2701"/>
      <c r="Y51" s="2701"/>
      <c r="Z51" s="2803"/>
      <c r="AA51" s="2803"/>
      <c r="AB51" s="2803"/>
      <c r="AC51" s="2803"/>
      <c r="AD51" s="2803"/>
      <c r="AE51" s="2803"/>
      <c r="AF51" s="125"/>
      <c r="AG51" s="126"/>
      <c r="AH51" s="126"/>
      <c r="AI51" s="126"/>
      <c r="AJ51" s="126"/>
      <c r="AK51" s="126"/>
      <c r="AL51" s="126"/>
      <c r="AM51" s="126"/>
      <c r="AN51" s="126"/>
      <c r="AO51" s="126"/>
      <c r="AP51" s="127"/>
      <c r="AQ51" s="127"/>
      <c r="AR51" s="127"/>
      <c r="AS51" s="128"/>
      <c r="AT51" s="128"/>
      <c r="AU51" s="1648"/>
      <c r="AV51" s="354"/>
      <c r="AW51" s="354"/>
      <c r="AX51" s="1122"/>
      <c r="BB51" s="113" t="s">
        <v>25</v>
      </c>
    </row>
    <row r="52" spans="2:59" ht="21" customHeight="1" x14ac:dyDescent="0.2">
      <c r="B52" s="1121"/>
      <c r="C52" s="1235"/>
      <c r="D52" s="1236"/>
      <c r="E52" s="2802" t="s">
        <v>26</v>
      </c>
      <c r="F52" s="2802"/>
      <c r="G52" s="2802"/>
      <c r="H52" s="2802"/>
      <c r="I52" s="2802"/>
      <c r="J52" s="2802"/>
      <c r="K52" s="2802"/>
      <c r="L52" s="2802"/>
      <c r="M52" s="2802"/>
      <c r="N52" s="2802"/>
      <c r="O52" s="2802"/>
      <c r="P52" s="2802"/>
      <c r="Q52" s="2802"/>
      <c r="R52" s="2802"/>
      <c r="S52" s="2802"/>
      <c r="T52" s="2802"/>
      <c r="U52" s="2802"/>
      <c r="V52" s="2802"/>
      <c r="W52" s="2802"/>
      <c r="X52" s="2802"/>
      <c r="Y52" s="2802"/>
      <c r="Z52" s="2802"/>
      <c r="AA52" s="2802"/>
      <c r="AB52" s="2802"/>
      <c r="AC52" s="2802"/>
      <c r="AD52" s="2802"/>
      <c r="AE52" s="2802"/>
      <c r="AF52" s="2802"/>
      <c r="AG52" s="2802"/>
      <c r="AH52" s="2802"/>
      <c r="AI52" s="2802"/>
      <c r="AJ52" s="2802"/>
      <c r="AK52" s="2802"/>
      <c r="AL52" s="2772"/>
      <c r="AM52" s="2723"/>
      <c r="AN52" s="2724"/>
      <c r="AO52" s="2724"/>
      <c r="AP52" s="2724"/>
      <c r="AQ52" s="2724"/>
      <c r="AR52" s="2724"/>
      <c r="AS52" s="2724"/>
      <c r="AT52" s="2725"/>
      <c r="AU52" s="1648"/>
      <c r="AV52" s="354"/>
      <c r="AW52" s="354"/>
      <c r="AX52" s="1122"/>
    </row>
    <row r="53" spans="2:59" ht="14.25" customHeight="1" x14ac:dyDescent="0.2">
      <c r="B53" s="1121"/>
      <c r="C53" s="1235"/>
      <c r="D53" s="1236"/>
      <c r="E53" s="2799" t="s">
        <v>27</v>
      </c>
      <c r="F53" s="2800"/>
      <c r="G53" s="2689" t="s">
        <v>9647</v>
      </c>
      <c r="H53" s="2690"/>
      <c r="I53" s="2690"/>
      <c r="J53" s="2690"/>
      <c r="K53" s="2690"/>
      <c r="L53" s="2690"/>
      <c r="M53" s="2690"/>
      <c r="N53" s="2690"/>
      <c r="O53" s="2690"/>
      <c r="P53" s="2690"/>
      <c r="Q53" s="2690"/>
      <c r="R53" s="2690"/>
      <c r="S53" s="2690"/>
      <c r="T53" s="2690"/>
      <c r="U53" s="2690"/>
      <c r="V53" s="2690"/>
      <c r="W53" s="2690"/>
      <c r="X53" s="2690"/>
      <c r="Y53" s="2690"/>
      <c r="Z53" s="2690"/>
      <c r="AA53" s="2690"/>
      <c r="AB53" s="2690"/>
      <c r="AC53" s="2690"/>
      <c r="AD53" s="2690"/>
      <c r="AE53" s="2778"/>
      <c r="AF53" s="2779"/>
      <c r="AG53" s="2779"/>
      <c r="AH53" s="2779"/>
      <c r="AI53" s="2779"/>
      <c r="AJ53" s="2779"/>
      <c r="AK53" s="2779"/>
      <c r="AL53" s="2779"/>
      <c r="AM53" s="2779"/>
      <c r="AN53" s="2779"/>
      <c r="AO53" s="2779"/>
      <c r="AP53" s="2779"/>
      <c r="AQ53" s="2779"/>
      <c r="AR53" s="2779"/>
      <c r="AS53" s="2779"/>
      <c r="AT53" s="2779"/>
      <c r="AU53" s="1648"/>
      <c r="AV53" s="354"/>
      <c r="AW53" s="354"/>
      <c r="AX53" s="1122"/>
    </row>
    <row r="54" spans="2:59" ht="14.25" customHeight="1" x14ac:dyDescent="0.2">
      <c r="B54" s="1121"/>
      <c r="C54" s="1235"/>
      <c r="D54" s="1236"/>
      <c r="E54" s="2799" t="s">
        <v>28</v>
      </c>
      <c r="F54" s="2819"/>
      <c r="G54" s="1243"/>
      <c r="H54" s="132"/>
      <c r="I54" s="132"/>
      <c r="J54" s="132"/>
      <c r="K54" s="132"/>
      <c r="L54" s="132"/>
      <c r="M54" s="132"/>
      <c r="N54" s="2693" t="s">
        <v>9241</v>
      </c>
      <c r="O54" s="2693"/>
      <c r="P54" s="2693"/>
      <c r="Q54" s="2693"/>
      <c r="R54" s="2693"/>
      <c r="S54" s="2693"/>
      <c r="T54" s="2693"/>
      <c r="U54" s="2693"/>
      <c r="V54" s="2693"/>
      <c r="W54" s="2693"/>
      <c r="X54" s="2693"/>
      <c r="Y54" s="2693"/>
      <c r="Z54" s="2693"/>
      <c r="AA54" s="2693"/>
      <c r="AB54" s="2693"/>
      <c r="AC54" s="2693"/>
      <c r="AD54" s="2703"/>
      <c r="AE54" s="2778" t="s">
        <v>12</v>
      </c>
      <c r="AF54" s="2779"/>
      <c r="AG54" s="2779"/>
      <c r="AH54" s="2779"/>
      <c r="AI54" s="2779"/>
      <c r="AJ54" s="2779"/>
      <c r="AK54" s="2779"/>
      <c r="AL54" s="2779"/>
      <c r="AM54" s="2779"/>
      <c r="AN54" s="2779"/>
      <c r="AO54" s="2779"/>
      <c r="AP54" s="2779"/>
      <c r="AQ54" s="2779"/>
      <c r="AR54" s="2779"/>
      <c r="AS54" s="2779"/>
      <c r="AT54" s="2780"/>
      <c r="AU54" s="1648"/>
      <c r="AV54" s="354"/>
      <c r="AW54" s="354"/>
      <c r="AX54" s="1122"/>
    </row>
    <row r="55" spans="2:59" ht="13.5" customHeight="1" x14ac:dyDescent="0.2">
      <c r="B55" s="1121"/>
      <c r="C55" s="1235"/>
      <c r="D55" s="1236"/>
      <c r="E55" s="2777" t="s">
        <v>29</v>
      </c>
      <c r="F55" s="2777"/>
      <c r="G55" s="2689" t="s">
        <v>9648</v>
      </c>
      <c r="H55" s="2690"/>
      <c r="I55" s="2690"/>
      <c r="J55" s="2690"/>
      <c r="K55" s="2690"/>
      <c r="L55" s="2690"/>
      <c r="M55" s="2690"/>
      <c r="N55" s="2690"/>
      <c r="O55" s="2690"/>
      <c r="P55" s="2690"/>
      <c r="Q55" s="2690"/>
      <c r="R55" s="2690"/>
      <c r="S55" s="2690"/>
      <c r="T55" s="2690"/>
      <c r="U55" s="2690"/>
      <c r="V55" s="2690"/>
      <c r="W55" s="2690"/>
      <c r="X55" s="2690"/>
      <c r="Y55" s="2690"/>
      <c r="Z55" s="2690"/>
      <c r="AA55" s="2690"/>
      <c r="AB55" s="2690"/>
      <c r="AC55" s="2690"/>
      <c r="AD55" s="2690"/>
      <c r="AE55" s="2778"/>
      <c r="AF55" s="2779"/>
      <c r="AG55" s="2779"/>
      <c r="AH55" s="2779"/>
      <c r="AI55" s="2779"/>
      <c r="AJ55" s="2779"/>
      <c r="AK55" s="2779"/>
      <c r="AL55" s="2779"/>
      <c r="AM55" s="2779"/>
      <c r="AN55" s="2779"/>
      <c r="AO55" s="2779"/>
      <c r="AP55" s="2779"/>
      <c r="AQ55" s="2779"/>
      <c r="AR55" s="2779"/>
      <c r="AS55" s="2779"/>
      <c r="AT55" s="2779"/>
      <c r="AU55" s="1648"/>
      <c r="AV55" s="354"/>
      <c r="AW55" s="354"/>
      <c r="AX55" s="1122"/>
    </row>
    <row r="56" spans="2:59" ht="13.5" customHeight="1" x14ac:dyDescent="0.2">
      <c r="B56" s="1121"/>
      <c r="C56" s="1235"/>
      <c r="D56" s="1239"/>
      <c r="E56" s="2799" t="s">
        <v>36</v>
      </c>
      <c r="F56" s="2819"/>
      <c r="G56" s="2689" t="s">
        <v>9715</v>
      </c>
      <c r="H56" s="2690"/>
      <c r="I56" s="2690"/>
      <c r="J56" s="2690"/>
      <c r="K56" s="2690"/>
      <c r="L56" s="2690"/>
      <c r="M56" s="2690"/>
      <c r="N56" s="2690"/>
      <c r="O56" s="2690"/>
      <c r="P56" s="2690"/>
      <c r="Q56" s="2690"/>
      <c r="R56" s="2690"/>
      <c r="S56" s="2690"/>
      <c r="T56" s="2690"/>
      <c r="U56" s="2690"/>
      <c r="V56" s="2690"/>
      <c r="W56" s="2690"/>
      <c r="X56" s="2690"/>
      <c r="Y56" s="2690"/>
      <c r="Z56" s="2690"/>
      <c r="AA56" s="2690"/>
      <c r="AB56" s="2690"/>
      <c r="AC56" s="2690"/>
      <c r="AD56" s="2690"/>
      <c r="AE56" s="2949"/>
      <c r="AF56" s="2950"/>
      <c r="AG56" s="2950"/>
      <c r="AH56" s="2950"/>
      <c r="AI56" s="2950"/>
      <c r="AJ56" s="2950"/>
      <c r="AK56" s="2950"/>
      <c r="AL56" s="2950"/>
      <c r="AM56" s="2950"/>
      <c r="AN56" s="2950"/>
      <c r="AO56" s="2950"/>
      <c r="AP56" s="2950"/>
      <c r="AQ56" s="2950"/>
      <c r="AR56" s="2950"/>
      <c r="AS56" s="2950"/>
      <c r="AT56" s="2951"/>
      <c r="AU56" s="1648"/>
      <c r="AV56" s="354"/>
      <c r="AW56" s="354"/>
      <c r="AX56" s="1122"/>
    </row>
    <row r="57" spans="2:59" ht="13.5" customHeight="1" x14ac:dyDescent="0.2">
      <c r="B57" s="1121"/>
      <c r="C57" s="1235"/>
      <c r="D57" s="1239"/>
      <c r="E57" s="2799" t="s">
        <v>38</v>
      </c>
      <c r="F57" s="2819"/>
      <c r="G57" s="1720"/>
      <c r="H57" s="1721"/>
      <c r="I57" s="1721"/>
      <c r="J57" s="1721"/>
      <c r="K57" s="1721"/>
      <c r="L57" s="1721"/>
      <c r="M57" s="1721"/>
      <c r="N57" s="2693" t="s">
        <v>11937</v>
      </c>
      <c r="O57" s="2693"/>
      <c r="P57" s="2693"/>
      <c r="Q57" s="2693"/>
      <c r="R57" s="2693"/>
      <c r="S57" s="2693"/>
      <c r="T57" s="2693"/>
      <c r="U57" s="2693"/>
      <c r="V57" s="2693"/>
      <c r="W57" s="2693"/>
      <c r="X57" s="2693"/>
      <c r="Y57" s="2693"/>
      <c r="Z57" s="2693"/>
      <c r="AA57" s="2693"/>
      <c r="AB57" s="2693"/>
      <c r="AC57" s="2693"/>
      <c r="AD57" s="2703"/>
      <c r="AE57" s="2778"/>
      <c r="AF57" s="2779"/>
      <c r="AG57" s="2779"/>
      <c r="AH57" s="2779"/>
      <c r="AI57" s="2779"/>
      <c r="AJ57" s="2779"/>
      <c r="AK57" s="2779"/>
      <c r="AL57" s="2779"/>
      <c r="AM57" s="2779"/>
      <c r="AN57" s="2779"/>
      <c r="AO57" s="2779"/>
      <c r="AP57" s="2779"/>
      <c r="AQ57" s="2779"/>
      <c r="AR57" s="2779"/>
      <c r="AS57" s="2779"/>
      <c r="AT57" s="2780"/>
      <c r="AU57" s="1648"/>
      <c r="AV57" s="354"/>
      <c r="AW57" s="354"/>
      <c r="AX57" s="1122"/>
    </row>
    <row r="58" spans="2:59" ht="13.5" customHeight="1" x14ac:dyDescent="0.25">
      <c r="B58" s="1121"/>
      <c r="C58" s="1235"/>
      <c r="D58" s="1236"/>
      <c r="E58" s="2748" t="s">
        <v>9260</v>
      </c>
      <c r="F58" s="2749"/>
      <c r="G58" s="2749"/>
      <c r="H58" s="2749"/>
      <c r="I58" s="2749"/>
      <c r="J58" s="2749"/>
      <c r="K58" s="2749"/>
      <c r="L58" s="2749"/>
      <c r="M58" s="2749"/>
      <c r="N58" s="2749"/>
      <c r="O58" s="2749"/>
      <c r="P58" s="2749"/>
      <c r="Q58" s="2749"/>
      <c r="R58" s="2749"/>
      <c r="S58" s="2749"/>
      <c r="T58" s="2749"/>
      <c r="U58" s="2749"/>
      <c r="V58" s="2749"/>
      <c r="W58" s="2749"/>
      <c r="X58" s="2749"/>
      <c r="Y58" s="2749"/>
      <c r="Z58" s="2749"/>
      <c r="AA58" s="2749"/>
      <c r="AB58" s="2749"/>
      <c r="AC58" s="2749"/>
      <c r="AD58" s="2749"/>
      <c r="AE58" s="2749"/>
      <c r="AF58" s="2749"/>
      <c r="AG58" s="2749"/>
      <c r="AH58" s="2749"/>
      <c r="AI58" s="2749"/>
      <c r="AJ58" s="2749"/>
      <c r="AK58" s="2749"/>
      <c r="AL58" s="2750"/>
      <c r="AM58" s="2744"/>
      <c r="AN58" s="2746"/>
      <c r="AO58" s="2746"/>
      <c r="AP58" s="2746"/>
      <c r="AQ58" s="2746"/>
      <c r="AR58" s="2746"/>
      <c r="AS58" s="2746"/>
      <c r="AT58" s="2746"/>
      <c r="AU58" s="1648"/>
      <c r="AV58" s="354"/>
      <c r="AW58" s="354"/>
      <c r="AX58" s="1122"/>
      <c r="BF58" s="310"/>
    </row>
    <row r="59" spans="2:59" ht="26.25" customHeight="1" x14ac:dyDescent="0.2">
      <c r="B59" s="1121"/>
      <c r="C59" s="1235"/>
      <c r="D59" s="1239"/>
      <c r="E59" s="1240" t="s">
        <v>7563</v>
      </c>
      <c r="F59" s="2747" t="s">
        <v>9225</v>
      </c>
      <c r="G59" s="2747"/>
      <c r="H59" s="2747"/>
      <c r="I59" s="2747"/>
      <c r="J59" s="2747"/>
      <c r="K59" s="2747"/>
      <c r="L59" s="2747"/>
      <c r="M59" s="2747"/>
      <c r="N59" s="2747"/>
      <c r="O59" s="2785" t="s">
        <v>9799</v>
      </c>
      <c r="P59" s="2786"/>
      <c r="Q59" s="2786"/>
      <c r="R59" s="2786"/>
      <c r="S59" s="2786"/>
      <c r="T59" s="2786"/>
      <c r="U59" s="2786"/>
      <c r="V59" s="2786"/>
      <c r="W59" s="2787"/>
      <c r="X59" s="2747" t="s">
        <v>7</v>
      </c>
      <c r="Y59" s="2747"/>
      <c r="Z59" s="2747"/>
      <c r="AA59" s="2747"/>
      <c r="AB59" s="2747"/>
      <c r="AC59" s="2747"/>
      <c r="AD59" s="2747"/>
      <c r="AE59" s="2747"/>
      <c r="AF59" s="2747"/>
      <c r="AG59" s="2785" t="s">
        <v>9226</v>
      </c>
      <c r="AH59" s="2786"/>
      <c r="AI59" s="2786"/>
      <c r="AJ59" s="2787"/>
      <c r="AK59" s="2785" t="s">
        <v>9227</v>
      </c>
      <c r="AL59" s="2786"/>
      <c r="AM59" s="2786"/>
      <c r="AN59" s="2786"/>
      <c r="AO59" s="2786"/>
      <c r="AP59" s="2786"/>
      <c r="AQ59" s="2786"/>
      <c r="AR59" s="2786"/>
      <c r="AS59" s="2786"/>
      <c r="AT59" s="2786"/>
      <c r="AU59" s="1655"/>
      <c r="AV59" s="159"/>
      <c r="AW59" s="159"/>
      <c r="AX59" s="1654"/>
      <c r="AY59" s="1649"/>
      <c r="AZ59" s="1649"/>
      <c r="BA59" s="1649"/>
      <c r="BB59" s="1649"/>
      <c r="BC59" s="1649"/>
      <c r="BD59" s="1649"/>
      <c r="BE59" s="1133"/>
      <c r="BF59" s="354"/>
      <c r="BG59" s="117"/>
    </row>
    <row r="60" spans="2:59" ht="13.5" customHeight="1" x14ac:dyDescent="0.2">
      <c r="B60" s="1121"/>
      <c r="C60" s="1235"/>
      <c r="D60" s="1239"/>
      <c r="E60" s="1240">
        <v>1</v>
      </c>
      <c r="F60" s="2685" t="s">
        <v>23</v>
      </c>
      <c r="G60" s="2686"/>
      <c r="H60" s="2686"/>
      <c r="I60" s="2686"/>
      <c r="J60" s="2686"/>
      <c r="K60" s="2686"/>
      <c r="L60" s="2686"/>
      <c r="M60" s="2686"/>
      <c r="N60" s="2756"/>
      <c r="O60" s="2685" t="s">
        <v>23</v>
      </c>
      <c r="P60" s="2686"/>
      <c r="Q60" s="2686"/>
      <c r="R60" s="2686"/>
      <c r="S60" s="2686"/>
      <c r="T60" s="2686"/>
      <c r="U60" s="2686"/>
      <c r="V60" s="2686"/>
      <c r="W60" s="2756"/>
      <c r="X60" s="2754"/>
      <c r="Y60" s="2755"/>
      <c r="Z60" s="2755"/>
      <c r="AA60" s="2755"/>
      <c r="AB60" s="2755"/>
      <c r="AC60" s="2755"/>
      <c r="AD60" s="2755"/>
      <c r="AE60" s="2755"/>
      <c r="AF60" s="2755"/>
      <c r="AG60" s="2754"/>
      <c r="AH60" s="2755"/>
      <c r="AI60" s="2755"/>
      <c r="AJ60" s="2755"/>
      <c r="AK60" s="2685" t="s">
        <v>23</v>
      </c>
      <c r="AL60" s="2686"/>
      <c r="AM60" s="2686"/>
      <c r="AN60" s="2686"/>
      <c r="AO60" s="2686"/>
      <c r="AP60" s="2686"/>
      <c r="AQ60" s="2686"/>
      <c r="AR60" s="2686"/>
      <c r="AS60" s="2686"/>
      <c r="AT60" s="2686"/>
      <c r="AU60" s="1655"/>
      <c r="AV60" s="159"/>
      <c r="AW60" s="159"/>
      <c r="AX60" s="1654"/>
      <c r="AY60" s="1650"/>
      <c r="AZ60" s="1650"/>
      <c r="BA60" s="1650"/>
      <c r="BB60" s="1650"/>
      <c r="BC60" s="1650"/>
      <c r="BD60" s="1650"/>
      <c r="BE60" s="1133"/>
      <c r="BF60" s="354"/>
      <c r="BG60" s="117"/>
    </row>
    <row r="61" spans="2:59" ht="13.5" customHeight="1" x14ac:dyDescent="0.2">
      <c r="B61" s="1121"/>
      <c r="C61" s="1235"/>
      <c r="D61" s="1239"/>
      <c r="E61" s="1240">
        <f>E60+1</f>
        <v>2</v>
      </c>
      <c r="F61" s="2685" t="s">
        <v>23</v>
      </c>
      <c r="G61" s="2686"/>
      <c r="H61" s="2686"/>
      <c r="I61" s="2686"/>
      <c r="J61" s="2686"/>
      <c r="K61" s="2686"/>
      <c r="L61" s="2686"/>
      <c r="M61" s="2686"/>
      <c r="N61" s="2756"/>
      <c r="O61" s="2685" t="s">
        <v>23</v>
      </c>
      <c r="P61" s="2686"/>
      <c r="Q61" s="2686"/>
      <c r="R61" s="2686"/>
      <c r="S61" s="2686"/>
      <c r="T61" s="2686"/>
      <c r="U61" s="2686"/>
      <c r="V61" s="2686"/>
      <c r="W61" s="2756"/>
      <c r="X61" s="2754"/>
      <c r="Y61" s="2755"/>
      <c r="Z61" s="2755"/>
      <c r="AA61" s="2755"/>
      <c r="AB61" s="2755"/>
      <c r="AC61" s="2755"/>
      <c r="AD61" s="2755"/>
      <c r="AE61" s="2755"/>
      <c r="AF61" s="2755"/>
      <c r="AG61" s="2754"/>
      <c r="AH61" s="2755"/>
      <c r="AI61" s="2755"/>
      <c r="AJ61" s="2755"/>
      <c r="AK61" s="2685" t="s">
        <v>23</v>
      </c>
      <c r="AL61" s="2686"/>
      <c r="AM61" s="2686"/>
      <c r="AN61" s="2686"/>
      <c r="AO61" s="2686"/>
      <c r="AP61" s="2686"/>
      <c r="AQ61" s="2686"/>
      <c r="AR61" s="2686"/>
      <c r="AS61" s="2686"/>
      <c r="AT61" s="2686"/>
      <c r="AU61" s="1655"/>
      <c r="AV61" s="159"/>
      <c r="AW61" s="159"/>
      <c r="AX61" s="1654"/>
      <c r="AY61" s="1650"/>
      <c r="AZ61" s="1650"/>
      <c r="BA61" s="1650"/>
      <c r="BB61" s="1650"/>
      <c r="BC61" s="1650"/>
      <c r="BD61" s="1650"/>
      <c r="BE61" s="1133"/>
      <c r="BF61" s="354"/>
      <c r="BG61" s="117"/>
    </row>
    <row r="62" spans="2:59" ht="13.5" customHeight="1" x14ac:dyDescent="0.2">
      <c r="B62" s="1121"/>
      <c r="C62" s="1235"/>
      <c r="D62" s="1239"/>
      <c r="E62" s="1240">
        <f>E61+1</f>
        <v>3</v>
      </c>
      <c r="F62" s="2685" t="s">
        <v>23</v>
      </c>
      <c r="G62" s="2686"/>
      <c r="H62" s="2686"/>
      <c r="I62" s="2686"/>
      <c r="J62" s="2686"/>
      <c r="K62" s="2686"/>
      <c r="L62" s="2686"/>
      <c r="M62" s="2686"/>
      <c r="N62" s="2756"/>
      <c r="O62" s="2685" t="s">
        <v>23</v>
      </c>
      <c r="P62" s="2686"/>
      <c r="Q62" s="2686"/>
      <c r="R62" s="2686"/>
      <c r="S62" s="2686"/>
      <c r="T62" s="2686"/>
      <c r="U62" s="2686"/>
      <c r="V62" s="2686"/>
      <c r="W62" s="2756"/>
      <c r="X62" s="2754"/>
      <c r="Y62" s="2755"/>
      <c r="Z62" s="2755"/>
      <c r="AA62" s="2755"/>
      <c r="AB62" s="2755"/>
      <c r="AC62" s="2755"/>
      <c r="AD62" s="2755"/>
      <c r="AE62" s="2755"/>
      <c r="AF62" s="2755"/>
      <c r="AG62" s="2751"/>
      <c r="AH62" s="2752"/>
      <c r="AI62" s="2752"/>
      <c r="AJ62" s="2753"/>
      <c r="AK62" s="2685" t="s">
        <v>23</v>
      </c>
      <c r="AL62" s="2686"/>
      <c r="AM62" s="2686"/>
      <c r="AN62" s="2686"/>
      <c r="AO62" s="2686"/>
      <c r="AP62" s="2686"/>
      <c r="AQ62" s="2686"/>
      <c r="AR62" s="2686"/>
      <c r="AS62" s="2686"/>
      <c r="AT62" s="2686"/>
      <c r="AU62" s="1655"/>
      <c r="AV62" s="159"/>
      <c r="AW62" s="159"/>
      <c r="AX62" s="1654"/>
      <c r="AY62" s="1650"/>
      <c r="AZ62" s="1650"/>
      <c r="BA62" s="1650"/>
      <c r="BB62" s="1650"/>
      <c r="BC62" s="1650"/>
      <c r="BD62" s="1650"/>
      <c r="BE62" s="1133"/>
      <c r="BF62" s="354"/>
      <c r="BG62" s="117"/>
    </row>
    <row r="63" spans="2:59" ht="27" customHeight="1" x14ac:dyDescent="0.2">
      <c r="B63" s="1121"/>
      <c r="C63" s="1235"/>
      <c r="D63" s="1236"/>
      <c r="E63" s="2747"/>
      <c r="F63" s="2747"/>
      <c r="G63" s="2747"/>
      <c r="H63" s="2747"/>
      <c r="I63" s="2747"/>
      <c r="J63" s="2747"/>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1648"/>
      <c r="AV63" s="354"/>
      <c r="AW63" s="354"/>
      <c r="AX63" s="1122"/>
      <c r="BF63" s="310"/>
    </row>
    <row r="64" spans="2:59" ht="12.75" x14ac:dyDescent="0.2">
      <c r="B64" s="1121"/>
      <c r="C64" s="1235"/>
      <c r="D64" s="1236"/>
      <c r="E64" s="2748" t="s">
        <v>9322</v>
      </c>
      <c r="F64" s="2749"/>
      <c r="G64" s="2749"/>
      <c r="H64" s="2749"/>
      <c r="I64" s="2749"/>
      <c r="J64" s="2749"/>
      <c r="K64" s="2749"/>
      <c r="L64" s="2749"/>
      <c r="M64" s="2749"/>
      <c r="N64" s="2749"/>
      <c r="O64" s="2749"/>
      <c r="P64" s="2749"/>
      <c r="Q64" s="2749"/>
      <c r="R64" s="2749"/>
      <c r="S64" s="2749"/>
      <c r="T64" s="2749"/>
      <c r="U64" s="2749"/>
      <c r="V64" s="2749"/>
      <c r="W64" s="2749"/>
      <c r="X64" s="2749"/>
      <c r="Y64" s="2749"/>
      <c r="Z64" s="2749"/>
      <c r="AA64" s="2749"/>
      <c r="AB64" s="2749"/>
      <c r="AC64" s="2749"/>
      <c r="AD64" s="2749"/>
      <c r="AE64" s="2749"/>
      <c r="AF64" s="2748"/>
      <c r="AG64" s="2748"/>
      <c r="AH64" s="2748"/>
      <c r="AI64" s="2748"/>
      <c r="AJ64" s="2748"/>
      <c r="AK64" s="2748"/>
      <c r="AL64" s="2788"/>
      <c r="AM64" s="2789" t="s">
        <v>12</v>
      </c>
      <c r="AN64" s="2790"/>
      <c r="AO64" s="2790"/>
      <c r="AP64" s="2790"/>
      <c r="AQ64" s="2790"/>
      <c r="AR64" s="2790"/>
      <c r="AS64" s="2790"/>
      <c r="AT64" s="2791"/>
      <c r="AU64" s="1648"/>
      <c r="AV64" s="354"/>
      <c r="AW64" s="354"/>
      <c r="AX64" s="1122"/>
    </row>
    <row r="65" spans="2:50" ht="12.75" x14ac:dyDescent="0.2">
      <c r="B65" s="1121"/>
      <c r="C65" s="1235"/>
      <c r="D65" s="1236"/>
      <c r="E65" s="1241" t="s">
        <v>7563</v>
      </c>
      <c r="F65" s="2785" t="s">
        <v>9323</v>
      </c>
      <c r="G65" s="2786"/>
      <c r="H65" s="2786"/>
      <c r="I65" s="2786"/>
      <c r="J65" s="2786"/>
      <c r="K65" s="2786"/>
      <c r="L65" s="2786"/>
      <c r="M65" s="2786"/>
      <c r="N65" s="2786"/>
      <c r="O65" s="2786"/>
      <c r="P65" s="2786"/>
      <c r="Q65" s="2786"/>
      <c r="R65" s="2786"/>
      <c r="S65" s="2786"/>
      <c r="T65" s="2786"/>
      <c r="U65" s="2786"/>
      <c r="V65" s="2787"/>
      <c r="W65" s="2747" t="s">
        <v>7</v>
      </c>
      <c r="X65" s="2747"/>
      <c r="Y65" s="2747"/>
      <c r="Z65" s="2747"/>
      <c r="AA65" s="2747"/>
      <c r="AB65" s="2785"/>
      <c r="AC65" s="1279"/>
      <c r="AD65" s="1280"/>
      <c r="AE65" s="1280"/>
      <c r="AF65" s="1280"/>
      <c r="AG65" s="1280"/>
      <c r="AH65" s="1280"/>
      <c r="AI65" s="1280"/>
      <c r="AJ65" s="1280"/>
      <c r="AK65" s="1280"/>
      <c r="AL65" s="1280"/>
      <c r="AM65" s="1280"/>
      <c r="AN65" s="1280"/>
      <c r="AO65" s="1280"/>
      <c r="AP65" s="1280"/>
      <c r="AQ65" s="1280"/>
      <c r="AR65" s="1280"/>
      <c r="AS65" s="1280"/>
      <c r="AT65" s="1281"/>
      <c r="AU65" s="1133"/>
      <c r="AV65" s="354"/>
      <c r="AW65" s="354"/>
      <c r="AX65" s="1122"/>
    </row>
    <row r="66" spans="2:50" ht="39.75" customHeight="1" x14ac:dyDescent="0.2">
      <c r="B66" s="1121"/>
      <c r="C66" s="1235"/>
      <c r="D66" s="1236"/>
      <c r="E66" s="1287">
        <v>1</v>
      </c>
      <c r="F66" s="2682" t="s">
        <v>23</v>
      </c>
      <c r="G66" s="2683"/>
      <c r="H66" s="2683"/>
      <c r="I66" s="2683"/>
      <c r="J66" s="2683"/>
      <c r="K66" s="2683"/>
      <c r="L66" s="2683"/>
      <c r="M66" s="2683"/>
      <c r="N66" s="2683"/>
      <c r="O66" s="2683"/>
      <c r="P66" s="2683"/>
      <c r="Q66" s="2683"/>
      <c r="R66" s="2683"/>
      <c r="S66" s="2683"/>
      <c r="T66" s="2683"/>
      <c r="U66" s="2683"/>
      <c r="V66" s="2684"/>
      <c r="W66" s="2744"/>
      <c r="X66" s="2745"/>
      <c r="Y66" s="2745"/>
      <c r="Z66" s="2745"/>
      <c r="AA66" s="2745"/>
      <c r="AB66" s="2745"/>
      <c r="AC66" s="1282"/>
      <c r="AD66" s="1278"/>
      <c r="AE66" s="1278"/>
      <c r="AF66" s="1278"/>
      <c r="AG66" s="1278"/>
      <c r="AH66" s="1278"/>
      <c r="AI66" s="1278"/>
      <c r="AJ66" s="1278"/>
      <c r="AK66" s="1278"/>
      <c r="AL66" s="1278"/>
      <c r="AM66" s="1278"/>
      <c r="AN66" s="1278"/>
      <c r="AO66" s="1278"/>
      <c r="AP66" s="1278"/>
      <c r="AQ66" s="1278"/>
      <c r="AR66" s="1278"/>
      <c r="AS66" s="1278"/>
      <c r="AT66" s="1283"/>
      <c r="AU66" s="1133"/>
      <c r="AV66" s="354"/>
      <c r="AW66" s="354"/>
      <c r="AX66" s="1122"/>
    </row>
    <row r="67" spans="2:50" ht="42" customHeight="1" x14ac:dyDescent="0.2">
      <c r="B67" s="1121"/>
      <c r="C67" s="1235"/>
      <c r="D67" s="1236"/>
      <c r="E67" s="1287">
        <f>E66+1</f>
        <v>2</v>
      </c>
      <c r="F67" s="2682" t="s">
        <v>23</v>
      </c>
      <c r="G67" s="2683"/>
      <c r="H67" s="2683"/>
      <c r="I67" s="2683"/>
      <c r="J67" s="2683"/>
      <c r="K67" s="2683"/>
      <c r="L67" s="2683"/>
      <c r="M67" s="2683"/>
      <c r="N67" s="2683"/>
      <c r="O67" s="2683"/>
      <c r="P67" s="2683"/>
      <c r="Q67" s="2683"/>
      <c r="R67" s="2683"/>
      <c r="S67" s="2683"/>
      <c r="T67" s="2683"/>
      <c r="U67" s="2683"/>
      <c r="V67" s="2684"/>
      <c r="W67" s="2744"/>
      <c r="X67" s="2745"/>
      <c r="Y67" s="2745"/>
      <c r="Z67" s="2745"/>
      <c r="AA67" s="2745"/>
      <c r="AB67" s="2745"/>
      <c r="AC67" s="1282"/>
      <c r="AD67" s="1278"/>
      <c r="AE67" s="1278"/>
      <c r="AF67" s="1278"/>
      <c r="AG67" s="1278"/>
      <c r="AH67" s="1278"/>
      <c r="AI67" s="1278"/>
      <c r="AJ67" s="1278"/>
      <c r="AK67" s="1278"/>
      <c r="AL67" s="1278"/>
      <c r="AM67" s="1278"/>
      <c r="AN67" s="1278"/>
      <c r="AO67" s="1278"/>
      <c r="AP67" s="1278"/>
      <c r="AQ67" s="1278"/>
      <c r="AR67" s="1278"/>
      <c r="AS67" s="1278"/>
      <c r="AT67" s="1283"/>
      <c r="AU67" s="1133"/>
      <c r="AV67" s="354"/>
      <c r="AW67" s="354"/>
      <c r="AX67" s="1122"/>
    </row>
    <row r="68" spans="2:50" ht="28.5" customHeight="1" x14ac:dyDescent="0.2">
      <c r="B68" s="1121"/>
      <c r="C68" s="1235"/>
      <c r="D68" s="1236"/>
      <c r="E68" s="1287"/>
      <c r="F68" s="1288"/>
      <c r="G68" s="1288"/>
      <c r="H68" s="1288"/>
      <c r="I68" s="1288"/>
      <c r="J68" s="1288"/>
      <c r="K68" s="1288"/>
      <c r="L68" s="1288"/>
      <c r="M68" s="1288"/>
      <c r="N68" s="1288"/>
      <c r="O68" s="1288"/>
      <c r="P68" s="1288"/>
      <c r="Q68" s="1288"/>
      <c r="R68" s="1288"/>
      <c r="S68" s="1288"/>
      <c r="T68" s="1288"/>
      <c r="U68" s="1288"/>
      <c r="V68" s="1288"/>
      <c r="W68" s="1288"/>
      <c r="X68" s="1288"/>
      <c r="Y68" s="1288"/>
      <c r="Z68" s="1288"/>
      <c r="AA68" s="1288"/>
      <c r="AB68" s="1288"/>
      <c r="AC68" s="1284"/>
      <c r="AD68" s="1285"/>
      <c r="AE68" s="1285"/>
      <c r="AF68" s="1285"/>
      <c r="AG68" s="1285"/>
      <c r="AH68" s="1285"/>
      <c r="AI68" s="1285"/>
      <c r="AJ68" s="1285"/>
      <c r="AK68" s="1285"/>
      <c r="AL68" s="1285"/>
      <c r="AM68" s="1285"/>
      <c r="AN68" s="1285"/>
      <c r="AO68" s="1285"/>
      <c r="AP68" s="1285"/>
      <c r="AQ68" s="1285"/>
      <c r="AR68" s="1285"/>
      <c r="AS68" s="1285"/>
      <c r="AT68" s="1286"/>
      <c r="AU68" s="1133"/>
      <c r="AV68" s="354"/>
      <c r="AW68" s="354"/>
      <c r="AX68" s="1122"/>
    </row>
    <row r="69" spans="2:50" ht="13.5" customHeight="1" x14ac:dyDescent="0.2">
      <c r="B69" s="1121"/>
      <c r="C69" s="1235"/>
      <c r="D69" s="1236"/>
      <c r="E69" s="2823" t="s">
        <v>9745</v>
      </c>
      <c r="F69" s="2802"/>
      <c r="G69" s="2802"/>
      <c r="H69" s="2802"/>
      <c r="I69" s="2802"/>
      <c r="J69" s="2802"/>
      <c r="K69" s="2802"/>
      <c r="L69" s="2802"/>
      <c r="M69" s="2802"/>
      <c r="N69" s="2802"/>
      <c r="O69" s="2802"/>
      <c r="P69" s="2802"/>
      <c r="Q69" s="2802"/>
      <c r="R69" s="2802"/>
      <c r="S69" s="2802"/>
      <c r="T69" s="2802"/>
      <c r="U69" s="2802"/>
      <c r="V69" s="2802"/>
      <c r="W69" s="2802"/>
      <c r="X69" s="2802"/>
      <c r="Y69" s="2802"/>
      <c r="Z69" s="2802"/>
      <c r="AA69" s="2802"/>
      <c r="AB69" s="2802"/>
      <c r="AC69" s="2802"/>
      <c r="AD69" s="2802"/>
      <c r="AE69" s="2802"/>
      <c r="AF69" s="2824"/>
      <c r="AG69" s="2824"/>
      <c r="AH69" s="2824"/>
      <c r="AI69" s="2824"/>
      <c r="AJ69" s="2824"/>
      <c r="AK69" s="2824"/>
      <c r="AL69" s="2825"/>
      <c r="AM69" s="2820" t="s">
        <v>12</v>
      </c>
      <c r="AN69" s="2821"/>
      <c r="AO69" s="2821"/>
      <c r="AP69" s="2821"/>
      <c r="AQ69" s="2821"/>
      <c r="AR69" s="2821"/>
      <c r="AS69" s="2821"/>
      <c r="AT69" s="2822"/>
      <c r="AU69" s="1648"/>
      <c r="AV69" s="354"/>
      <c r="AW69" s="354"/>
      <c r="AX69" s="1122"/>
    </row>
    <row r="70" spans="2:50" ht="13.5" customHeight="1" x14ac:dyDescent="0.2">
      <c r="B70" s="1121"/>
      <c r="C70" s="1235"/>
      <c r="D70" s="1236"/>
      <c r="E70" s="2767" t="s">
        <v>7563</v>
      </c>
      <c r="F70" s="2767" t="s">
        <v>9225</v>
      </c>
      <c r="G70" s="1336"/>
      <c r="H70" s="1367"/>
      <c r="I70" s="1367"/>
      <c r="J70" s="1367"/>
      <c r="K70" s="1367"/>
      <c r="L70" s="1367"/>
      <c r="M70" s="1335"/>
      <c r="N70" s="2767" t="s">
        <v>9799</v>
      </c>
      <c r="O70" s="2767" t="s">
        <v>7</v>
      </c>
      <c r="P70" s="2766" t="s">
        <v>9228</v>
      </c>
      <c r="Q70" s="2766"/>
      <c r="R70" s="2766"/>
      <c r="S70" s="2766"/>
      <c r="T70" s="2766"/>
      <c r="U70" s="2766"/>
      <c r="V70" s="2766"/>
      <c r="W70" s="2766"/>
      <c r="X70" s="2704" t="s">
        <v>9231</v>
      </c>
      <c r="Y70" s="2705"/>
      <c r="Z70" s="2705"/>
      <c r="AA70" s="2705"/>
      <c r="AB70" s="2705"/>
      <c r="AC70" s="2705"/>
      <c r="AD70" s="2705"/>
      <c r="AE70" s="2705"/>
      <c r="AF70" s="2705"/>
      <c r="AG70" s="2705"/>
      <c r="AH70" s="2705"/>
      <c r="AI70" s="2706"/>
      <c r="AJ70" s="2704" t="s">
        <v>9366</v>
      </c>
      <c r="AK70" s="2705"/>
      <c r="AL70" s="2705"/>
      <c r="AM70" s="2706"/>
      <c r="AN70" s="2704" t="s">
        <v>9232</v>
      </c>
      <c r="AO70" s="2705"/>
      <c r="AP70" s="2705"/>
      <c r="AQ70" s="2705"/>
      <c r="AR70" s="2705"/>
      <c r="AS70" s="2705"/>
      <c r="AT70" s="2705"/>
      <c r="AU70" s="1663"/>
      <c r="AV70" s="1133"/>
      <c r="AW70" s="354"/>
      <c r="AX70" s="1136"/>
    </row>
    <row r="71" spans="2:50" ht="58.5" customHeight="1" x14ac:dyDescent="0.2">
      <c r="B71" s="1121"/>
      <c r="C71" s="1235"/>
      <c r="D71" s="1236"/>
      <c r="E71" s="2768"/>
      <c r="F71" s="2768"/>
      <c r="G71" s="1369"/>
      <c r="H71" s="1368"/>
      <c r="I71" s="1368"/>
      <c r="J71" s="1368"/>
      <c r="K71" s="1368"/>
      <c r="L71" s="1368"/>
      <c r="M71" s="1287"/>
      <c r="N71" s="2768"/>
      <c r="O71" s="2768"/>
      <c r="P71" s="2766" t="s">
        <v>9229</v>
      </c>
      <c r="Q71" s="2766"/>
      <c r="R71" s="2766"/>
      <c r="S71" s="2766"/>
      <c r="T71" s="2766" t="s">
        <v>9230</v>
      </c>
      <c r="U71" s="2766"/>
      <c r="V71" s="2766"/>
      <c r="W71" s="2766"/>
      <c r="X71" s="2704" t="s">
        <v>9229</v>
      </c>
      <c r="Y71" s="2706"/>
      <c r="Z71" s="2704" t="s">
        <v>9233</v>
      </c>
      <c r="AA71" s="2705"/>
      <c r="AB71" s="2706"/>
      <c r="AC71" s="2702" t="s">
        <v>9234</v>
      </c>
      <c r="AD71" s="2703"/>
      <c r="AE71" s="2702" t="s">
        <v>9236</v>
      </c>
      <c r="AF71" s="2693"/>
      <c r="AG71" s="2703"/>
      <c r="AH71" s="2702" t="s">
        <v>9237</v>
      </c>
      <c r="AI71" s="2703"/>
      <c r="AJ71" s="2702" t="s">
        <v>9229</v>
      </c>
      <c r="AK71" s="2703"/>
      <c r="AL71" s="2702" t="s">
        <v>9235</v>
      </c>
      <c r="AM71" s="2703"/>
      <c r="AN71" s="2702" t="s">
        <v>9229</v>
      </c>
      <c r="AO71" s="2693"/>
      <c r="AP71" s="2693"/>
      <c r="AQ71" s="2703"/>
      <c r="AR71" s="2702" t="s">
        <v>9230</v>
      </c>
      <c r="AS71" s="2693"/>
      <c r="AT71" s="2693"/>
      <c r="AU71" s="1662"/>
      <c r="AV71" s="1133"/>
      <c r="AW71" s="354"/>
      <c r="AX71" s="1136"/>
    </row>
    <row r="72" spans="2:50" ht="12.75" x14ac:dyDescent="0.2">
      <c r="B72" s="1121"/>
      <c r="C72" s="1235"/>
      <c r="D72" s="1236"/>
      <c r="E72" s="1240">
        <v>1</v>
      </c>
      <c r="F72" s="2622" t="s">
        <v>23</v>
      </c>
      <c r="G72" s="1646"/>
      <c r="H72" s="1646"/>
      <c r="I72" s="1646"/>
      <c r="J72" s="1646"/>
      <c r="K72" s="1646"/>
      <c r="L72" s="1646"/>
      <c r="M72" s="1646"/>
      <c r="N72" s="2622" t="s">
        <v>23</v>
      </c>
      <c r="O72" s="2622" t="s">
        <v>23</v>
      </c>
      <c r="P72" s="2699"/>
      <c r="Q72" s="2709"/>
      <c r="R72" s="2709"/>
      <c r="S72" s="2700"/>
      <c r="T72" s="2707"/>
      <c r="U72" s="2740"/>
      <c r="V72" s="2740"/>
      <c r="W72" s="2708"/>
      <c r="X72" s="2699"/>
      <c r="Y72" s="2700"/>
      <c r="Z72" s="2682" t="s">
        <v>23</v>
      </c>
      <c r="AA72" s="2683"/>
      <c r="AB72" s="2684"/>
      <c r="AC72" s="2707"/>
      <c r="AD72" s="2708"/>
      <c r="AE72" s="2699"/>
      <c r="AF72" s="2709"/>
      <c r="AG72" s="2700"/>
      <c r="AH72" s="2707"/>
      <c r="AI72" s="2708"/>
      <c r="AJ72" s="2699"/>
      <c r="AK72" s="2700"/>
      <c r="AL72" s="2707"/>
      <c r="AM72" s="2708"/>
      <c r="AN72" s="2699"/>
      <c r="AO72" s="2709"/>
      <c r="AP72" s="2709"/>
      <c r="AQ72" s="2700"/>
      <c r="AR72" s="2707"/>
      <c r="AS72" s="2740"/>
      <c r="AT72" s="2708"/>
      <c r="AU72" s="1664"/>
      <c r="AV72" s="1133"/>
      <c r="AW72" s="354"/>
      <c r="AX72" s="1136"/>
    </row>
    <row r="73" spans="2:50" ht="12.75" x14ac:dyDescent="0.2">
      <c r="B73" s="1121"/>
      <c r="C73" s="1235"/>
      <c r="D73" s="1236"/>
      <c r="E73" s="1240">
        <f>E72+1</f>
        <v>2</v>
      </c>
      <c r="F73" s="2622" t="s">
        <v>23</v>
      </c>
      <c r="G73" s="1350"/>
      <c r="H73" s="1350"/>
      <c r="I73" s="1350"/>
      <c r="J73" s="1350"/>
      <c r="K73" s="1350"/>
      <c r="L73" s="1350"/>
      <c r="M73" s="1350"/>
      <c r="N73" s="2622" t="s">
        <v>23</v>
      </c>
      <c r="O73" s="2622" t="s">
        <v>23</v>
      </c>
      <c r="P73" s="2699"/>
      <c r="Q73" s="2709"/>
      <c r="R73" s="2709"/>
      <c r="S73" s="2700"/>
      <c r="T73" s="2707"/>
      <c r="U73" s="2740"/>
      <c r="V73" s="2740"/>
      <c r="W73" s="2708"/>
      <c r="X73" s="2699"/>
      <c r="Y73" s="2700"/>
      <c r="Z73" s="2682" t="s">
        <v>23</v>
      </c>
      <c r="AA73" s="2683"/>
      <c r="AB73" s="2684"/>
      <c r="AC73" s="2707"/>
      <c r="AD73" s="2708"/>
      <c r="AE73" s="2699"/>
      <c r="AF73" s="2709"/>
      <c r="AG73" s="2700"/>
      <c r="AH73" s="2707"/>
      <c r="AI73" s="2708"/>
      <c r="AJ73" s="2699"/>
      <c r="AK73" s="2700"/>
      <c r="AL73" s="2707"/>
      <c r="AM73" s="2708"/>
      <c r="AN73" s="2699"/>
      <c r="AO73" s="2709"/>
      <c r="AP73" s="2709"/>
      <c r="AQ73" s="2700"/>
      <c r="AR73" s="2707"/>
      <c r="AS73" s="2740"/>
      <c r="AT73" s="2708"/>
      <c r="AU73" s="1664"/>
      <c r="AV73" s="1133"/>
      <c r="AW73" s="354"/>
      <c r="AX73" s="1136"/>
    </row>
    <row r="74" spans="2:50" ht="12.75" x14ac:dyDescent="0.2">
      <c r="B74" s="1121"/>
      <c r="C74" s="1235"/>
      <c r="D74" s="1236"/>
      <c r="E74" s="1242">
        <f>E73+1</f>
        <v>3</v>
      </c>
      <c r="F74" s="2558" t="s">
        <v>23</v>
      </c>
      <c r="G74" s="1350"/>
      <c r="H74" s="1350"/>
      <c r="I74" s="1350"/>
      <c r="J74" s="1350"/>
      <c r="K74" s="1350"/>
      <c r="L74" s="1350"/>
      <c r="M74" s="1350"/>
      <c r="N74" s="2558" t="s">
        <v>23</v>
      </c>
      <c r="O74" s="2558" t="s">
        <v>23</v>
      </c>
      <c r="P74" s="2695"/>
      <c r="Q74" s="2696"/>
      <c r="R74" s="2696"/>
      <c r="S74" s="2697"/>
      <c r="T74" s="2679"/>
      <c r="U74" s="2680"/>
      <c r="V74" s="2680"/>
      <c r="W74" s="2681"/>
      <c r="X74" s="2699"/>
      <c r="Y74" s="2700"/>
      <c r="Z74" s="2682" t="s">
        <v>23</v>
      </c>
      <c r="AA74" s="2683"/>
      <c r="AB74" s="2684"/>
      <c r="AC74" s="2679"/>
      <c r="AD74" s="2681"/>
      <c r="AE74" s="2699"/>
      <c r="AF74" s="2709"/>
      <c r="AG74" s="2700"/>
      <c r="AH74" s="2679"/>
      <c r="AI74" s="2681"/>
      <c r="AJ74" s="2699"/>
      <c r="AK74" s="2700"/>
      <c r="AL74" s="2679"/>
      <c r="AM74" s="2681"/>
      <c r="AN74" s="2699"/>
      <c r="AO74" s="2709"/>
      <c r="AP74" s="2709"/>
      <c r="AQ74" s="2700"/>
      <c r="AR74" s="2707"/>
      <c r="AS74" s="2740"/>
      <c r="AT74" s="2708"/>
      <c r="AU74" s="1664"/>
      <c r="AV74" s="1133"/>
      <c r="AW74" s="354"/>
      <c r="AX74" s="1136"/>
    </row>
    <row r="75" spans="2:50" ht="30" customHeight="1" x14ac:dyDescent="0.2">
      <c r="B75" s="1121"/>
      <c r="C75" s="1235"/>
      <c r="D75" s="1236"/>
      <c r="E75" s="2777"/>
      <c r="F75" s="2777"/>
      <c r="G75" s="2777"/>
      <c r="H75" s="2777"/>
      <c r="I75" s="2777"/>
      <c r="J75" s="2777"/>
      <c r="K75" s="2777"/>
      <c r="L75" s="2777"/>
      <c r="M75" s="2777"/>
      <c r="N75" s="2777"/>
      <c r="O75" s="2777"/>
      <c r="P75" s="2777"/>
      <c r="Q75" s="2777"/>
      <c r="R75" s="2777"/>
      <c r="S75" s="2777"/>
      <c r="T75" s="2777"/>
      <c r="U75" s="2777"/>
      <c r="V75" s="2777"/>
      <c r="W75" s="2777"/>
      <c r="X75" s="2777"/>
      <c r="Y75" s="2777"/>
      <c r="Z75" s="2777"/>
      <c r="AA75" s="2777"/>
      <c r="AB75" s="2777"/>
      <c r="AC75" s="2777"/>
      <c r="AD75" s="2777"/>
      <c r="AE75" s="2777"/>
      <c r="AF75" s="2777"/>
      <c r="AG75" s="2777"/>
      <c r="AH75" s="2777"/>
      <c r="AI75" s="2777"/>
      <c r="AJ75" s="2777"/>
      <c r="AK75" s="2777"/>
      <c r="AL75" s="2777"/>
      <c r="AM75" s="2777"/>
      <c r="AN75" s="2777"/>
      <c r="AO75" s="2777"/>
      <c r="AP75" s="2777"/>
      <c r="AQ75" s="2777"/>
      <c r="AR75" s="2777"/>
      <c r="AS75" s="2777"/>
      <c r="AT75" s="2777"/>
      <c r="AU75" s="1648"/>
      <c r="AV75" s="354"/>
      <c r="AW75" s="354"/>
      <c r="AX75" s="1122"/>
    </row>
    <row r="76" spans="2:50" ht="12.75" x14ac:dyDescent="0.2">
      <c r="B76" s="1121"/>
      <c r="C76" s="1235"/>
      <c r="D76" s="1236"/>
      <c r="E76" s="2772" t="s">
        <v>9695</v>
      </c>
      <c r="F76" s="2773"/>
      <c r="G76" s="2773"/>
      <c r="H76" s="2773"/>
      <c r="I76" s="2773"/>
      <c r="J76" s="2773"/>
      <c r="K76" s="2773"/>
      <c r="L76" s="2773"/>
      <c r="M76" s="2773"/>
      <c r="N76" s="2773"/>
      <c r="O76" s="2773"/>
      <c r="P76" s="2773"/>
      <c r="Q76" s="2773"/>
      <c r="R76" s="2773"/>
      <c r="S76" s="2773"/>
      <c r="T76" s="2773"/>
      <c r="U76" s="2773"/>
      <c r="V76" s="2773"/>
      <c r="W76" s="2773"/>
      <c r="X76" s="2773"/>
      <c r="Y76" s="2773"/>
      <c r="Z76" s="2773"/>
      <c r="AA76" s="2773"/>
      <c r="AB76" s="2773"/>
      <c r="AC76" s="2773"/>
      <c r="AD76" s="2774"/>
      <c r="AE76" s="2775"/>
      <c r="AF76" s="2776"/>
      <c r="AG76" s="2776"/>
      <c r="AH76" s="2776"/>
      <c r="AI76" s="2776"/>
      <c r="AJ76" s="2776"/>
      <c r="AK76" s="1278"/>
      <c r="AL76" s="1278"/>
      <c r="AM76" s="1278"/>
      <c r="AN76" s="1278"/>
      <c r="AO76" s="1278"/>
      <c r="AP76" s="1278"/>
      <c r="AQ76" s="1278"/>
      <c r="AR76" s="1278"/>
      <c r="AS76" s="1278"/>
      <c r="AT76" s="1278"/>
      <c r="AU76" s="1648"/>
      <c r="AV76" s="354"/>
      <c r="AW76" s="354"/>
      <c r="AX76" s="1122"/>
    </row>
    <row r="77" spans="2:50" ht="12.75" x14ac:dyDescent="0.2">
      <c r="B77" s="1121"/>
      <c r="C77" s="2445"/>
      <c r="D77" s="2446"/>
      <c r="E77" s="2772" t="s">
        <v>13040</v>
      </c>
      <c r="F77" s="2773"/>
      <c r="G77" s="2773"/>
      <c r="H77" s="2773"/>
      <c r="I77" s="2773"/>
      <c r="J77" s="2773"/>
      <c r="K77" s="2773"/>
      <c r="L77" s="2773"/>
      <c r="M77" s="2773"/>
      <c r="N77" s="2773"/>
      <c r="O77" s="2773"/>
      <c r="P77" s="2773"/>
      <c r="Q77" s="2773"/>
      <c r="R77" s="2773"/>
      <c r="S77" s="2773"/>
      <c r="T77" s="2773"/>
      <c r="U77" s="2773"/>
      <c r="V77" s="2773"/>
      <c r="W77" s="2773"/>
      <c r="X77" s="2773"/>
      <c r="Y77" s="2773"/>
      <c r="Z77" s="2773"/>
      <c r="AA77" s="2773"/>
      <c r="AB77" s="2773"/>
      <c r="AC77" s="2773"/>
      <c r="AD77" s="2774"/>
      <c r="AE77" s="2970" t="s">
        <v>12</v>
      </c>
      <c r="AF77" s="2970"/>
      <c r="AG77" s="2970"/>
      <c r="AH77" s="2970"/>
      <c r="AI77" s="2970"/>
      <c r="AJ77" s="2970"/>
      <c r="AK77" s="1278"/>
      <c r="AL77" s="1278"/>
      <c r="AM77" s="1278"/>
      <c r="AN77" s="1278"/>
      <c r="AO77" s="1278"/>
      <c r="AP77" s="1278"/>
      <c r="AQ77" s="1278"/>
      <c r="AR77" s="1278"/>
      <c r="AS77" s="1278"/>
      <c r="AT77" s="1278"/>
      <c r="AU77" s="1648"/>
      <c r="AV77" s="354"/>
      <c r="AW77" s="354"/>
      <c r="AX77" s="1122"/>
    </row>
    <row r="78" spans="2:50" ht="30.75" customHeight="1" x14ac:dyDescent="0.2">
      <c r="B78" s="1121"/>
      <c r="C78" s="2445"/>
      <c r="D78" s="2446"/>
      <c r="E78" s="2964" t="s">
        <v>13041</v>
      </c>
      <c r="F78" s="2965"/>
      <c r="G78" s="2965"/>
      <c r="H78" s="2965"/>
      <c r="I78" s="2965"/>
      <c r="J78" s="2965"/>
      <c r="K78" s="2965"/>
      <c r="L78" s="2965"/>
      <c r="M78" s="2965"/>
      <c r="N78" s="2965"/>
      <c r="O78" s="2965"/>
      <c r="P78" s="2965"/>
      <c r="Q78" s="2965"/>
      <c r="R78" s="2965"/>
      <c r="S78" s="2965"/>
      <c r="T78" s="2965"/>
      <c r="U78" s="2965"/>
      <c r="V78" s="2965"/>
      <c r="W78" s="2965"/>
      <c r="X78" s="2965"/>
      <c r="Y78" s="2965"/>
      <c r="Z78" s="2965"/>
      <c r="AA78" s="2965"/>
      <c r="AB78" s="2965"/>
      <c r="AC78" s="2965"/>
      <c r="AD78" s="2966"/>
      <c r="AE78" s="2971"/>
      <c r="AF78" s="2971"/>
      <c r="AG78" s="2971"/>
      <c r="AH78" s="2971"/>
      <c r="AI78" s="2971"/>
      <c r="AJ78" s="2971"/>
      <c r="AK78" s="1278"/>
      <c r="AL78" s="1278"/>
      <c r="AM78" s="1278"/>
      <c r="AN78" s="1278"/>
      <c r="AO78" s="1278"/>
      <c r="AP78" s="1278"/>
      <c r="AQ78" s="1278"/>
      <c r="AR78" s="1278"/>
      <c r="AS78" s="1278"/>
      <c r="AT78" s="1278"/>
      <c r="AU78" s="1648"/>
      <c r="AV78" s="354"/>
      <c r="AW78" s="354"/>
      <c r="AX78" s="1122"/>
    </row>
    <row r="79" spans="2:50" ht="12.75" x14ac:dyDescent="0.2">
      <c r="B79" s="1121"/>
      <c r="C79" s="2445"/>
      <c r="D79" s="2446"/>
      <c r="E79" s="2964" t="s">
        <v>13042</v>
      </c>
      <c r="F79" s="2965"/>
      <c r="G79" s="2965"/>
      <c r="H79" s="2965"/>
      <c r="I79" s="2965"/>
      <c r="J79" s="2965"/>
      <c r="K79" s="2965"/>
      <c r="L79" s="2965"/>
      <c r="M79" s="2965"/>
      <c r="N79" s="2965"/>
      <c r="O79" s="2965"/>
      <c r="P79" s="2965"/>
      <c r="Q79" s="2965"/>
      <c r="R79" s="2965"/>
      <c r="S79" s="2965"/>
      <c r="T79" s="2965"/>
      <c r="U79" s="2965"/>
      <c r="V79" s="2965"/>
      <c r="W79" s="2965"/>
      <c r="X79" s="2965"/>
      <c r="Y79" s="2965"/>
      <c r="Z79" s="2965"/>
      <c r="AA79" s="2965"/>
      <c r="AB79" s="2965"/>
      <c r="AC79" s="2965"/>
      <c r="AD79" s="2966"/>
      <c r="AE79" s="2972" t="s">
        <v>23</v>
      </c>
      <c r="AF79" s="2972"/>
      <c r="AG79" s="2972"/>
      <c r="AH79" s="2972"/>
      <c r="AI79" s="2972"/>
      <c r="AJ79" s="2972"/>
      <c r="AK79" s="1278"/>
      <c r="AL79" s="1278"/>
      <c r="AM79" s="1278"/>
      <c r="AN79" s="1278"/>
      <c r="AO79" s="1278"/>
      <c r="AP79" s="1278"/>
      <c r="AQ79" s="1278"/>
      <c r="AR79" s="1278"/>
      <c r="AS79" s="1278"/>
      <c r="AT79" s="1278"/>
      <c r="AU79" s="1648"/>
      <c r="AV79" s="354"/>
      <c r="AW79" s="354"/>
      <c r="AX79" s="1122"/>
    </row>
    <row r="80" spans="2:50" ht="12.75" customHeight="1" x14ac:dyDescent="0.25">
      <c r="B80" s="1121"/>
      <c r="C80" s="1235"/>
      <c r="D80" s="1236"/>
      <c r="E80" s="2769" t="s">
        <v>13092</v>
      </c>
      <c r="F80" s="2770"/>
      <c r="G80" s="2770"/>
      <c r="H80" s="2770"/>
      <c r="I80" s="2770"/>
      <c r="J80" s="2770"/>
      <c r="K80" s="2770"/>
      <c r="L80" s="2770"/>
      <c r="M80" s="2770"/>
      <c r="N80" s="2770"/>
      <c r="O80" s="2770"/>
      <c r="P80" s="2770"/>
      <c r="Q80" s="2770"/>
      <c r="R80" s="2770"/>
      <c r="S80" s="2770"/>
      <c r="T80" s="2770"/>
      <c r="U80" s="2770"/>
      <c r="V80" s="2770"/>
      <c r="W80" s="2770"/>
      <c r="X80" s="2770"/>
      <c r="Y80" s="2770"/>
      <c r="Z80" s="2770"/>
      <c r="AA80" s="2770"/>
      <c r="AB80" s="2770"/>
      <c r="AC80" s="2770"/>
      <c r="AD80" s="2771"/>
      <c r="AE80" s="2698" t="s">
        <v>12</v>
      </c>
      <c r="AF80" s="2688"/>
      <c r="AG80" s="2688"/>
      <c r="AH80" s="2688"/>
      <c r="AI80" s="2688"/>
      <c r="AJ80" s="2688"/>
      <c r="AK80" s="1278"/>
      <c r="AL80" s="1278"/>
      <c r="AM80" s="1278"/>
      <c r="AN80" s="1278"/>
      <c r="AO80" s="1278"/>
      <c r="AP80" s="1278"/>
      <c r="AQ80" s="1278"/>
      <c r="AR80" s="1278"/>
      <c r="AS80" s="1278"/>
      <c r="AT80" s="1278"/>
      <c r="AU80" s="1648"/>
      <c r="AV80" s="354"/>
      <c r="AW80" s="354"/>
      <c r="AX80" s="1122"/>
    </row>
    <row r="81" spans="2:50" ht="16.5" customHeight="1" x14ac:dyDescent="0.25">
      <c r="B81" s="1121"/>
      <c r="C81" s="2726" t="s">
        <v>30</v>
      </c>
      <c r="D81" s="2727"/>
      <c r="E81" s="1789" t="s">
        <v>12060</v>
      </c>
      <c r="F81" s="2694" t="s">
        <v>31</v>
      </c>
      <c r="G81" s="2694"/>
      <c r="H81" s="2694"/>
      <c r="I81" s="2694"/>
      <c r="J81" s="2694"/>
      <c r="K81" s="2694"/>
      <c r="L81" s="2694"/>
      <c r="M81" s="2694"/>
      <c r="N81" s="2694"/>
      <c r="O81" s="2694"/>
      <c r="P81" s="2694"/>
      <c r="Q81" s="2694"/>
      <c r="R81" s="2694"/>
      <c r="S81" s="2694"/>
      <c r="T81" s="2694"/>
      <c r="U81" s="2694"/>
      <c r="V81" s="2694"/>
      <c r="W81" s="2694"/>
      <c r="X81" s="2694"/>
      <c r="Y81" s="2694"/>
      <c r="Z81" s="2694"/>
      <c r="AA81" s="2694"/>
      <c r="AB81" s="2694"/>
      <c r="AC81" s="2694"/>
      <c r="AD81" s="2694"/>
      <c r="AE81" s="2694"/>
      <c r="AF81" s="2698" t="s">
        <v>12</v>
      </c>
      <c r="AG81" s="2688"/>
      <c r="AH81" s="2688"/>
      <c r="AI81" s="2688"/>
      <c r="AJ81" s="2688"/>
      <c r="AK81" s="2688"/>
      <c r="AL81" s="1278"/>
      <c r="AM81" s="1278"/>
      <c r="AN81" s="1278"/>
      <c r="AO81" s="1278"/>
      <c r="AP81" s="1278"/>
      <c r="AQ81" s="1278"/>
      <c r="AR81" s="1278"/>
      <c r="AS81" s="1278"/>
      <c r="AT81" s="1278"/>
      <c r="AU81" s="1648"/>
      <c r="AV81" s="354"/>
      <c r="AW81" s="354"/>
      <c r="AX81" s="1122"/>
    </row>
    <row r="82" spans="2:50" ht="16.5" customHeight="1" x14ac:dyDescent="0.25">
      <c r="B82" s="1121"/>
      <c r="C82" s="2728"/>
      <c r="D82" s="2729"/>
      <c r="E82" s="1789" t="s">
        <v>12062</v>
      </c>
      <c r="F82" s="2694" t="s">
        <v>13043</v>
      </c>
      <c r="G82" s="2694"/>
      <c r="H82" s="2694"/>
      <c r="I82" s="2694"/>
      <c r="J82" s="2694"/>
      <c r="K82" s="2694"/>
      <c r="L82" s="2694"/>
      <c r="M82" s="2694"/>
      <c r="N82" s="2694"/>
      <c r="O82" s="2694"/>
      <c r="P82" s="2694"/>
      <c r="Q82" s="2694"/>
      <c r="R82" s="2694"/>
      <c r="S82" s="2694"/>
      <c r="T82" s="2694"/>
      <c r="U82" s="2694"/>
      <c r="V82" s="2694"/>
      <c r="W82" s="2694"/>
      <c r="X82" s="2694"/>
      <c r="Y82" s="2694"/>
      <c r="Z82" s="2694"/>
      <c r="AA82" s="2694"/>
      <c r="AB82" s="2694"/>
      <c r="AC82" s="2694"/>
      <c r="AD82" s="2694"/>
      <c r="AE82" s="2694"/>
      <c r="AF82" s="2698" t="s">
        <v>12</v>
      </c>
      <c r="AG82" s="2732"/>
      <c r="AH82" s="2732"/>
      <c r="AI82" s="2732"/>
      <c r="AJ82" s="2732"/>
      <c r="AK82" s="2732"/>
      <c r="AL82" s="1278"/>
      <c r="AM82" s="1278"/>
      <c r="AN82" s="1278"/>
      <c r="AO82" s="1278"/>
      <c r="AP82" s="1278"/>
      <c r="AQ82" s="1278"/>
      <c r="AR82" s="1278"/>
      <c r="AS82" s="1278"/>
      <c r="AT82" s="1278"/>
      <c r="AU82" s="1648"/>
      <c r="AV82" s="354"/>
      <c r="AW82" s="354"/>
      <c r="AX82" s="1122"/>
    </row>
    <row r="83" spans="2:50" ht="19.5" customHeight="1" x14ac:dyDescent="0.25">
      <c r="B83" s="1121"/>
      <c r="C83" s="2728"/>
      <c r="D83" s="2729"/>
      <c r="E83" s="1789" t="s">
        <v>12113</v>
      </c>
      <c r="F83" s="2687" t="s">
        <v>13044</v>
      </c>
      <c r="G83" s="2687"/>
      <c r="H83" s="2687"/>
      <c r="I83" s="2687"/>
      <c r="J83" s="2687"/>
      <c r="K83" s="2687"/>
      <c r="L83" s="2687"/>
      <c r="M83" s="2687"/>
      <c r="N83" s="2687"/>
      <c r="O83" s="2687"/>
      <c r="P83" s="2687"/>
      <c r="Q83" s="2687"/>
      <c r="R83" s="2687"/>
      <c r="S83" s="2687"/>
      <c r="T83" s="2687"/>
      <c r="U83" s="2687"/>
      <c r="V83" s="2687"/>
      <c r="W83" s="2687"/>
      <c r="X83" s="2687"/>
      <c r="Y83" s="2687"/>
      <c r="Z83" s="2687"/>
      <c r="AA83" s="2687"/>
      <c r="AB83" s="2687"/>
      <c r="AC83" s="2687"/>
      <c r="AD83" s="2687"/>
      <c r="AE83" s="2688"/>
      <c r="AF83" s="2733"/>
      <c r="AG83" s="2734"/>
      <c r="AH83" s="2734"/>
      <c r="AI83" s="2734"/>
      <c r="AJ83" s="2734"/>
      <c r="AK83" s="2734"/>
      <c r="AL83" s="1278"/>
      <c r="AM83" s="1278"/>
      <c r="AN83" s="1278"/>
      <c r="AO83" s="1278"/>
      <c r="AP83" s="1278"/>
      <c r="AQ83" s="1278"/>
      <c r="AR83" s="1278"/>
      <c r="AS83" s="1278"/>
      <c r="AT83" s="1278"/>
      <c r="AU83" s="1648"/>
      <c r="AV83" s="354"/>
      <c r="AW83" s="354"/>
      <c r="AX83" s="1122"/>
    </row>
    <row r="84" spans="2:50" ht="33.75" customHeight="1" x14ac:dyDescent="0.25">
      <c r="B84" s="1121"/>
      <c r="C84" s="2728"/>
      <c r="D84" s="2729"/>
      <c r="E84" s="1789" t="s">
        <v>12114</v>
      </c>
      <c r="F84" s="2687" t="s">
        <v>13045</v>
      </c>
      <c r="G84" s="2687"/>
      <c r="H84" s="2687"/>
      <c r="I84" s="2687"/>
      <c r="J84" s="2687"/>
      <c r="K84" s="2687"/>
      <c r="L84" s="2687"/>
      <c r="M84" s="2687"/>
      <c r="N84" s="2687"/>
      <c r="O84" s="2687"/>
      <c r="P84" s="2687"/>
      <c r="Q84" s="2687"/>
      <c r="R84" s="2687"/>
      <c r="S84" s="2687"/>
      <c r="T84" s="2687"/>
      <c r="U84" s="2687"/>
      <c r="V84" s="2687"/>
      <c r="W84" s="2687"/>
      <c r="X84" s="2687"/>
      <c r="Y84" s="2687"/>
      <c r="Z84" s="2687"/>
      <c r="AA84" s="2687"/>
      <c r="AB84" s="2687"/>
      <c r="AC84" s="2687"/>
      <c r="AD84" s="2687"/>
      <c r="AE84" s="2688"/>
      <c r="AF84" s="2735"/>
      <c r="AG84" s="2736"/>
      <c r="AH84" s="2736"/>
      <c r="AI84" s="2736"/>
      <c r="AJ84" s="2736"/>
      <c r="AK84" s="2736"/>
      <c r="AL84" s="1278"/>
      <c r="AM84" s="1278"/>
      <c r="AN84" s="1278"/>
      <c r="AO84" s="1278"/>
      <c r="AP84" s="1278"/>
      <c r="AQ84" s="1278"/>
      <c r="AR84" s="1278"/>
      <c r="AS84" s="1278"/>
      <c r="AT84" s="1278"/>
      <c r="AU84" s="1648"/>
      <c r="AV84" s="354"/>
      <c r="AW84" s="354"/>
      <c r="AX84" s="1122"/>
    </row>
    <row r="85" spans="2:50" ht="27" customHeight="1" x14ac:dyDescent="0.25">
      <c r="B85" s="1121"/>
      <c r="C85" s="2728"/>
      <c r="D85" s="2729"/>
      <c r="E85" s="1789" t="s">
        <v>12115</v>
      </c>
      <c r="F85" s="2721" t="s">
        <v>13046</v>
      </c>
      <c r="G85" s="2721"/>
      <c r="H85" s="2721"/>
      <c r="I85" s="2721"/>
      <c r="J85" s="2721"/>
      <c r="K85" s="2721"/>
      <c r="L85" s="2721"/>
      <c r="M85" s="2721"/>
      <c r="N85" s="2721"/>
      <c r="O85" s="2721"/>
      <c r="P85" s="2721"/>
      <c r="Q85" s="2721"/>
      <c r="R85" s="2721"/>
      <c r="S85" s="2721"/>
      <c r="T85" s="2721"/>
      <c r="U85" s="2721"/>
      <c r="V85" s="2721"/>
      <c r="W85" s="2721"/>
      <c r="X85" s="2721"/>
      <c r="Y85" s="2721"/>
      <c r="Z85" s="2721"/>
      <c r="AA85" s="2721"/>
      <c r="AB85" s="2721"/>
      <c r="AC85" s="2721"/>
      <c r="AD85" s="2721"/>
      <c r="AE85" s="2722"/>
      <c r="AF85" s="2719"/>
      <c r="AG85" s="2720"/>
      <c r="AH85" s="2720"/>
      <c r="AI85" s="2720"/>
      <c r="AJ85" s="2720"/>
      <c r="AK85" s="2720"/>
      <c r="AL85" s="1278"/>
      <c r="AM85" s="1278"/>
      <c r="AN85" s="1278"/>
      <c r="AO85" s="1278"/>
      <c r="AP85" s="1278"/>
      <c r="AQ85" s="1278"/>
      <c r="AR85" s="1278"/>
      <c r="AS85" s="1278"/>
      <c r="AT85" s="1278"/>
      <c r="AU85" s="1648"/>
      <c r="AV85" s="354"/>
      <c r="AW85" s="354"/>
      <c r="AX85" s="1122"/>
    </row>
    <row r="86" spans="2:50" ht="12.75" customHeight="1" x14ac:dyDescent="0.25">
      <c r="B86" s="1121"/>
      <c r="C86" s="2728"/>
      <c r="D86" s="2729"/>
      <c r="E86" s="1789" t="s">
        <v>28</v>
      </c>
      <c r="F86" s="2687" t="s">
        <v>32</v>
      </c>
      <c r="G86" s="2687"/>
      <c r="H86" s="2687"/>
      <c r="I86" s="2687"/>
      <c r="J86" s="2687"/>
      <c r="K86" s="2687"/>
      <c r="L86" s="2687"/>
      <c r="M86" s="2687"/>
      <c r="N86" s="2687"/>
      <c r="O86" s="2687"/>
      <c r="P86" s="2687"/>
      <c r="Q86" s="2687"/>
      <c r="R86" s="2687"/>
      <c r="S86" s="2687"/>
      <c r="T86" s="2687"/>
      <c r="U86" s="2687"/>
      <c r="V86" s="2687"/>
      <c r="W86" s="2687"/>
      <c r="X86" s="2687"/>
      <c r="Y86" s="2687"/>
      <c r="Z86" s="2687"/>
      <c r="AA86" s="2687"/>
      <c r="AB86" s="2687"/>
      <c r="AC86" s="2687"/>
      <c r="AD86" s="2687"/>
      <c r="AE86" s="2687"/>
      <c r="AF86" s="2687"/>
      <c r="AG86" s="2687"/>
      <c r="AH86" s="2687"/>
      <c r="AI86" s="2687"/>
      <c r="AJ86" s="2687"/>
      <c r="AK86" s="2687"/>
      <c r="AL86" s="2687"/>
      <c r="AM86" s="2687"/>
      <c r="AN86" s="2687"/>
      <c r="AO86" s="2688"/>
      <c r="AP86" s="2723" t="s">
        <v>12</v>
      </c>
      <c r="AQ86" s="2724"/>
      <c r="AR86" s="2724"/>
      <c r="AS86" s="2724"/>
      <c r="AT86" s="2725"/>
      <c r="AU86" s="1648"/>
      <c r="AV86" s="354"/>
      <c r="AW86" s="354"/>
      <c r="AX86" s="1122"/>
    </row>
    <row r="87" spans="2:50" ht="23.25" customHeight="1" x14ac:dyDescent="0.25">
      <c r="B87" s="1121"/>
      <c r="C87" s="2728"/>
      <c r="D87" s="2729"/>
      <c r="E87" s="1789" t="s">
        <v>29</v>
      </c>
      <c r="F87" s="2687" t="s">
        <v>13236</v>
      </c>
      <c r="G87" s="2687"/>
      <c r="H87" s="2687"/>
      <c r="I87" s="2687"/>
      <c r="J87" s="2687"/>
      <c r="K87" s="2687"/>
      <c r="L87" s="2687"/>
      <c r="M87" s="2687"/>
      <c r="N87" s="2687"/>
      <c r="O87" s="2687"/>
      <c r="P87" s="2687"/>
      <c r="Q87" s="2687"/>
      <c r="R87" s="2687"/>
      <c r="S87" s="2687"/>
      <c r="T87" s="2687"/>
      <c r="U87" s="2687"/>
      <c r="V87" s="2687"/>
      <c r="W87" s="2687"/>
      <c r="X87" s="2687"/>
      <c r="Y87" s="2687"/>
      <c r="Z87" s="2687"/>
      <c r="AA87" s="2687"/>
      <c r="AB87" s="2687"/>
      <c r="AC87" s="2687"/>
      <c r="AD87" s="2687"/>
      <c r="AE87" s="2687"/>
      <c r="AF87" s="2687"/>
      <c r="AG87" s="2687"/>
      <c r="AH87" s="2687"/>
      <c r="AI87" s="2687"/>
      <c r="AJ87" s="2687"/>
      <c r="AK87" s="2687"/>
      <c r="AL87" s="2687"/>
      <c r="AM87" s="2687"/>
      <c r="AN87" s="2687"/>
      <c r="AO87" s="2688"/>
      <c r="AP87" s="2744"/>
      <c r="AQ87" s="2745"/>
      <c r="AR87" s="2745"/>
      <c r="AS87" s="2745"/>
      <c r="AT87" s="2746"/>
      <c r="AU87" s="1648"/>
      <c r="AV87" s="354"/>
      <c r="AW87" s="354"/>
      <c r="AX87" s="1122"/>
    </row>
    <row r="88" spans="2:50" ht="24.75" customHeight="1" x14ac:dyDescent="0.2">
      <c r="B88" s="1121"/>
      <c r="C88" s="2728"/>
      <c r="D88" s="2729"/>
      <c r="E88" s="2691" t="s">
        <v>27</v>
      </c>
      <c r="F88" s="2692"/>
      <c r="G88" s="2689" t="s">
        <v>33</v>
      </c>
      <c r="H88" s="2690"/>
      <c r="I88" s="2690"/>
      <c r="J88" s="2690"/>
      <c r="K88" s="2690"/>
      <c r="L88" s="2690"/>
      <c r="M88" s="2690"/>
      <c r="N88" s="2690"/>
      <c r="O88" s="2690"/>
      <c r="P88" s="2682" t="s">
        <v>23</v>
      </c>
      <c r="Q88" s="2683"/>
      <c r="R88" s="2683"/>
      <c r="S88" s="2683"/>
      <c r="T88" s="2683"/>
      <c r="U88" s="2683"/>
      <c r="V88" s="2683"/>
      <c r="W88" s="2683"/>
      <c r="X88" s="2683"/>
      <c r="Y88" s="2684"/>
      <c r="Z88" s="2701" t="s">
        <v>34</v>
      </c>
      <c r="AA88" s="2701"/>
      <c r="AB88" s="2701"/>
      <c r="AC88" s="2701"/>
      <c r="AD88" s="2701"/>
      <c r="AE88" s="2701"/>
      <c r="AF88" s="2701"/>
      <c r="AG88" s="2701"/>
      <c r="AH88" s="2701"/>
      <c r="AI88" s="2701"/>
      <c r="AJ88" s="2701"/>
      <c r="AK88" s="2701"/>
      <c r="AL88" s="2701"/>
      <c r="AM88" s="2701"/>
      <c r="AN88" s="2701"/>
      <c r="AO88" s="2701"/>
      <c r="AP88" s="2701"/>
      <c r="AQ88" s="2701"/>
      <c r="AR88" s="2701"/>
      <c r="AS88" s="2701"/>
      <c r="AT88" s="2701"/>
      <c r="AU88" s="1648"/>
      <c r="AV88" s="354"/>
      <c r="AW88" s="354"/>
      <c r="AX88" s="1122"/>
    </row>
    <row r="89" spans="2:50" ht="13.5" customHeight="1" x14ac:dyDescent="0.2">
      <c r="B89" s="1121"/>
      <c r="C89" s="2728"/>
      <c r="D89" s="2729"/>
      <c r="E89" s="2691" t="s">
        <v>28</v>
      </c>
      <c r="F89" s="2692"/>
      <c r="G89" s="2715" t="s">
        <v>35</v>
      </c>
      <c r="H89" s="2716"/>
      <c r="I89" s="2716"/>
      <c r="J89" s="2716"/>
      <c r="K89" s="2716"/>
      <c r="L89" s="2716"/>
      <c r="M89" s="2716"/>
      <c r="N89" s="2716"/>
      <c r="O89" s="2716"/>
      <c r="P89" s="2716"/>
      <c r="Q89" s="2716"/>
      <c r="R89" s="2716"/>
      <c r="S89" s="2716"/>
      <c r="T89" s="2716"/>
      <c r="U89" s="2716"/>
      <c r="V89" s="2716"/>
      <c r="W89" s="2716"/>
      <c r="X89" s="2716"/>
      <c r="Y89" s="2716"/>
      <c r="Z89" s="2716"/>
      <c r="AA89" s="2682"/>
      <c r="AB89" s="2683"/>
      <c r="AC89" s="2683"/>
      <c r="AD89" s="2683"/>
      <c r="AE89" s="2683"/>
      <c r="AF89" s="2683"/>
      <c r="AG89" s="2683"/>
      <c r="AH89" s="2683"/>
      <c r="AI89" s="2683"/>
      <c r="AJ89" s="2683"/>
      <c r="AK89" s="2683"/>
      <c r="AL89" s="2683"/>
      <c r="AM89" s="2683"/>
      <c r="AN89" s="2683"/>
      <c r="AO89" s="2683"/>
      <c r="AP89" s="2683"/>
      <c r="AQ89" s="2683"/>
      <c r="AR89" s="2683"/>
      <c r="AS89" s="2683"/>
      <c r="AT89" s="2683"/>
      <c r="AU89" s="1648"/>
      <c r="AV89" s="354"/>
      <c r="AW89" s="354"/>
      <c r="AX89" s="1122"/>
    </row>
    <row r="90" spans="2:50" ht="14.25" customHeight="1" x14ac:dyDescent="0.2">
      <c r="B90" s="1121"/>
      <c r="C90" s="2728"/>
      <c r="D90" s="2729"/>
      <c r="E90" s="2691" t="s">
        <v>29</v>
      </c>
      <c r="F90" s="2692"/>
      <c r="G90" s="2717" t="s">
        <v>11919</v>
      </c>
      <c r="H90" s="2718"/>
      <c r="I90" s="2718"/>
      <c r="J90" s="2718"/>
      <c r="K90" s="2718"/>
      <c r="L90" s="2718"/>
      <c r="M90" s="2718"/>
      <c r="N90" s="2718"/>
      <c r="O90" s="2718"/>
      <c r="P90" s="2718"/>
      <c r="Q90" s="2718"/>
      <c r="R90" s="2718"/>
      <c r="S90" s="2718"/>
      <c r="T90" s="2682"/>
      <c r="U90" s="2683"/>
      <c r="V90" s="2683"/>
      <c r="W90" s="2683"/>
      <c r="X90" s="2683"/>
      <c r="Y90" s="2683"/>
      <c r="Z90" s="2683"/>
      <c r="AA90" s="2683"/>
      <c r="AB90" s="2683"/>
      <c r="AC90" s="2683"/>
      <c r="AD90" s="2683"/>
      <c r="AE90" s="2683"/>
      <c r="AF90" s="2683"/>
      <c r="AG90" s="2683"/>
      <c r="AH90" s="2683"/>
      <c r="AI90" s="2683"/>
      <c r="AJ90" s="2683"/>
      <c r="AK90" s="2683"/>
      <c r="AL90" s="2683"/>
      <c r="AM90" s="2683"/>
      <c r="AN90" s="2683"/>
      <c r="AO90" s="2683"/>
      <c r="AP90" s="2683"/>
      <c r="AQ90" s="2683"/>
      <c r="AR90" s="2683"/>
      <c r="AS90" s="2683"/>
      <c r="AT90" s="2683"/>
      <c r="AU90" s="1648"/>
      <c r="AV90" s="354"/>
      <c r="AW90" s="354"/>
      <c r="AX90" s="1122"/>
    </row>
    <row r="91" spans="2:50" ht="14.25" customHeight="1" x14ac:dyDescent="0.2">
      <c r="B91" s="1121"/>
      <c r="C91" s="2728"/>
      <c r="D91" s="2729"/>
      <c r="E91" s="2691" t="s">
        <v>36</v>
      </c>
      <c r="F91" s="2692"/>
      <c r="G91" s="2717" t="s">
        <v>37</v>
      </c>
      <c r="H91" s="2718"/>
      <c r="I91" s="2718"/>
      <c r="J91" s="2718"/>
      <c r="K91" s="2718"/>
      <c r="L91" s="2718"/>
      <c r="M91" s="2718"/>
      <c r="N91" s="2718"/>
      <c r="O91" s="2718"/>
      <c r="P91" s="2718"/>
      <c r="Q91" s="2718"/>
      <c r="R91" s="2718"/>
      <c r="S91" s="2718"/>
      <c r="T91" s="2718"/>
      <c r="U91" s="2718"/>
      <c r="V91" s="2718"/>
      <c r="W91" s="2718"/>
      <c r="X91" s="2718"/>
      <c r="Y91" s="2682"/>
      <c r="Z91" s="2683"/>
      <c r="AA91" s="2683"/>
      <c r="AB91" s="2683"/>
      <c r="AC91" s="2683"/>
      <c r="AD91" s="2683"/>
      <c r="AE91" s="2683"/>
      <c r="AF91" s="2683"/>
      <c r="AG91" s="2683"/>
      <c r="AH91" s="2683"/>
      <c r="AI91" s="2683"/>
      <c r="AJ91" s="2683"/>
      <c r="AK91" s="2683"/>
      <c r="AL91" s="2683"/>
      <c r="AM91" s="2683"/>
      <c r="AN91" s="2683"/>
      <c r="AO91" s="2683"/>
      <c r="AP91" s="2683"/>
      <c r="AQ91" s="2683"/>
      <c r="AR91" s="2683"/>
      <c r="AS91" s="2683"/>
      <c r="AT91" s="2683"/>
      <c r="AU91" s="1648"/>
      <c r="AV91" s="354"/>
      <c r="AW91" s="354"/>
      <c r="AX91" s="1122"/>
    </row>
    <row r="92" spans="2:50" ht="15" customHeight="1" x14ac:dyDescent="0.2">
      <c r="B92" s="1121"/>
      <c r="C92" s="2728"/>
      <c r="D92" s="2729"/>
      <c r="E92" s="2691" t="s">
        <v>38</v>
      </c>
      <c r="F92" s="2692"/>
      <c r="G92" s="129"/>
      <c r="H92" s="130"/>
      <c r="I92" s="130"/>
      <c r="J92" s="130"/>
      <c r="K92" s="130"/>
      <c r="L92" s="130"/>
      <c r="M92" s="130"/>
      <c r="N92" s="2702" t="s">
        <v>7686</v>
      </c>
      <c r="O92" s="2693"/>
      <c r="P92" s="2693"/>
      <c r="Q92" s="2693"/>
      <c r="R92" s="2693"/>
      <c r="S92" s="2693"/>
      <c r="T92" s="2693"/>
      <c r="U92" s="2693"/>
      <c r="V92" s="2693"/>
      <c r="W92" s="2693"/>
      <c r="X92" s="2693"/>
      <c r="Y92" s="2682"/>
      <c r="Z92" s="2683"/>
      <c r="AA92" s="2683"/>
      <c r="AB92" s="2683"/>
      <c r="AC92" s="2683"/>
      <c r="AD92" s="2683"/>
      <c r="AE92" s="2683"/>
      <c r="AF92" s="2683"/>
      <c r="AG92" s="2683"/>
      <c r="AH92" s="2683"/>
      <c r="AI92" s="2683"/>
      <c r="AJ92" s="2683"/>
      <c r="AK92" s="2683"/>
      <c r="AL92" s="2683"/>
      <c r="AM92" s="2683"/>
      <c r="AN92" s="2683"/>
      <c r="AO92" s="2683"/>
      <c r="AP92" s="2683"/>
      <c r="AQ92" s="2683"/>
      <c r="AR92" s="2683"/>
      <c r="AS92" s="2683"/>
      <c r="AT92" s="2683"/>
      <c r="AU92" s="1648"/>
      <c r="AV92" s="354"/>
      <c r="AW92" s="354"/>
      <c r="AX92" s="1122"/>
    </row>
    <row r="93" spans="2:50" ht="15" customHeight="1" x14ac:dyDescent="0.2">
      <c r="B93" s="1121"/>
      <c r="C93" s="2728"/>
      <c r="D93" s="2729"/>
      <c r="E93" s="2691" t="s">
        <v>40</v>
      </c>
      <c r="F93" s="2692"/>
      <c r="G93" s="2702" t="s">
        <v>39</v>
      </c>
      <c r="H93" s="2693"/>
      <c r="I93" s="2693"/>
      <c r="J93" s="2693"/>
      <c r="K93" s="2693"/>
      <c r="L93" s="2693"/>
      <c r="M93" s="2693"/>
      <c r="N93" s="2693"/>
      <c r="O93" s="2693"/>
      <c r="P93" s="2693"/>
      <c r="Q93" s="2693"/>
      <c r="R93" s="2693"/>
      <c r="S93" s="2693"/>
      <c r="T93" s="2693"/>
      <c r="U93" s="2693"/>
      <c r="V93" s="2693"/>
      <c r="W93" s="2693"/>
      <c r="X93" s="2693"/>
      <c r="Y93" s="2693"/>
      <c r="Z93" s="2693"/>
      <c r="AA93" s="2693"/>
      <c r="AB93" s="2693"/>
      <c r="AC93" s="2693"/>
      <c r="AD93" s="2693"/>
      <c r="AE93" s="2693"/>
      <c r="AF93" s="2685"/>
      <c r="AG93" s="2686"/>
      <c r="AH93" s="2686"/>
      <c r="AI93" s="2686"/>
      <c r="AJ93" s="2686"/>
      <c r="AK93" s="2686"/>
      <c r="AL93" s="2686"/>
      <c r="AM93" s="2686"/>
      <c r="AN93" s="2686"/>
      <c r="AO93" s="2686"/>
      <c r="AP93" s="2686"/>
      <c r="AQ93" s="2686"/>
      <c r="AR93" s="2686"/>
      <c r="AS93" s="2686"/>
      <c r="AT93" s="2686"/>
      <c r="AU93" s="1648"/>
      <c r="AV93" s="354"/>
      <c r="AW93" s="354"/>
      <c r="AX93" s="1122"/>
    </row>
    <row r="94" spans="2:50" ht="15" customHeight="1" x14ac:dyDescent="0.2">
      <c r="B94" s="1121"/>
      <c r="C94" s="2728"/>
      <c r="D94" s="2729"/>
      <c r="E94" s="2691" t="s">
        <v>539</v>
      </c>
      <c r="F94" s="2692"/>
      <c r="G94" s="2702" t="s">
        <v>12693</v>
      </c>
      <c r="H94" s="2693"/>
      <c r="I94" s="2693"/>
      <c r="J94" s="2693"/>
      <c r="K94" s="2693"/>
      <c r="L94" s="2693"/>
      <c r="M94" s="2693"/>
      <c r="N94" s="2693"/>
      <c r="O94" s="2693"/>
      <c r="P94" s="2693"/>
      <c r="Q94" s="2693"/>
      <c r="R94" s="2693"/>
      <c r="S94" s="2693"/>
      <c r="T94" s="2693"/>
      <c r="U94" s="2693"/>
      <c r="V94" s="2693"/>
      <c r="W94" s="2693"/>
      <c r="X94" s="2693"/>
      <c r="Y94" s="2693"/>
      <c r="Z94" s="2693"/>
      <c r="AA94" s="2693"/>
      <c r="AB94" s="2693"/>
      <c r="AC94" s="2693"/>
      <c r="AD94" s="2693"/>
      <c r="AE94" s="2693"/>
      <c r="AF94" s="2685"/>
      <c r="AG94" s="2686"/>
      <c r="AH94" s="2686"/>
      <c r="AI94" s="2686"/>
      <c r="AJ94" s="2686"/>
      <c r="AK94" s="2686"/>
      <c r="AL94" s="2686"/>
      <c r="AM94" s="2686"/>
      <c r="AN94" s="2686"/>
      <c r="AO94" s="2686"/>
      <c r="AP94" s="2686"/>
      <c r="AQ94" s="2686"/>
      <c r="AR94" s="2686"/>
      <c r="AS94" s="2686"/>
      <c r="AT94" s="2686"/>
      <c r="AU94" s="1648"/>
      <c r="AV94" s="354"/>
      <c r="AW94" s="354"/>
      <c r="AX94" s="1122"/>
    </row>
    <row r="95" spans="2:50" ht="15" customHeight="1" x14ac:dyDescent="0.2">
      <c r="B95" s="1121"/>
      <c r="C95" s="2728"/>
      <c r="D95" s="2729"/>
      <c r="E95" s="2713" t="s">
        <v>541</v>
      </c>
      <c r="F95" s="2714"/>
      <c r="G95" s="2689" t="s">
        <v>41</v>
      </c>
      <c r="H95" s="2690"/>
      <c r="I95" s="2690"/>
      <c r="J95" s="2690"/>
      <c r="K95" s="2690"/>
      <c r="L95" s="2690"/>
      <c r="M95" s="2690"/>
      <c r="N95" s="2690"/>
      <c r="O95" s="2690"/>
      <c r="P95" s="2682"/>
      <c r="Q95" s="2683"/>
      <c r="R95" s="2683"/>
      <c r="S95" s="2683"/>
      <c r="T95" s="2683"/>
      <c r="U95" s="2683"/>
      <c r="V95" s="2683"/>
      <c r="W95" s="2683"/>
      <c r="X95" s="2683"/>
      <c r="Y95" s="2684"/>
      <c r="Z95" s="2693" t="s">
        <v>34</v>
      </c>
      <c r="AA95" s="2693"/>
      <c r="AB95" s="2693"/>
      <c r="AC95" s="2693"/>
      <c r="AD95" s="2693"/>
      <c r="AE95" s="2693"/>
      <c r="AF95" s="2693"/>
      <c r="AG95" s="2693"/>
      <c r="AH95" s="2693"/>
      <c r="AI95" s="2693"/>
      <c r="AJ95" s="2693"/>
      <c r="AK95" s="2693"/>
      <c r="AL95" s="2693"/>
      <c r="AM95" s="2693"/>
      <c r="AN95" s="2693"/>
      <c r="AO95" s="2693"/>
      <c r="AP95" s="2693"/>
      <c r="AQ95" s="2693"/>
      <c r="AR95" s="2693"/>
      <c r="AS95" s="2693"/>
      <c r="AT95" s="2693"/>
      <c r="AU95" s="1648"/>
      <c r="AV95" s="354"/>
      <c r="AW95" s="354"/>
      <c r="AX95" s="1122"/>
    </row>
    <row r="96" spans="2:50" ht="15" customHeight="1" x14ac:dyDescent="0.2">
      <c r="B96" s="1121"/>
      <c r="C96" s="2728"/>
      <c r="D96" s="2729"/>
      <c r="E96" s="1109" t="s">
        <v>12738</v>
      </c>
      <c r="F96" s="2954" t="s">
        <v>8006</v>
      </c>
      <c r="G96" s="2955"/>
      <c r="H96" s="2955"/>
      <c r="I96" s="2955"/>
      <c r="J96" s="2955"/>
      <c r="K96" s="2955"/>
      <c r="L96" s="2955"/>
      <c r="M96" s="2955"/>
      <c r="N96" s="2955"/>
      <c r="O96" s="2955"/>
      <c r="P96" s="2956"/>
      <c r="Q96" s="2723" t="s">
        <v>12</v>
      </c>
      <c r="R96" s="2724"/>
      <c r="S96" s="2724"/>
      <c r="T96" s="2724"/>
      <c r="U96" s="2725"/>
      <c r="V96" s="1109" t="s">
        <v>13001</v>
      </c>
      <c r="W96" s="2957" t="s">
        <v>12737</v>
      </c>
      <c r="X96" s="2955"/>
      <c r="Y96" s="2955"/>
      <c r="Z96" s="2955"/>
      <c r="AA96" s="2955"/>
      <c r="AB96" s="2955"/>
      <c r="AC96" s="2955"/>
      <c r="AD96" s="2955"/>
      <c r="AE96" s="2955"/>
      <c r="AF96" s="2955"/>
      <c r="AG96" s="2956"/>
      <c r="AH96" s="2744" t="s">
        <v>12</v>
      </c>
      <c r="AI96" s="2745"/>
      <c r="AJ96" s="2792"/>
      <c r="AO96" s="131"/>
      <c r="AP96" s="131"/>
      <c r="AQ96" s="131"/>
      <c r="AR96" s="131"/>
      <c r="AS96" s="131"/>
      <c r="AT96" s="131"/>
      <c r="AU96" s="1648"/>
      <c r="AV96" s="354"/>
      <c r="AW96" s="354"/>
      <c r="AX96" s="1122"/>
    </row>
    <row r="97" spans="2:57" ht="12.75" customHeight="1" x14ac:dyDescent="0.2">
      <c r="B97" s="1121"/>
      <c r="C97" s="2728"/>
      <c r="D97" s="2729"/>
      <c r="E97" s="2741" t="s">
        <v>8007</v>
      </c>
      <c r="F97" s="2742"/>
      <c r="G97" s="2742"/>
      <c r="H97" s="2742"/>
      <c r="I97" s="2742"/>
      <c r="J97" s="2742"/>
      <c r="K97" s="2742"/>
      <c r="L97" s="2742"/>
      <c r="M97" s="2742"/>
      <c r="N97" s="2742"/>
      <c r="O97" s="2743"/>
      <c r="P97" s="2710" t="s">
        <v>23</v>
      </c>
      <c r="Q97" s="2711"/>
      <c r="R97" s="2711"/>
      <c r="S97" s="2711"/>
      <c r="T97" s="2711"/>
      <c r="U97" s="2711"/>
      <c r="V97" s="2711"/>
      <c r="W97" s="2711"/>
      <c r="X97" s="2712"/>
      <c r="Y97" s="1994"/>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648"/>
      <c r="AV97" s="354"/>
      <c r="AW97" s="354"/>
      <c r="AX97" s="1122"/>
    </row>
    <row r="98" spans="2:57" ht="25.5" customHeight="1" x14ac:dyDescent="0.2">
      <c r="B98" s="1121"/>
      <c r="C98" s="2730"/>
      <c r="D98" s="2731"/>
      <c r="E98" s="2737" t="s">
        <v>13000</v>
      </c>
      <c r="F98" s="2738"/>
      <c r="G98" s="2738"/>
      <c r="H98" s="2738"/>
      <c r="I98" s="2738"/>
      <c r="J98" s="2738"/>
      <c r="K98" s="2738"/>
      <c r="L98" s="2738"/>
      <c r="M98" s="2738"/>
      <c r="N98" s="2738"/>
      <c r="O98" s="2738"/>
      <c r="P98" s="2738"/>
      <c r="Q98" s="2738"/>
      <c r="R98" s="2738"/>
      <c r="S98" s="2738"/>
      <c r="T98" s="2738"/>
      <c r="U98" s="2738"/>
      <c r="V98" s="2738"/>
      <c r="W98" s="2738"/>
      <c r="X98" s="2738"/>
      <c r="Y98" s="2738"/>
      <c r="Z98" s="2738"/>
      <c r="AA98" s="2738"/>
      <c r="AB98" s="2738"/>
      <c r="AC98" s="2738"/>
      <c r="AD98" s="2738"/>
      <c r="AE98" s="2738"/>
      <c r="AF98" s="2738"/>
      <c r="AG98" s="2738"/>
      <c r="AH98" s="2738"/>
      <c r="AI98" s="2738"/>
      <c r="AJ98" s="2738"/>
      <c r="AK98" s="2738"/>
      <c r="AL98" s="2738"/>
      <c r="AM98" s="2738"/>
      <c r="AN98" s="2738"/>
      <c r="AO98" s="2738"/>
      <c r="AP98" s="2738"/>
      <c r="AQ98" s="2738"/>
      <c r="AR98" s="2738"/>
      <c r="AS98" s="2738"/>
      <c r="AT98" s="2739"/>
      <c r="AU98" s="1648"/>
      <c r="AV98" s="354"/>
      <c r="AW98" s="354"/>
      <c r="AX98" s="1122"/>
    </row>
    <row r="99" spans="2:57" ht="45" customHeight="1" x14ac:dyDescent="0.2">
      <c r="B99" s="1121"/>
      <c r="C99" s="1213"/>
      <c r="D99" s="1214"/>
      <c r="E99" s="1353" t="s">
        <v>8280</v>
      </c>
      <c r="F99" s="1354" t="s">
        <v>42</v>
      </c>
      <c r="G99" s="1354"/>
      <c r="H99" s="1354"/>
      <c r="I99" s="1354"/>
      <c r="J99" s="1354"/>
      <c r="K99" s="1354"/>
      <c r="L99" s="1354"/>
      <c r="M99" s="1354"/>
      <c r="N99" s="1990" t="s">
        <v>12739</v>
      </c>
      <c r="O99" s="1990" t="s">
        <v>43</v>
      </c>
      <c r="P99" s="310"/>
      <c r="R99" s="135"/>
      <c r="S99" s="135"/>
      <c r="T99" s="135"/>
      <c r="U99" s="135"/>
      <c r="V99" s="135"/>
      <c r="W99" s="1215"/>
      <c r="X99" s="1215"/>
      <c r="Y99" s="1215"/>
      <c r="Z99" s="1215"/>
      <c r="AA99" s="1215"/>
      <c r="AB99" s="1215"/>
      <c r="AC99" s="1215"/>
      <c r="AD99" s="1215"/>
      <c r="AE99" s="1215"/>
      <c r="AF99" s="1215"/>
      <c r="AG99" s="1215"/>
      <c r="AH99" s="1215"/>
      <c r="AI99" s="1215"/>
      <c r="AJ99" s="1215"/>
      <c r="AK99" s="1215"/>
      <c r="AL99" s="1215"/>
      <c r="AM99" s="1215"/>
      <c r="AN99" s="1215"/>
      <c r="AO99" s="1215"/>
      <c r="AP99" s="1215"/>
      <c r="AQ99" s="1215"/>
      <c r="AR99" s="1215"/>
      <c r="AS99" s="1215"/>
      <c r="AT99" s="1996"/>
      <c r="AU99" s="56"/>
      <c r="AV99" s="56"/>
      <c r="AW99" s="56"/>
      <c r="AX99" s="1122"/>
    </row>
    <row r="100" spans="2:57" ht="15" customHeight="1" x14ac:dyDescent="0.2">
      <c r="B100" s="1121"/>
      <c r="C100" s="1217"/>
      <c r="D100" s="119"/>
      <c r="E100" s="134">
        <v>1</v>
      </c>
      <c r="F100" s="1351" t="s">
        <v>12</v>
      </c>
      <c r="G100" s="1995"/>
      <c r="H100" s="1995"/>
      <c r="I100" s="1995"/>
      <c r="J100" s="1995"/>
      <c r="K100" s="1995"/>
      <c r="L100" s="1995"/>
      <c r="M100" s="1995"/>
      <c r="N100" s="1351" t="s">
        <v>12</v>
      </c>
      <c r="O100" s="1352" t="s">
        <v>23</v>
      </c>
      <c r="P100" s="310"/>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997"/>
      <c r="AU100" s="56"/>
      <c r="AV100" s="56"/>
      <c r="AW100" s="56"/>
      <c r="AX100" s="1122"/>
    </row>
    <row r="101" spans="2:57" ht="15" customHeight="1" x14ac:dyDescent="0.2">
      <c r="B101" s="1121"/>
      <c r="C101" s="1217"/>
      <c r="D101" s="119"/>
      <c r="E101" s="134">
        <f t="shared" ref="E101:E106" si="0">E100+1</f>
        <v>2</v>
      </c>
      <c r="F101" s="1351" t="s">
        <v>12</v>
      </c>
      <c r="G101" s="1995"/>
      <c r="H101" s="1995"/>
      <c r="I101" s="1995"/>
      <c r="J101" s="1995"/>
      <c r="K101" s="1995"/>
      <c r="L101" s="1995"/>
      <c r="M101" s="1995"/>
      <c r="N101" s="1351" t="s">
        <v>12</v>
      </c>
      <c r="O101" s="1352"/>
      <c r="P101" s="310"/>
      <c r="Q101" s="310"/>
      <c r="R101" s="310"/>
      <c r="S101" s="310"/>
      <c r="T101" s="310"/>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997"/>
      <c r="AU101" s="56"/>
      <c r="AV101" s="56"/>
      <c r="AW101" s="56"/>
      <c r="AX101" s="1122"/>
    </row>
    <row r="102" spans="2:57" ht="14.25" customHeight="1" x14ac:dyDescent="0.2">
      <c r="B102" s="1121"/>
      <c r="C102" s="1217"/>
      <c r="D102" s="119"/>
      <c r="E102" s="134">
        <f t="shared" si="0"/>
        <v>3</v>
      </c>
      <c r="F102" s="1351" t="s">
        <v>12</v>
      </c>
      <c r="G102" s="1995"/>
      <c r="H102" s="1995"/>
      <c r="I102" s="1995"/>
      <c r="J102" s="1995"/>
      <c r="K102" s="1995"/>
      <c r="L102" s="1995"/>
      <c r="M102" s="1995"/>
      <c r="N102" s="1351" t="s">
        <v>12</v>
      </c>
      <c r="O102" s="1352"/>
      <c r="P102" s="310"/>
      <c r="Q102" s="310"/>
      <c r="R102" s="310"/>
      <c r="S102" s="310"/>
      <c r="T102" s="310"/>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997"/>
      <c r="AU102" s="56"/>
      <c r="AV102" s="56"/>
      <c r="AW102" s="56"/>
      <c r="AX102" s="1122"/>
    </row>
    <row r="103" spans="2:57" ht="15" customHeight="1" x14ac:dyDescent="0.2">
      <c r="B103" s="1121"/>
      <c r="C103" s="1217"/>
      <c r="D103" s="119"/>
      <c r="E103" s="134">
        <f t="shared" si="0"/>
        <v>4</v>
      </c>
      <c r="F103" s="1351" t="s">
        <v>12</v>
      </c>
      <c r="G103" s="1995"/>
      <c r="H103" s="1995"/>
      <c r="I103" s="1995"/>
      <c r="J103" s="1995"/>
      <c r="K103" s="1995"/>
      <c r="L103" s="1995"/>
      <c r="M103" s="1995"/>
      <c r="N103" s="1351" t="s">
        <v>12</v>
      </c>
      <c r="O103" s="1352"/>
      <c r="P103" s="310"/>
      <c r="Q103" s="310"/>
      <c r="R103" s="310"/>
      <c r="S103" s="310"/>
      <c r="T103" s="310"/>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997"/>
      <c r="AU103" s="56"/>
      <c r="AV103" s="56"/>
      <c r="AW103" s="56"/>
      <c r="AX103" s="1122"/>
    </row>
    <row r="104" spans="2:57" ht="15" customHeight="1" x14ac:dyDescent="0.2">
      <c r="B104" s="1121"/>
      <c r="C104" s="1217"/>
      <c r="D104" s="119"/>
      <c r="E104" s="134">
        <f t="shared" si="0"/>
        <v>5</v>
      </c>
      <c r="F104" s="1351" t="s">
        <v>12</v>
      </c>
      <c r="G104" s="1995"/>
      <c r="H104" s="1995"/>
      <c r="I104" s="1995"/>
      <c r="J104" s="1995"/>
      <c r="K104" s="1995"/>
      <c r="L104" s="1995"/>
      <c r="M104" s="1995"/>
      <c r="N104" s="1351" t="s">
        <v>12</v>
      </c>
      <c r="O104" s="1352"/>
      <c r="P104" s="310"/>
      <c r="Q104" s="310"/>
      <c r="R104" s="310"/>
      <c r="S104" s="310"/>
      <c r="T104" s="310"/>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997"/>
      <c r="AU104" s="56"/>
      <c r="AV104" s="56"/>
      <c r="AW104" s="56"/>
      <c r="AX104" s="1122"/>
    </row>
    <row r="105" spans="2:57" ht="15" customHeight="1" x14ac:dyDescent="0.2">
      <c r="B105" s="1121"/>
      <c r="C105" s="1217"/>
      <c r="D105" s="119"/>
      <c r="E105" s="134">
        <f t="shared" si="0"/>
        <v>6</v>
      </c>
      <c r="F105" s="1351" t="s">
        <v>12</v>
      </c>
      <c r="G105" s="1995"/>
      <c r="H105" s="1995"/>
      <c r="I105" s="1995"/>
      <c r="J105" s="1995"/>
      <c r="K105" s="1995"/>
      <c r="L105" s="1995"/>
      <c r="M105" s="1995"/>
      <c r="N105" s="1351" t="s">
        <v>12</v>
      </c>
      <c r="O105" s="1352"/>
      <c r="P105" s="310"/>
      <c r="Q105" s="310"/>
      <c r="R105" s="310"/>
      <c r="S105" s="310"/>
      <c r="T105" s="310"/>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997"/>
      <c r="AU105" s="56"/>
      <c r="AV105" s="56"/>
      <c r="AW105" s="56"/>
      <c r="AX105" s="1122"/>
    </row>
    <row r="106" spans="2:57" ht="14.25" customHeight="1" x14ac:dyDescent="0.2">
      <c r="B106" s="1121"/>
      <c r="C106" s="1217"/>
      <c r="D106" s="119"/>
      <c r="E106" s="134">
        <f t="shared" si="0"/>
        <v>7</v>
      </c>
      <c r="F106" s="1351" t="s">
        <v>12</v>
      </c>
      <c r="G106" s="1995"/>
      <c r="H106" s="1995"/>
      <c r="I106" s="1995"/>
      <c r="J106" s="1995"/>
      <c r="K106" s="1995"/>
      <c r="L106" s="1995"/>
      <c r="M106" s="1995"/>
      <c r="N106" s="1351" t="s">
        <v>12</v>
      </c>
      <c r="O106" s="1352"/>
      <c r="P106" s="310"/>
      <c r="Q106" s="310"/>
      <c r="R106" s="310"/>
      <c r="S106" s="310"/>
      <c r="T106" s="310"/>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997"/>
      <c r="AU106" s="56"/>
      <c r="AV106" s="56"/>
      <c r="AW106" s="56"/>
      <c r="AX106" s="1122"/>
      <c r="BB106" s="117"/>
    </row>
    <row r="107" spans="2:57" s="117" customFormat="1" ht="12.75" x14ac:dyDescent="0.2">
      <c r="B107" s="1135"/>
      <c r="C107" s="717"/>
      <c r="D107" s="681"/>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681"/>
      <c r="AU107" s="354"/>
      <c r="AV107" s="354"/>
      <c r="AW107" s="354"/>
      <c r="AX107" s="1136"/>
      <c r="BD107" s="113"/>
    </row>
    <row r="108" spans="2:57" s="117" customFormat="1" ht="12.75" x14ac:dyDescent="0.2">
      <c r="B108" s="1135"/>
      <c r="C108" s="717"/>
      <c r="D108" s="681"/>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681"/>
      <c r="AU108" s="354"/>
      <c r="AV108" s="354"/>
      <c r="AW108" s="354"/>
      <c r="AX108" s="1136"/>
    </row>
    <row r="109" spans="2:57" s="117" customFormat="1" ht="12.75" x14ac:dyDescent="0.2">
      <c r="B109" s="1135"/>
      <c r="C109" s="371"/>
      <c r="D109" s="682"/>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681"/>
      <c r="AU109" s="354"/>
      <c r="AV109" s="354"/>
      <c r="AW109" s="354"/>
      <c r="AX109" s="1136"/>
    </row>
    <row r="110" spans="2:57" s="117" customFormat="1" ht="15.75" customHeight="1" x14ac:dyDescent="0.2">
      <c r="B110" s="1135"/>
      <c r="C110" s="716"/>
      <c r="D110" s="680"/>
      <c r="E110" s="2941" t="s">
        <v>9020</v>
      </c>
      <c r="F110" s="2942"/>
      <c r="G110" s="2942"/>
      <c r="H110" s="2942"/>
      <c r="I110" s="2942"/>
      <c r="J110" s="2942"/>
      <c r="K110" s="2942"/>
      <c r="L110" s="2942"/>
      <c r="M110" s="2942"/>
      <c r="N110" s="2942"/>
      <c r="O110" s="2942"/>
      <c r="P110" s="2942"/>
      <c r="Q110" s="2942"/>
      <c r="R110" s="2942"/>
      <c r="S110" s="2942"/>
      <c r="T110" s="2942"/>
      <c r="U110" s="2942"/>
      <c r="V110" s="2942"/>
      <c r="W110" s="2942"/>
      <c r="X110" s="2942"/>
      <c r="Y110" s="2942"/>
      <c r="Z110" s="2942"/>
      <c r="AA110" s="2942"/>
      <c r="AB110" s="2942"/>
      <c r="AC110" s="2942"/>
      <c r="AD110" s="2942"/>
      <c r="AE110" s="2942"/>
      <c r="AF110" s="2942"/>
      <c r="AG110" s="2942"/>
      <c r="AH110" s="2942"/>
      <c r="AI110" s="2942"/>
      <c r="AJ110" s="2942"/>
      <c r="AK110" s="2942"/>
      <c r="AL110" s="2942"/>
      <c r="AM110" s="2942"/>
      <c r="AN110" s="2942"/>
      <c r="AO110" s="2942"/>
      <c r="AP110" s="2942"/>
      <c r="AQ110" s="2942"/>
      <c r="AR110" s="2942"/>
      <c r="AS110" s="2943"/>
      <c r="AT110" s="1665"/>
      <c r="AU110" s="354"/>
      <c r="AV110" s="354"/>
      <c r="AW110" s="354"/>
      <c r="AX110" s="1136"/>
    </row>
    <row r="111" spans="2:57" s="117" customFormat="1" ht="61.5" customHeight="1" x14ac:dyDescent="0.2">
      <c r="B111" s="1135"/>
      <c r="C111" s="717"/>
      <c r="D111" s="681"/>
      <c r="E111" s="2630" t="s">
        <v>8280</v>
      </c>
      <c r="F111" s="2960" t="s">
        <v>9021</v>
      </c>
      <c r="G111" s="2958"/>
      <c r="H111" s="2958"/>
      <c r="I111" s="2958"/>
      <c r="J111" s="2958"/>
      <c r="K111" s="2958"/>
      <c r="L111" s="2958"/>
      <c r="M111" s="2958"/>
      <c r="N111" s="2959"/>
      <c r="O111" s="2938" t="s">
        <v>8409</v>
      </c>
      <c r="P111" s="2958"/>
      <c r="Q111" s="2958"/>
      <c r="R111" s="2958"/>
      <c r="S111" s="2958"/>
      <c r="T111" s="2958"/>
      <c r="U111" s="2958"/>
      <c r="V111" s="2958"/>
      <c r="W111" s="2959"/>
      <c r="X111" s="2938" t="s">
        <v>1033</v>
      </c>
      <c r="Y111" s="2958"/>
      <c r="Z111" s="2958"/>
      <c r="AA111" s="2958"/>
      <c r="AB111" s="2958"/>
      <c r="AC111" s="2958"/>
      <c r="AD111" s="2958"/>
      <c r="AE111" s="2958"/>
      <c r="AF111" s="2959"/>
      <c r="AG111" s="2944" t="s">
        <v>12740</v>
      </c>
      <c r="AH111" s="2945"/>
      <c r="AI111" s="2938" t="s">
        <v>9022</v>
      </c>
      <c r="AJ111" s="2939"/>
      <c r="AK111" s="2939"/>
      <c r="AL111" s="2939"/>
      <c r="AM111" s="2939"/>
      <c r="AN111" s="2939"/>
      <c r="AO111" s="2939"/>
      <c r="AP111" s="2939"/>
      <c r="AQ111" s="2939"/>
      <c r="AR111" s="2939"/>
      <c r="AS111" s="2940"/>
      <c r="AT111" s="354"/>
      <c r="AU111" s="717"/>
      <c r="AV111" s="354"/>
      <c r="AW111" s="354"/>
      <c r="AX111" s="1136"/>
    </row>
    <row r="112" spans="2:57" s="117" customFormat="1" ht="24" customHeight="1" x14ac:dyDescent="0.2">
      <c r="B112" s="1135"/>
      <c r="C112" s="717"/>
      <c r="D112" s="681"/>
      <c r="E112" s="1218">
        <v>1</v>
      </c>
      <c r="F112" s="2761" t="s">
        <v>12</v>
      </c>
      <c r="G112" s="2762"/>
      <c r="H112" s="2762"/>
      <c r="I112" s="2762"/>
      <c r="J112" s="2762"/>
      <c r="K112" s="2762"/>
      <c r="L112" s="2762"/>
      <c r="M112" s="2762"/>
      <c r="N112" s="2763"/>
      <c r="O112" s="2711" t="s">
        <v>23</v>
      </c>
      <c r="P112" s="2764"/>
      <c r="Q112" s="2764"/>
      <c r="R112" s="2764"/>
      <c r="S112" s="2764"/>
      <c r="T112" s="2764"/>
      <c r="U112" s="2764"/>
      <c r="V112" s="2764"/>
      <c r="W112" s="2765"/>
      <c r="X112" s="2761"/>
      <c r="Y112" s="2762"/>
      <c r="Z112" s="2762"/>
      <c r="AA112" s="2762"/>
      <c r="AB112" s="2762"/>
      <c r="AC112" s="2762"/>
      <c r="AD112" s="2762"/>
      <c r="AE112" s="2762"/>
      <c r="AF112" s="2762"/>
      <c r="AG112" s="2952" t="s">
        <v>12</v>
      </c>
      <c r="AH112" s="2953"/>
      <c r="AI112" s="2761" t="s">
        <v>23</v>
      </c>
      <c r="AJ112" s="2762"/>
      <c r="AK112" s="2762"/>
      <c r="AL112" s="2762"/>
      <c r="AM112" s="2762"/>
      <c r="AN112" s="2762"/>
      <c r="AO112" s="2762"/>
      <c r="AP112" s="2762"/>
      <c r="AQ112" s="2762"/>
      <c r="AR112" s="2762"/>
      <c r="AS112" s="2763"/>
      <c r="AT112" s="354"/>
      <c r="AU112" s="717"/>
      <c r="AV112" s="354"/>
      <c r="AW112" s="354"/>
      <c r="AX112" s="1136"/>
      <c r="AY112" s="354"/>
      <c r="AZ112" s="354"/>
      <c r="BA112" s="354"/>
      <c r="BB112" s="354"/>
      <c r="BC112" s="354"/>
      <c r="BD112" s="354"/>
      <c r="BE112" s="354"/>
    </row>
    <row r="113" spans="2:57" s="1932" customFormat="1" ht="27" customHeight="1" x14ac:dyDescent="0.2">
      <c r="B113" s="1926"/>
      <c r="C113" s="1927"/>
      <c r="D113" s="1928"/>
      <c r="E113" s="1929">
        <f>1+E112</f>
        <v>2</v>
      </c>
      <c r="F113" s="2761" t="s">
        <v>12</v>
      </c>
      <c r="G113" s="2762"/>
      <c r="H113" s="2762"/>
      <c r="I113" s="2762"/>
      <c r="J113" s="2762"/>
      <c r="K113" s="2762"/>
      <c r="L113" s="2762"/>
      <c r="M113" s="2762"/>
      <c r="N113" s="2763"/>
      <c r="O113" s="2961" t="s">
        <v>23</v>
      </c>
      <c r="P113" s="2764"/>
      <c r="Q113" s="2764"/>
      <c r="R113" s="2764"/>
      <c r="S113" s="2764"/>
      <c r="T113" s="2764"/>
      <c r="U113" s="2764"/>
      <c r="V113" s="2764"/>
      <c r="W113" s="2765"/>
      <c r="X113" s="2761"/>
      <c r="Y113" s="2762"/>
      <c r="Z113" s="2762"/>
      <c r="AA113" s="2762"/>
      <c r="AB113" s="2762"/>
      <c r="AC113" s="2762"/>
      <c r="AD113" s="2762"/>
      <c r="AE113" s="2762"/>
      <c r="AF113" s="2762"/>
      <c r="AG113" s="2952" t="s">
        <v>12</v>
      </c>
      <c r="AH113" s="2953"/>
      <c r="AI113" s="2761" t="s">
        <v>23</v>
      </c>
      <c r="AJ113" s="2762"/>
      <c r="AK113" s="2762"/>
      <c r="AL113" s="2762"/>
      <c r="AM113" s="2762"/>
      <c r="AN113" s="2762"/>
      <c r="AO113" s="2762"/>
      <c r="AP113" s="2762"/>
      <c r="AQ113" s="2762"/>
      <c r="AR113" s="2762"/>
      <c r="AS113" s="2763"/>
      <c r="AT113" s="1930"/>
      <c r="AU113" s="1927"/>
      <c r="AV113" s="1930"/>
      <c r="AW113" s="1930"/>
      <c r="AX113" s="1931"/>
      <c r="AY113" s="1930"/>
      <c r="AZ113" s="1930"/>
      <c r="BA113" s="1930"/>
      <c r="BB113" s="1930"/>
      <c r="BC113" s="1930"/>
      <c r="BD113" s="1930"/>
      <c r="BE113" s="1930"/>
    </row>
    <row r="114" spans="2:57" s="117" customFormat="1" ht="25.5" customHeight="1" x14ac:dyDescent="0.2">
      <c r="B114" s="1135"/>
      <c r="C114" s="717"/>
      <c r="D114" s="681"/>
      <c r="E114" s="1218">
        <f>1+E113</f>
        <v>3</v>
      </c>
      <c r="F114" s="2761" t="s">
        <v>12</v>
      </c>
      <c r="G114" s="2762"/>
      <c r="H114" s="2762"/>
      <c r="I114" s="2762"/>
      <c r="J114" s="2762"/>
      <c r="K114" s="2762"/>
      <c r="L114" s="2762"/>
      <c r="M114" s="2762"/>
      <c r="N114" s="2763"/>
      <c r="O114" s="2961" t="s">
        <v>23</v>
      </c>
      <c r="P114" s="2764"/>
      <c r="Q114" s="2764"/>
      <c r="R114" s="2764"/>
      <c r="S114" s="2764"/>
      <c r="T114" s="2764"/>
      <c r="U114" s="2764"/>
      <c r="V114" s="2764"/>
      <c r="W114" s="2765"/>
      <c r="X114" s="2761"/>
      <c r="Y114" s="2762"/>
      <c r="Z114" s="2762"/>
      <c r="AA114" s="2762"/>
      <c r="AB114" s="2762"/>
      <c r="AC114" s="2762"/>
      <c r="AD114" s="2762"/>
      <c r="AE114" s="2762"/>
      <c r="AF114" s="2762"/>
      <c r="AG114" s="2952" t="s">
        <v>12</v>
      </c>
      <c r="AH114" s="2953"/>
      <c r="AI114" s="2761" t="s">
        <v>23</v>
      </c>
      <c r="AJ114" s="2762"/>
      <c r="AK114" s="2762"/>
      <c r="AL114" s="2762"/>
      <c r="AM114" s="2762"/>
      <c r="AN114" s="2762"/>
      <c r="AO114" s="2762"/>
      <c r="AP114" s="2762"/>
      <c r="AQ114" s="2762"/>
      <c r="AR114" s="2762"/>
      <c r="AS114" s="2763"/>
      <c r="AT114" s="354"/>
      <c r="AU114" s="717"/>
      <c r="AV114" s="354"/>
      <c r="AW114" s="354"/>
      <c r="AX114" s="1136"/>
      <c r="AY114" s="354"/>
      <c r="AZ114" s="354"/>
      <c r="BA114" s="354"/>
      <c r="BB114" s="354"/>
      <c r="BC114" s="354"/>
      <c r="BD114" s="354"/>
      <c r="BE114" s="354"/>
    </row>
    <row r="115" spans="2:57" s="117" customFormat="1" ht="29.25" customHeight="1" x14ac:dyDescent="0.2">
      <c r="B115" s="1135"/>
      <c r="C115" s="371"/>
      <c r="D115" s="682"/>
      <c r="E115" s="1218">
        <f>1+E114</f>
        <v>4</v>
      </c>
      <c r="F115" s="2761" t="s">
        <v>12</v>
      </c>
      <c r="G115" s="2762"/>
      <c r="H115" s="2762"/>
      <c r="I115" s="2762"/>
      <c r="J115" s="2762"/>
      <c r="K115" s="2762"/>
      <c r="L115" s="2762"/>
      <c r="M115" s="2762"/>
      <c r="N115" s="2763"/>
      <c r="O115" s="2710" t="s">
        <v>23</v>
      </c>
      <c r="P115" s="2764"/>
      <c r="Q115" s="2764"/>
      <c r="R115" s="2764"/>
      <c r="S115" s="2764"/>
      <c r="T115" s="2764"/>
      <c r="U115" s="2764"/>
      <c r="V115" s="2764"/>
      <c r="W115" s="2765"/>
      <c r="X115" s="2761"/>
      <c r="Y115" s="2762"/>
      <c r="Z115" s="2762"/>
      <c r="AA115" s="2762"/>
      <c r="AB115" s="2762"/>
      <c r="AC115" s="2762"/>
      <c r="AD115" s="2762"/>
      <c r="AE115" s="2762"/>
      <c r="AF115" s="2762"/>
      <c r="AG115" s="2952" t="s">
        <v>12</v>
      </c>
      <c r="AH115" s="2953"/>
      <c r="AI115" s="2761" t="s">
        <v>23</v>
      </c>
      <c r="AJ115" s="2762"/>
      <c r="AK115" s="2762"/>
      <c r="AL115" s="2762"/>
      <c r="AM115" s="2762"/>
      <c r="AN115" s="2762"/>
      <c r="AO115" s="2762"/>
      <c r="AP115" s="2762"/>
      <c r="AQ115" s="2762"/>
      <c r="AR115" s="2762"/>
      <c r="AS115" s="2763"/>
      <c r="AT115" s="354"/>
      <c r="AU115" s="717"/>
      <c r="AV115" s="354"/>
      <c r="AW115" s="354"/>
      <c r="AX115" s="1136"/>
      <c r="AY115" s="354"/>
      <c r="AZ115" s="354"/>
      <c r="BA115" s="354"/>
      <c r="BB115" s="354"/>
      <c r="BC115" s="354"/>
      <c r="BD115" s="354"/>
      <c r="BE115" s="354"/>
    </row>
    <row r="116" spans="2:57" s="117" customFormat="1" ht="12.75" x14ac:dyDescent="0.2">
      <c r="B116" s="1135"/>
      <c r="C116" s="716"/>
      <c r="D116" s="754"/>
      <c r="E116" s="2757"/>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354"/>
      <c r="AJ116" s="354"/>
      <c r="AK116" s="354"/>
      <c r="AL116" s="354"/>
      <c r="AM116" s="354"/>
      <c r="AN116" s="354"/>
      <c r="AO116" s="354"/>
      <c r="AP116" s="354"/>
      <c r="AQ116" s="354"/>
      <c r="AR116" s="354"/>
      <c r="AS116" s="354"/>
      <c r="AT116" s="681"/>
      <c r="AU116" s="354"/>
      <c r="AV116" s="354"/>
      <c r="AW116" s="354"/>
      <c r="AX116" s="1136"/>
      <c r="BD116" s="354"/>
      <c r="BE116" s="354"/>
    </row>
    <row r="117" spans="2:57" s="117" customFormat="1" ht="12.75" x14ac:dyDescent="0.2">
      <c r="B117" s="1135"/>
      <c r="C117" s="371"/>
      <c r="D117" s="739"/>
      <c r="E117" s="2759"/>
      <c r="F117" s="2760"/>
      <c r="G117" s="2760"/>
      <c r="H117" s="2760"/>
      <c r="I117" s="2760"/>
      <c r="J117" s="2760"/>
      <c r="K117" s="2760"/>
      <c r="L117" s="2760"/>
      <c r="M117" s="2760"/>
      <c r="N117" s="2760"/>
      <c r="O117" s="2760"/>
      <c r="P117" s="2760"/>
      <c r="Q117" s="2760"/>
      <c r="R117" s="2760"/>
      <c r="S117" s="2760"/>
      <c r="T117" s="2760"/>
      <c r="U117" s="2760"/>
      <c r="V117" s="2760"/>
      <c r="W117" s="2760"/>
      <c r="X117" s="2760"/>
      <c r="Y117" s="2760"/>
      <c r="Z117" s="2760"/>
      <c r="AA117" s="2760"/>
      <c r="AB117" s="2760"/>
      <c r="AC117" s="2760"/>
      <c r="AD117" s="2760"/>
      <c r="AE117" s="2760"/>
      <c r="AF117" s="2760"/>
      <c r="AG117" s="2760"/>
      <c r="AH117" s="2760"/>
      <c r="AI117" s="739"/>
      <c r="AJ117" s="739"/>
      <c r="AK117" s="739"/>
      <c r="AL117" s="739"/>
      <c r="AM117" s="739"/>
      <c r="AN117" s="739"/>
      <c r="AO117" s="739"/>
      <c r="AP117" s="739"/>
      <c r="AQ117" s="739"/>
      <c r="AR117" s="739"/>
      <c r="AS117" s="739"/>
      <c r="AT117" s="682"/>
      <c r="AU117" s="354"/>
      <c r="AV117" s="354"/>
      <c r="AW117" s="354"/>
      <c r="AX117" s="1136"/>
    </row>
    <row r="118" spans="2:57" s="117" customFormat="1" ht="16.5" customHeight="1" thickBot="1" x14ac:dyDescent="0.25">
      <c r="B118" s="1137"/>
      <c r="C118" s="1138"/>
      <c r="D118" s="1138"/>
      <c r="E118" s="1138"/>
      <c r="F118" s="1138"/>
      <c r="G118" s="1138"/>
      <c r="H118" s="1138"/>
      <c r="I118" s="1138"/>
      <c r="J118" s="1138"/>
      <c r="K118" s="1138"/>
      <c r="L118" s="1138"/>
      <c r="M118" s="1138"/>
      <c r="N118" s="1138"/>
      <c r="O118" s="1138"/>
      <c r="P118" s="1138"/>
      <c r="Q118" s="1138"/>
      <c r="R118" s="1138"/>
      <c r="S118" s="1138"/>
      <c r="T118" s="1138"/>
      <c r="U118" s="1138"/>
      <c r="V118" s="1138"/>
      <c r="W118" s="1138"/>
      <c r="X118" s="1138"/>
      <c r="Y118" s="1138"/>
      <c r="Z118" s="1138"/>
      <c r="AA118" s="1138"/>
      <c r="AB118" s="1138"/>
      <c r="AC118" s="1138"/>
      <c r="AD118" s="1138"/>
      <c r="AE118" s="1138"/>
      <c r="AF118" s="1138"/>
      <c r="AG118" s="1138"/>
      <c r="AH118" s="1138"/>
      <c r="AI118" s="1138"/>
      <c r="AJ118" s="1138"/>
      <c r="AK118" s="1138"/>
      <c r="AL118" s="1138"/>
      <c r="AM118" s="1138"/>
      <c r="AN118" s="1138"/>
      <c r="AO118" s="1138"/>
      <c r="AP118" s="1138"/>
      <c r="AQ118" s="1138"/>
      <c r="AR118" s="1138"/>
      <c r="AS118" s="1138"/>
      <c r="AT118" s="1138"/>
      <c r="AU118" s="1138"/>
      <c r="AV118" s="1138"/>
      <c r="AW118" s="1138"/>
      <c r="AX118" s="1139"/>
    </row>
    <row r="119" spans="2:57" s="117" customFormat="1" ht="21" customHeight="1" x14ac:dyDescent="0.2"/>
    <row r="120" spans="2:57" s="117" customFormat="1" ht="12.75" hidden="1" x14ac:dyDescent="0.2"/>
    <row r="121" spans="2:57" s="117" customFormat="1" ht="12.75" hidden="1" x14ac:dyDescent="0.2">
      <c r="BB121" s="113"/>
    </row>
    <row r="122" spans="2:57" customFormat="1" ht="24" hidden="1" customHeight="1" x14ac:dyDescent="0.25"/>
    <row r="123" spans="2:57" ht="24" hidden="1" customHeight="1" x14ac:dyDescent="0.2"/>
    <row r="124" spans="2:57" ht="24" hidden="1" customHeight="1" x14ac:dyDescent="0.2"/>
    <row r="125" spans="2:57" ht="24" hidden="1" customHeight="1" x14ac:dyDescent="0.2"/>
  </sheetData>
  <sheetProtection algorithmName="SHA-512" hashValue="uktZll5Juxyi9uEWFMzb7de5hHea2YajQ7Q5LP7Ho3exgKf/2cwtms73kF+Xsao0UhxQ9IOYBkUm9Fgb6PLOJA==" saltValue="M1jI+pj28YVzzIzEucy9zw==" spinCount="100000" sheet="1" objects="1" scenarios="1"/>
  <dataConsolidate/>
  <mergeCells count="320">
    <mergeCell ref="AK46:AL46"/>
    <mergeCell ref="AK47:AL47"/>
    <mergeCell ref="AM44:AT44"/>
    <mergeCell ref="AM45:AT45"/>
    <mergeCell ref="AM46:AT46"/>
    <mergeCell ref="AM47:AT47"/>
    <mergeCell ref="E43:AJ43"/>
    <mergeCell ref="E44:AJ44"/>
    <mergeCell ref="E45:AJ45"/>
    <mergeCell ref="E46:AJ46"/>
    <mergeCell ref="E47:AJ47"/>
    <mergeCell ref="W12:AD12"/>
    <mergeCell ref="AE12:AJ12"/>
    <mergeCell ref="AE11:AJ11"/>
    <mergeCell ref="W11:AD11"/>
    <mergeCell ref="E35:AJ35"/>
    <mergeCell ref="AK35:AT35"/>
    <mergeCell ref="E77:AD77"/>
    <mergeCell ref="E78:AD78"/>
    <mergeCell ref="E79:AD79"/>
    <mergeCell ref="AE77:AJ77"/>
    <mergeCell ref="AE78:AJ78"/>
    <mergeCell ref="AE79:AJ79"/>
    <mergeCell ref="F28:Z28"/>
    <mergeCell ref="AK39:AT39"/>
    <mergeCell ref="E40:AJ40"/>
    <mergeCell ref="E41:AJ41"/>
    <mergeCell ref="AM41:AT41"/>
    <mergeCell ref="AF33:AT33"/>
    <mergeCell ref="AH32:AT32"/>
    <mergeCell ref="AK40:AL40"/>
    <mergeCell ref="E31:AG31"/>
    <mergeCell ref="AH31:AT31"/>
    <mergeCell ref="E37:AJ37"/>
    <mergeCell ref="AK37:AT37"/>
    <mergeCell ref="AG115:AH115"/>
    <mergeCell ref="AI112:AS112"/>
    <mergeCell ref="AI113:AS113"/>
    <mergeCell ref="AI114:AS114"/>
    <mergeCell ref="AI115:AS115"/>
    <mergeCell ref="F96:P96"/>
    <mergeCell ref="Q96:U96"/>
    <mergeCell ref="W96:AG96"/>
    <mergeCell ref="AH96:AJ96"/>
    <mergeCell ref="X114:AF114"/>
    <mergeCell ref="AG114:AH114"/>
    <mergeCell ref="X111:AF111"/>
    <mergeCell ref="O111:W111"/>
    <mergeCell ref="F111:N111"/>
    <mergeCell ref="O112:W112"/>
    <mergeCell ref="O114:W114"/>
    <mergeCell ref="X113:AF113"/>
    <mergeCell ref="O113:W113"/>
    <mergeCell ref="X112:AF112"/>
    <mergeCell ref="F114:N114"/>
    <mergeCell ref="F113:N113"/>
    <mergeCell ref="F112:N112"/>
    <mergeCell ref="AG112:AH112"/>
    <mergeCell ref="AG113:AH113"/>
    <mergeCell ref="C19:D23"/>
    <mergeCell ref="E23:V23"/>
    <mergeCell ref="E20:V21"/>
    <mergeCell ref="X19:AD19"/>
    <mergeCell ref="AI111:AS111"/>
    <mergeCell ref="E110:AS110"/>
    <mergeCell ref="AG111:AH111"/>
    <mergeCell ref="E54:F54"/>
    <mergeCell ref="AF48:AT48"/>
    <mergeCell ref="E48:AE48"/>
    <mergeCell ref="E49:AE49"/>
    <mergeCell ref="AF50:AQ50"/>
    <mergeCell ref="AR50:AT50"/>
    <mergeCell ref="AN70:AT70"/>
    <mergeCell ref="AR72:AT72"/>
    <mergeCell ref="E63:AT63"/>
    <mergeCell ref="T72:W72"/>
    <mergeCell ref="N70:N71"/>
    <mergeCell ref="N57:AD57"/>
    <mergeCell ref="AE56:AT56"/>
    <mergeCell ref="AG60:AJ60"/>
    <mergeCell ref="AF23:AL23"/>
    <mergeCell ref="AM23:AT23"/>
    <mergeCell ref="W23:AE23"/>
    <mergeCell ref="C3:D6"/>
    <mergeCell ref="E3:F6"/>
    <mergeCell ref="AK9:AT9"/>
    <mergeCell ref="AN3:AT3"/>
    <mergeCell ref="AN4:AT6"/>
    <mergeCell ref="W9:AJ9"/>
    <mergeCell ref="N5:AM6"/>
    <mergeCell ref="E7:N7"/>
    <mergeCell ref="AK16:AQ16"/>
    <mergeCell ref="AE14:AN14"/>
    <mergeCell ref="AS13:AT13"/>
    <mergeCell ref="E12:V12"/>
    <mergeCell ref="AK13:AL13"/>
    <mergeCell ref="W14:AD14"/>
    <mergeCell ref="AH16:AJ16"/>
    <mergeCell ref="W15:AD15"/>
    <mergeCell ref="W10:AJ10"/>
    <mergeCell ref="E11:V11"/>
    <mergeCell ref="AK12:AT12"/>
    <mergeCell ref="E14:V14"/>
    <mergeCell ref="AE15:AN15"/>
    <mergeCell ref="N3:AM3"/>
    <mergeCell ref="N4:AM4"/>
    <mergeCell ref="E8:N8"/>
    <mergeCell ref="W8:AJ8"/>
    <mergeCell ref="AK7:AT7"/>
    <mergeCell ref="W7:AJ7"/>
    <mergeCell ref="E9:V9"/>
    <mergeCell ref="O8:V8"/>
    <mergeCell ref="C7:D18"/>
    <mergeCell ref="O7:V7"/>
    <mergeCell ref="AK8:AT8"/>
    <mergeCell ref="N17:V17"/>
    <mergeCell ref="AE17:AJ17"/>
    <mergeCell ref="AE18:AJ18"/>
    <mergeCell ref="AA17:AD17"/>
    <mergeCell ref="E17:M17"/>
    <mergeCell ref="AO14:AT14"/>
    <mergeCell ref="E15:V15"/>
    <mergeCell ref="AO15:AT15"/>
    <mergeCell ref="AE16:AG16"/>
    <mergeCell ref="X18:Z18"/>
    <mergeCell ref="E16:AD16"/>
    <mergeCell ref="E10:V10"/>
    <mergeCell ref="AK10:AT10"/>
    <mergeCell ref="AK11:AT11"/>
    <mergeCell ref="W17:Z17"/>
    <mergeCell ref="E18:M18"/>
    <mergeCell ref="AA18:AD18"/>
    <mergeCell ref="AK17:AT17"/>
    <mergeCell ref="AL18:AT18"/>
    <mergeCell ref="N18:V18"/>
    <mergeCell ref="W24:AT24"/>
    <mergeCell ref="E30:AT30"/>
    <mergeCell ref="AA27:AT27"/>
    <mergeCell ref="E29:AT29"/>
    <mergeCell ref="E22:AT22"/>
    <mergeCell ref="AF20:AL21"/>
    <mergeCell ref="AM20:AT21"/>
    <mergeCell ref="W20:AE21"/>
    <mergeCell ref="AE19:AJ19"/>
    <mergeCell ref="E24:V24"/>
    <mergeCell ref="E25:AT25"/>
    <mergeCell ref="F26:Z26"/>
    <mergeCell ref="F27:Z27"/>
    <mergeCell ref="AA28:AT28"/>
    <mergeCell ref="AK19:AT19"/>
    <mergeCell ref="Q19:W19"/>
    <mergeCell ref="N19:O19"/>
    <mergeCell ref="AA26:AT26"/>
    <mergeCell ref="AR74:AT74"/>
    <mergeCell ref="AE74:AG74"/>
    <mergeCell ref="AC74:AD74"/>
    <mergeCell ref="F59:N59"/>
    <mergeCell ref="AK59:AT59"/>
    <mergeCell ref="E57:F57"/>
    <mergeCell ref="AG59:AJ59"/>
    <mergeCell ref="G56:AD56"/>
    <mergeCell ref="O59:W59"/>
    <mergeCell ref="AE57:AT57"/>
    <mergeCell ref="E56:F56"/>
    <mergeCell ref="P71:S71"/>
    <mergeCell ref="AL71:AM71"/>
    <mergeCell ref="AR71:AT71"/>
    <mergeCell ref="AN71:AQ71"/>
    <mergeCell ref="AM69:AT69"/>
    <mergeCell ref="E69:AL69"/>
    <mergeCell ref="AK61:AT61"/>
    <mergeCell ref="X61:AF61"/>
    <mergeCell ref="F67:V67"/>
    <mergeCell ref="F66:V66"/>
    <mergeCell ref="AK60:AT60"/>
    <mergeCell ref="F60:N60"/>
    <mergeCell ref="AM58:AT58"/>
    <mergeCell ref="AE53:AT53"/>
    <mergeCell ref="AK41:AL41"/>
    <mergeCell ref="E32:AG32"/>
    <mergeCell ref="AK42:AL42"/>
    <mergeCell ref="E42:AJ42"/>
    <mergeCell ref="AM40:AT40"/>
    <mergeCell ref="E53:F53"/>
    <mergeCell ref="G53:AD53"/>
    <mergeCell ref="Z50:AE50"/>
    <mergeCell ref="E51:Y51"/>
    <mergeCell ref="E52:AL52"/>
    <mergeCell ref="Z51:AE51"/>
    <mergeCell ref="AM52:AT52"/>
    <mergeCell ref="AM42:AT42"/>
    <mergeCell ref="E39:AJ39"/>
    <mergeCell ref="E33:AE33"/>
    <mergeCell ref="E34:AJ34"/>
    <mergeCell ref="AK34:AT34"/>
    <mergeCell ref="E38:AJ38"/>
    <mergeCell ref="AK38:AT38"/>
    <mergeCell ref="E36:AT36"/>
    <mergeCell ref="AK43:AT43"/>
    <mergeCell ref="AK44:AL44"/>
    <mergeCell ref="AK45:AL45"/>
    <mergeCell ref="E55:F55"/>
    <mergeCell ref="N54:AD54"/>
    <mergeCell ref="AE54:AT54"/>
    <mergeCell ref="AE55:AT55"/>
    <mergeCell ref="G55:AD55"/>
    <mergeCell ref="E50:Y50"/>
    <mergeCell ref="AF49:AT49"/>
    <mergeCell ref="AJ70:AM70"/>
    <mergeCell ref="W67:AB67"/>
    <mergeCell ref="W65:AB65"/>
    <mergeCell ref="AK62:AT62"/>
    <mergeCell ref="P70:W70"/>
    <mergeCell ref="F61:N61"/>
    <mergeCell ref="AG61:AJ61"/>
    <mergeCell ref="F62:N62"/>
    <mergeCell ref="F65:V65"/>
    <mergeCell ref="O62:W62"/>
    <mergeCell ref="E64:AL64"/>
    <mergeCell ref="AM64:AT64"/>
    <mergeCell ref="O70:O71"/>
    <mergeCell ref="X70:AI70"/>
    <mergeCell ref="W66:AB66"/>
    <mergeCell ref="X62:AF62"/>
    <mergeCell ref="O61:W61"/>
    <mergeCell ref="X59:AF59"/>
    <mergeCell ref="E58:AL58"/>
    <mergeCell ref="AG62:AJ62"/>
    <mergeCell ref="X60:AF60"/>
    <mergeCell ref="O60:W60"/>
    <mergeCell ref="E116:AH117"/>
    <mergeCell ref="X115:AF115"/>
    <mergeCell ref="F115:N115"/>
    <mergeCell ref="O115:W115"/>
    <mergeCell ref="T71:W71"/>
    <mergeCell ref="AH71:AI71"/>
    <mergeCell ref="Z73:AB73"/>
    <mergeCell ref="AH73:AI73"/>
    <mergeCell ref="AC72:AD72"/>
    <mergeCell ref="AE73:AG73"/>
    <mergeCell ref="F70:F71"/>
    <mergeCell ref="E70:E71"/>
    <mergeCell ref="E80:AD80"/>
    <mergeCell ref="E76:AD76"/>
    <mergeCell ref="AE76:AJ76"/>
    <mergeCell ref="E75:AT75"/>
    <mergeCell ref="F84:AE84"/>
    <mergeCell ref="AJ73:AK73"/>
    <mergeCell ref="T73:W73"/>
    <mergeCell ref="P72:S72"/>
    <mergeCell ref="X72:Y72"/>
    <mergeCell ref="AN74:AQ74"/>
    <mergeCell ref="Z72:AB72"/>
    <mergeCell ref="AJ72:AK72"/>
    <mergeCell ref="C81:D98"/>
    <mergeCell ref="AF81:AK81"/>
    <mergeCell ref="AF82:AK82"/>
    <mergeCell ref="AF83:AK83"/>
    <mergeCell ref="AF84:AK84"/>
    <mergeCell ref="E98:AT98"/>
    <mergeCell ref="AN73:AQ73"/>
    <mergeCell ref="AR73:AT73"/>
    <mergeCell ref="AC73:AD73"/>
    <mergeCell ref="G94:AE94"/>
    <mergeCell ref="E92:F92"/>
    <mergeCell ref="N92:X92"/>
    <mergeCell ref="G93:AE93"/>
    <mergeCell ref="P73:S73"/>
    <mergeCell ref="E89:F89"/>
    <mergeCell ref="F82:AE82"/>
    <mergeCell ref="E97:O97"/>
    <mergeCell ref="G91:X91"/>
    <mergeCell ref="AP87:AT87"/>
    <mergeCell ref="P97:X97"/>
    <mergeCell ref="E95:F95"/>
    <mergeCell ref="F83:AE83"/>
    <mergeCell ref="E93:F93"/>
    <mergeCell ref="E94:F94"/>
    <mergeCell ref="G89:Z89"/>
    <mergeCell ref="E88:F88"/>
    <mergeCell ref="G90:S90"/>
    <mergeCell ref="AF85:AK85"/>
    <mergeCell ref="T90:AT90"/>
    <mergeCell ref="F85:AE85"/>
    <mergeCell ref="AP86:AT86"/>
    <mergeCell ref="AJ71:AK71"/>
    <mergeCell ref="Z71:AB71"/>
    <mergeCell ref="AL73:AM73"/>
    <mergeCell ref="X73:Y73"/>
    <mergeCell ref="AN72:AQ72"/>
    <mergeCell ref="AH72:AI72"/>
    <mergeCell ref="AL72:AM72"/>
    <mergeCell ref="AE71:AG71"/>
    <mergeCell ref="AE72:AG72"/>
    <mergeCell ref="X71:Y71"/>
    <mergeCell ref="AC71:AD71"/>
    <mergeCell ref="T74:W74"/>
    <mergeCell ref="AH74:AI74"/>
    <mergeCell ref="P95:Y95"/>
    <mergeCell ref="AF94:AT94"/>
    <mergeCell ref="AA89:AT89"/>
    <mergeCell ref="F87:AO87"/>
    <mergeCell ref="Y92:AT92"/>
    <mergeCell ref="G88:O88"/>
    <mergeCell ref="E90:F90"/>
    <mergeCell ref="E91:F91"/>
    <mergeCell ref="Y91:AT91"/>
    <mergeCell ref="Z95:AT95"/>
    <mergeCell ref="G95:O95"/>
    <mergeCell ref="F86:AO86"/>
    <mergeCell ref="F81:AE81"/>
    <mergeCell ref="P74:S74"/>
    <mergeCell ref="AL74:AM74"/>
    <mergeCell ref="Z74:AB74"/>
    <mergeCell ref="AE80:AJ80"/>
    <mergeCell ref="AJ74:AK74"/>
    <mergeCell ref="X74:Y74"/>
    <mergeCell ref="AF93:AT93"/>
    <mergeCell ref="P88:Y88"/>
    <mergeCell ref="Z88:AT88"/>
  </mergeCells>
  <dataValidations count="95">
    <dataValidation type="textLength" operator="lessThanOrEqual" allowBlank="1" showInputMessage="1" showErrorMessage="1" error="First Name cannot be more than 25 characters" sqref="E8:N8">
      <formula1>25</formula1>
    </dataValidation>
    <dataValidation type="textLength" operator="lessThanOrEqual" allowBlank="1" showInputMessage="1" showErrorMessage="1" error="Middle Name cannot be more than 25 characters" sqref="O8:V8">
      <formula1>25</formula1>
    </dataValidation>
    <dataValidation type="textLength" operator="lessThanOrEqual" allowBlank="1" showInputMessage="1" showErrorMessage="1" errorTitle="Last Name " error="Last Name cannot be more than 25 characters" sqref="W8:AJ8">
      <formula1>25</formula1>
    </dataValidation>
    <dataValidation type="textLength" operator="equal" allowBlank="1" showInputMessage="1" showErrorMessage="1" error="Please Enter a valid 10 digit PAN" sqref="AK8 AE69:AL69 AE58:AL58 AE56:AT56 AF93:AT93">
      <formula1>10</formula1>
    </dataValidation>
    <dataValidation type="textLength" operator="lessThanOrEqual" allowBlank="1" showInputMessage="1" showErrorMessage="1" error="Flat number Cannot Exceed 50 characters" sqref="E10:V10">
      <formula1>50</formula1>
    </dataValidation>
    <dataValidation type="textLength" operator="lessThanOrEqual" allowBlank="1" showInputMessage="1" showErrorMessage="1" error="Name of Premises / Building / Village cannot be more than 50 characters" sqref="W10:AJ10">
      <formula1>50</formula1>
    </dataValidation>
    <dataValidation type="textLength" operator="lessThanOrEqual" allowBlank="1" showInputMessage="1" showErrorMessage="1" error="Road/ Street/Post office cannot be more than 50 characters" sqref="E12:E13 F13:V13">
      <formula1>50</formula1>
    </dataValidation>
    <dataValidation type="list" allowBlank="1" showInputMessage="1" showErrorMessage="1" sqref="W15:AD15">
      <formula1>State</formula1>
    </dataValidation>
    <dataValidation type="textLength" operator="lessThanOrEqual" allowBlank="1" showInputMessage="1" showErrorMessage="1" error="Town/City/District cannot be more than 50 characters" sqref="AR16:AT16 AH16 E15:E16 F15:V15">
      <formula1>50</formula1>
    </dataValidation>
    <dataValidation type="list" allowBlank="1" showInputMessage="1" showErrorMessage="1" sqref="AE15:AN15">
      <formula1>Country</formula1>
    </dataValidation>
    <dataValidation type="list" allowBlank="1" showInputMessage="1" showErrorMessage="1" sqref="Z33">
      <formula1>trasactionAct</formula1>
    </dataValidation>
    <dataValidation type="list" allowBlank="1" showInputMessage="1" showErrorMessage="1" sqref="AK19 AP33:AT33">
      <formula1>ResiStatus</formula1>
    </dataValidation>
    <dataValidation type="list" allowBlank="1" showInputMessage="1" showErrorMessage="1" sqref="AR50 AF81:AF82 AF84:AF85">
      <formula1>PortugueseCode</formula1>
    </dataValidation>
    <dataValidation type="list" allowBlank="1" showInputMessage="1" showErrorMessage="1" sqref="AM52:AR52 AP87:AT87 AP86 AE76">
      <formula1>YesNoCode</formula1>
    </dataValidation>
    <dataValidation type="textLength" operator="lessThanOrEqual" allowBlank="1" showInputMessage="1" showErrorMessage="1" error="Address cannot be more than 200 characters" sqref="AE55:AT55">
      <formula1>250</formula1>
    </dataValidation>
    <dataValidation type="textLength" operator="lessThanOrEqual" allowBlank="1" showInputMessage="1" showErrorMessage="1" error="Assesse Name cannot be more than 125 characters" sqref="AE53:AT53">
      <formula1>125</formula1>
    </dataValidation>
    <dataValidation type="textLength" operator="equal" allowBlank="1" showInputMessage="1" showErrorMessage="1" error="Please Enter the date in dd/mm/yyyy format" sqref="P88:Y88 Y97">
      <formula1>10</formula1>
    </dataValidation>
    <dataValidation type="textLength" operator="lessThanOrEqual" allowBlank="1" showInputMessage="1" showErrorMessage="1" error="Name cannot be more than 125 characters" sqref="AA89:AT89">
      <formula1>125</formula1>
    </dataValidation>
    <dataValidation type="textLength" operator="lessThanOrEqual" allowBlank="1" showInputMessage="1" showErrorMessage="1" error="Membership Number cannot be more than  6 digits" sqref="T90:AT90">
      <formula1>6</formula1>
    </dataValidation>
    <dataValidation type="textLength" operator="lessThanOrEqual" allowBlank="1" showInputMessage="1" showErrorMessage="1" error="Name of the Auditor cannot be more than 125 characters" sqref="Y91:AT91">
      <formula1>125</formula1>
    </dataValidation>
    <dataValidation type="whole" allowBlank="1" showErrorMessage="1" errorTitle="PinCode" error="Enter a Valid 6 digits Pin Code" sqref="AO15:AQ15">
      <formula1>100000</formula1>
      <formula2>999999</formula2>
    </dataValidation>
    <dataValidation type="textLength" operator="lessThanOrEqual" allowBlank="1" showInputMessage="1" showErrorMessage="1" error="Enter a Valid 10 digit Mobile Number" sqref="X18:Z18 AL18">
      <formula1>10</formula1>
    </dataValidation>
    <dataValidation type="textLength" allowBlank="1" showInputMessage="1" showErrorMessage="1" error="Enter a Valid Phone Number" sqref="AE18:AJ18">
      <formula1>5</formula1>
      <formula2>8</formula2>
    </dataValidation>
    <dataValidation type="textLength" operator="equal" allowBlank="1" showInputMessage="1" showErrorMessage="1" error="Enter a Valid 15 digits Acknowledgement Number" sqref="W20:AE21">
      <formula1>15</formula1>
    </dataValidation>
    <dataValidation type="textLength" operator="equal" allowBlank="1" showInputMessage="1" showErrorMessage="1" error="Enter a Valid Date dd/mm/yyyy format" sqref="AM20:AT21">
      <formula1>10</formula1>
    </dataValidation>
    <dataValidation type="textLength" allowBlank="1" showErrorMessage="1" error="Enter a Valid 2-5 digit STD code" sqref="AA18">
      <formula1>2</formula1>
      <formula2>5</formula2>
    </dataValidation>
    <dataValidation type="list" allowBlank="1" showInputMessage="1" showErrorMessage="1" sqref="AY17:AZ17">
      <formula1>INDIRECT(IF(sheet1.Status &lt;&gt; "", MID(sheet1.Status,1,1),"Select"))</formula1>
    </dataValidation>
    <dataValidation type="list" allowBlank="1" showInputMessage="1" showErrorMessage="1" sqref="F100:M106">
      <formula1>Section_code</formula1>
    </dataValidation>
    <dataValidation type="textLength" operator="lessThanOrEqual" allowBlank="1" showInputMessage="1" showErrorMessage="1" errorTitle="Passport Number" error="Passport No cannot be more than 14 characters" sqref="Z51:AE51">
      <formula1>14</formula1>
    </dataValidation>
    <dataValidation type="textLength" operator="equal" allowBlank="1" showInputMessage="1" showErrorMessage="1" errorTitle="Aadhar Number" error="Invalid Aadhaar.Please enter valid aadhar number in schedule Part A General" sqref="AF48:AT48">
      <formula1>12</formula1>
    </dataValidation>
    <dataValidation type="textLength" operator="lessThanOrEqual" allowBlank="1" showInputMessage="1" showErrorMessage="1" error="Proprietorship/ firm registeration number cannot be more than 8 characters" sqref="Y92:AT92">
      <formula1>8</formula1>
    </dataValidation>
    <dataValidation operator="equal" allowBlank="1" showInputMessage="1" showErrorMessage="1" error="Please Enter the date in dd/mm/yyyy format" sqref="E97"/>
    <dataValidation type="textLength" operator="equal" allowBlank="1" showInputMessage="1" showErrorMessage="1" errorTitle="Date of audit report" error="Please Enter the date in dd/mm/yyyy format" sqref="P97:X97 P95:Y95">
      <formula1>10</formula1>
    </dataValidation>
    <dataValidation type="list" allowBlank="1" showInputMessage="1" showErrorMessage="1" errorTitle="Liable for Audit u/s 92E" error="Please select from list" sqref="Q96">
      <formula1>YesNoCode</formula1>
    </dataValidation>
    <dataValidation type="list" allowBlank="1" showInputMessage="1" showErrorMessage="1" errorTitle="No Zip Code.?" error="Please select from list" sqref="AE16:AG16">
      <formula1>"(Select),Y"</formula1>
    </dataValidation>
    <dataValidation type="textLength" operator="lessThanOrEqual" allowBlank="1" showErrorMessage="1" errorTitle="ZipCode" error="Minimum 1 and up to 8 Characters." sqref="AK16:AQ16">
      <formula1>8</formula1>
    </dataValidation>
    <dataValidation type="textLength" operator="equal" allowBlank="1" showInputMessage="1" showErrorMessage="1" errorTitle="Aadhaar Enrolment Id" error="Aadhaar Enrolment Id must be exactly 28 digits." sqref="AF49:AT49">
      <formula1>28</formula1>
    </dataValidation>
    <dataValidation type="list" allowBlank="1" showInputMessage="1" showErrorMessage="1" errorTitle="Claim benefit u/s 115H" error="Please select from list" sqref="Z50:AE50">
      <formula1>"(Select),Yes,No"</formula1>
    </dataValidation>
    <dataValidation type="textLength" operator="lessThanOrEqual" allowBlank="1" showInputMessage="1" showErrorMessage="1" errorTitle="CountryCode1" error="Country Code for mobile no1 should be Numeric,Non negative and upto 5 digits" sqref="W18">
      <formula1>5</formula1>
    </dataValidation>
    <dataValidation type="textLength" operator="lessThanOrEqual" allowBlank="1" showInputMessage="1" showErrorMessage="1" errorTitle="CountryCode2" error="Country Code for mobile no 2 should be Numeric,Non negative and upto 5 digits" sqref="AK18">
      <formula1>5</formula1>
    </dataValidation>
    <dataValidation type="list" allowBlank="1" showInputMessage="1" showErrorMessage="1" sqref="AK10">
      <formula1>$BB$9:$BB$11</formula1>
    </dataValidation>
    <dataValidation type="list" allowBlank="1" showInputMessage="1" showErrorMessage="1" error="Please select from the dropdown" sqref="AE80">
      <formula1>"(Select),Yes,No"</formula1>
    </dataValidation>
    <dataValidation type="textLength" operator="equal" allowBlank="1" showInputMessage="1" showErrorMessage="1" errorTitle="Date of Birth" error="Date of Birth/Formation should be 10 characters" sqref="AK12:AT12">
      <formula1>10</formula1>
    </dataValidation>
    <dataValidation type="textLength" operator="lessThanOrEqual" allowBlank="1" showInputMessage="1" showErrorMessage="1" errorTitle="Area/Locality" error="Area/Locality should not exceed 50 characters" sqref="W12">
      <formula1>50</formula1>
    </dataValidation>
    <dataValidation type="textLength" operator="lessThanOrEqual" allowBlank="1" showInputMessage="1" showErrorMessage="1" errorTitle="Email Address-1" error="Email Address-1 should not exceed 125 characters" sqref="E18:M18">
      <formula1>125</formula1>
    </dataValidation>
    <dataValidation type="textLength" operator="lessThanOrEqual" allowBlank="1" showInputMessage="1" showErrorMessage="1" errorTitle="Email Address-2" error="Email Address-2 should not exceed exceed 125 characters" sqref="N18:V18">
      <formula1>125</formula1>
    </dataValidation>
    <dataValidation operator="lessThanOrEqual" allowBlank="1" showInputMessage="1" showErrorMessage="1" sqref="E19:P19"/>
    <dataValidation type="textLength" operator="lessThanOrEqual" allowBlank="1" showInputMessage="1" showErrorMessage="1" errorTitle="Act" error="Act  cannot exceed 125 characters" sqref="O112:O115">
      <formula1>125</formula1>
    </dataValidation>
    <dataValidation type="textLength" operator="equal" allowBlank="1" showInputMessage="1" showErrorMessage="1" errorTitle="Date of  audit " error="Date of  audit  should be in DD/MM/YYYY format only" sqref="AI112:AI115">
      <formula1>10</formula1>
    </dataValidation>
    <dataValidation type="textLength" operator="lessThanOrEqual" allowBlank="1" showInputMessage="1" showErrorMessage="1" errorTitle="Section" error="Section cannot exceed 30 characters" sqref="X112:AF115">
      <formula1>30</formula1>
    </dataValidation>
    <dataValidation type="list" allowBlank="1" showInputMessage="1" showErrorMessage="1" sqref="W24:AT24">
      <formula1>IF(MID(sheet1.ResidentialStatus1,1,3)="RES",RES_Dropdown,IF(MID(sheet1.ResidentialStatus1,1,3)="NOR",NOR_Dropdown,IF(MID(sheet1.ResidentialStatus1,1,3)="NRI",NRI_Dropdown,Select1)))</formula1>
    </dataValidation>
    <dataValidation type="list" operator="lessThanOrEqual" allowBlank="1" showInputMessage="1" showErrorMessage="1" errorTitle="Jurisdiction(s) of residence" error="Please Select From the Drop Down" sqref="F27:Z28">
      <formula1>Country_Juridiction</formula1>
    </dataValidation>
    <dataValidation type="textLength" operator="lessThanOrEqual" allowBlank="1" showInputMessage="1" showErrorMessage="1" errorTitle="Taxpayer Identification" error="Taxpayer identification number cannot exceed 75 characters." sqref="AA27:AT28">
      <formula1>75</formula1>
    </dataValidation>
    <dataValidation type="whole" allowBlank="1" showInputMessage="1" showErrorMessage="1" error="Total period of stay in India during the previous year cannot be more than 365 days." sqref="AH31:AT31">
      <formula1>1</formula1>
      <formula2>365</formula2>
    </dataValidation>
    <dataValidation type="whole" allowBlank="1" showInputMessage="1" showErrorMessage="1" error="Total period of stay in India during the previous year cannot be more than 1461 days." sqref="AH32:AT32">
      <formula1>1</formula1>
      <formula2>1461</formula2>
    </dataValidation>
    <dataValidation type="textLength" operator="lessThanOrEqual" allowBlank="1" showInputMessage="1" showErrorMessage="1" errorTitle="Name Of Company" error="Name of company cannot be more than 125 characters" sqref="F60:N62">
      <formula1>125</formula1>
    </dataValidation>
    <dataValidation type="textLength" operator="equal" allowBlank="1" showInputMessage="1" showErrorMessage="1" errorTitle="PAN" error="Please Enter a valid 10 digit PAN.First Five Alphabets, next 4 digits, then Alphabet" sqref="X60:AF62 W66:AB67">
      <formula1>10</formula1>
    </dataValidation>
    <dataValidation type="textLength" operator="equal" allowBlank="1" showInputMessage="1" showErrorMessage="1" errorTitle="Director Identification Number" error="Please enter valid 8 digit DIN" sqref="AY60:BD62 AK60:AT62">
      <formula1>8</formula1>
    </dataValidation>
    <dataValidation type="list" allowBlank="1" showInputMessage="1" showErrorMessage="1" errorTitle="Whether its shares" error="Please select from the list" sqref="AG60:AJ62">
      <formula1>"(Select),Listed,Unlisted"</formula1>
    </dataValidation>
    <dataValidation type="list" allowBlank="1" showInputMessage="1" showErrorMessage="1" errorTitle="UnlistedShare" error="Please select from the list." sqref="AM69:AT69">
      <formula1>"(Select),Yes,No"</formula1>
    </dataValidation>
    <dataValidation type="list" allowBlank="1" showInputMessage="1" showErrorMessage="1" error="Please select from the list" sqref="AM58:AT58">
      <formula1>"(Select),Yes,No"</formula1>
    </dataValidation>
    <dataValidation type="textLength" operator="lessThanOrEqual" allowBlank="1" showInputMessage="1" showErrorMessage="1" errorTitle="Name of company" error="Name of company cannot exceed 125 characters." sqref="F72:F74">
      <formula1>125</formula1>
    </dataValidation>
    <dataValidation type="textLength" operator="equal" allowBlank="1" showInputMessage="1" showErrorMessage="1" errorTitle="Date of Subscription" error="Date should be in valid dd/mm/yyyy format." sqref="Z72:AB74">
      <formula1>10</formula1>
    </dataValidation>
    <dataValidation type="whole" allowBlank="1" showInputMessage="1" showErrorMessage="1" errorTitle="Issue/purchase price per  share" error="Issue / purchase price per share should be Numeric,Non negative and no decimal upto 14 digits" sqref="AE72:AG74">
      <formula1>0</formula1>
      <formula2>99999999999999</formula2>
    </dataValidation>
    <dataValidation type="decimal" allowBlank="1" showInputMessage="1" showErrorMessage="1" errorTitle="Cost of acquisition" error="Cost of acquisition should be Numeric,Non negative and decimal upto 14 digits" sqref="AU72:AU74">
      <formula1>0</formula1>
      <formula2>100000000000000</formula2>
    </dataValidation>
    <dataValidation type="textLength" operator="equal" allowBlank="1" showInputMessage="1" showErrorMessage="1" errorTitle="PAN" error="PAN must be exactly 10 characters." sqref="O72:O74">
      <formula1>10</formula1>
    </dataValidation>
    <dataValidation type="whole" allowBlank="1" showInputMessage="1" showErrorMessage="1" errorTitle="No. of shares" error="No. of shares should be Numeric,Non negative and no decimal upto 14 digits" sqref="AN72:AQ74 X72:Y74">
      <formula1>0</formula1>
      <formula2>99999999999999</formula2>
    </dataValidation>
    <dataValidation type="decimal" allowBlank="1" showInputMessage="1" showErrorMessage="1" errorTitle="Face value per share" error="Face value per share should be Numeric,Non negative and  decimal upto 14 digits" sqref="AC72:AD74">
      <formula1>0</formula1>
      <formula2>100000000000</formula2>
    </dataValidation>
    <dataValidation type="decimal" allowBlank="1" showInputMessage="1" showErrorMessage="1" errorTitle="Purchase price per share" error="Purchase price per share should be Numeric,Non negative and  decimal upto 14 digits" sqref="AH72:AI74">
      <formula1>0</formula1>
      <formula2>100000000000</formula2>
    </dataValidation>
    <dataValidation type="whole" allowBlank="1" showInputMessage="1" showErrorMessage="1" errorTitle="No. of shares " error="No. of shares transferred should be Numeric,Non negative and no decimal upto 14 digits" sqref="AJ72:AK74">
      <formula1>0</formula1>
      <formula2>99999999999999</formula2>
    </dataValidation>
    <dataValidation type="decimal" allowBlank="1" showInputMessage="1" showErrorMessage="1" errorTitle="Sale consideration" error="Sale consideration should be Numeric,Non negative and decimal upto 14 digits" sqref="AL72:AM74">
      <formula1>0</formula1>
      <formula2>100000000000</formula2>
    </dataValidation>
    <dataValidation type="list" operator="lessThanOrEqual" allowBlank="1" showInputMessage="1" showErrorMessage="1" errorTitle="Representative Capacity" error="please select valid option from the dropdown" sqref="AE54:AT54">
      <formula1>Dropdown_RepCapacity</formula1>
    </dataValidation>
    <dataValidation type="list" allowBlank="1" showInputMessage="1" showErrorMessage="1" sqref="AM64:AT64 AK39:AK47 AL39:AT39">
      <formula1>"(Select),Yes,No"</formula1>
    </dataValidation>
    <dataValidation type="textLength" operator="lessThanOrEqual" allowBlank="1" showInputMessage="1" showErrorMessage="1" errorTitle="Name of Firm " error="Name of Firm cannot be more than 125 characters" sqref="F66:F67">
      <formula1>125</formula1>
    </dataValidation>
    <dataValidation type="whole" allowBlank="1" showInputMessage="1" showErrorMessage="1" errorTitle="No. of shares" error="No. of shares  should be Numeric,Non negative and no decimal upto 14 digits" sqref="P72:S74">
      <formula1>0</formula1>
      <formula2>99999999999999</formula2>
    </dataValidation>
    <dataValidation type="list" operator="lessThanOrEqual" allowBlank="1" showInputMessage="1" showErrorMessage="1" errorTitle="Act" error="Act  cannot exceed 125 characters" sqref="F112:N115">
      <formula1>AuditDropDown</formula1>
    </dataValidation>
    <dataValidation type="list" operator="lessThanOrEqual" allowBlank="1" showInputMessage="1" showErrorMessage="1" errorTitle="Type Of Company" error="Please select valid option from the dropdown." sqref="O60:W62">
      <formula1>"(Select),Domestic,Foreign"</formula1>
    </dataValidation>
    <dataValidation type="list" allowBlank="1" showInputMessage="1" showErrorMessage="1" sqref="N72:N74">
      <formula1>"(Select),Domestic,Foreign"</formula1>
    </dataValidation>
    <dataValidation type="decimal" allowBlank="1" showInputMessage="1" showErrorMessage="1" errorTitle="Cost of acquisition" error="Cost of acquisition should be Numeric,Non negative and  decimal upto 14 digits" sqref="T72:W74">
      <formula1>0</formula1>
      <formula2>100000000000</formula2>
    </dataValidation>
    <dataValidation type="decimal" allowBlank="1" showInputMessage="1" showErrorMessage="1" errorTitle="Cost of acquisition" error="Cost of acquisition should be Numeric,Non negative and decimal upto 14 digits" sqref="AR72:AT74">
      <formula1>0</formula1>
      <formula2>100000000000</formula2>
    </dataValidation>
    <dataValidation type="whole" allowBlank="1" showInputMessage="1" showErrorMessage="1" sqref="AM40:AM43 AN40:AT43">
      <formula1>0</formula1>
      <formula2>99999999999999</formula2>
    </dataValidation>
    <dataValidation type="textLength" operator="equal" allowBlank="1" showInputMessage="1" showErrorMessage="1" errorTitle="Aadhar Numer of Represntive" error="Please Enter a valid 12 digit Aadhar Number of Representive" sqref="AE57:AT57">
      <formula1>12</formula1>
    </dataValidation>
    <dataValidation type="textLength" operator="lessThanOrEqual" allowBlank="1" showInputMessage="1" showErrorMessage="1" error="Unique number cannot exceed 100 characters in Part A General Information" sqref="W23:AE23">
      <formula1>100</formula1>
    </dataValidation>
    <dataValidation type="textLength" operator="equal" allowBlank="1" showInputMessage="1" showErrorMessage="1" error="Please enter the valid Aadhaar of the proprietorship in schedule Part A General" sqref="AF94:AT94">
      <formula1>12</formula1>
    </dataValidation>
    <dataValidation type="list" allowBlank="1" showInputMessage="1" showErrorMessage="1" error="Please select valid option from the dropdown" sqref="AH96">
      <formula1>"(Select),Yes,No"</formula1>
    </dataValidation>
    <dataValidation type="list" allowBlank="1" showInputMessage="1" showErrorMessage="1" error="Please select valid option from the list" sqref="N100:N106 AG112:AH115">
      <formula1>"(Select),Yes,No"</formula1>
    </dataValidation>
    <dataValidation type="textLength" operator="equal" allowBlank="1" showInputMessage="1" showErrorMessage="1" errorTitle="Acknowledgment number" error="Please enter the 15 digit Acknowledgment number of Form 10IE" sqref="AK38:AT38">
      <formula1>15</formula1>
    </dataValidation>
    <dataValidation type="textLength" operator="equal" allowBlank="1" showInputMessage="1" showErrorMessage="1" sqref="AK37:AT37">
      <formula1>10</formula1>
    </dataValidation>
    <dataValidation type="textLength" operator="equal" allowBlank="1" showInputMessage="1" showErrorMessage="1" errorTitle="Date of Commencement" error="Please enter valid date of commencement in dd/mm/yyyy format." sqref="AE12:AJ12">
      <formula1>10</formula1>
    </dataValidation>
    <dataValidation type="list" allowBlank="1" showInputMessage="1" showErrorMessage="1" sqref="AK35:AT35">
      <formula1>IF(OR(oldbacValue="",oldbacValue=0),RngNone,IF(oldbacValue=1,RngBacYes,RngBacNo))</formula1>
    </dataValidation>
    <dataValidation type="list" allowBlank="1" showInputMessage="1" showErrorMessage="1" sqref="AF83:AK83">
      <formula1>PortugueseCodeNew</formula1>
    </dataValidation>
    <dataValidation type="whole" allowBlank="1" showInputMessage="1" showErrorMessage="1" error="  Non negative, no decimal, upto 99,999,999,999,999" sqref="AM44:AT44 AM45:AT45 AM46:AT46 AM47:AT47 AE78:AJ78">
      <formula1>0</formula1>
      <formula2>99999999999999</formula2>
    </dataValidation>
    <dataValidation type="list" allowBlank="1" showInputMessage="1" showErrorMessage="1" sqref="X19">
      <formula1>ReturnFileUnderSection1</formula1>
    </dataValidation>
    <dataValidation type="list" allowBlank="1" showInputMessage="1" showErrorMessage="1" sqref="AE77:AJ77">
      <formula1>"(Select),Yes,No,NA"</formula1>
    </dataValidation>
    <dataValidation type="textLength" allowBlank="1" showInputMessage="1" showErrorMessage="1" sqref="AE79:AJ79">
      <formula1>0</formula1>
      <formula2>14</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62" r:id="rId5" name="Button 38">
              <controlPr defaultSize="0" print="0" autoFill="0" autoPict="0" macro="[0]!ValidateSchGeneral_Click">
                <anchor>
                  <from>
                    <xdr:col>46</xdr:col>
                    <xdr:colOff>180975</xdr:colOff>
                    <xdr:row>3</xdr:row>
                    <xdr:rowOff>104775</xdr:rowOff>
                  </from>
                  <to>
                    <xdr:col>49</xdr:col>
                    <xdr:colOff>219075</xdr:colOff>
                    <xdr:row>4</xdr:row>
                    <xdr:rowOff>142875</xdr:rowOff>
                  </to>
                </anchor>
              </controlPr>
            </control>
          </mc:Choice>
        </mc:AlternateContent>
        <mc:AlternateContent xmlns:mc="http://schemas.openxmlformats.org/markup-compatibility/2006">
          <mc:Choice Requires="x14">
            <control shapeId="1063" r:id="rId6" name="Button 39">
              <controlPr defaultSize="0" print="0" autoFill="0" autoPict="0" macro="[0]!CmdAddSectionCode_Click">
                <anchor moveWithCells="1">
                  <from>
                    <xdr:col>4</xdr:col>
                    <xdr:colOff>19050</xdr:colOff>
                    <xdr:row>106</xdr:row>
                    <xdr:rowOff>104775</xdr:rowOff>
                  </from>
                  <to>
                    <xdr:col>5</xdr:col>
                    <xdr:colOff>971550</xdr:colOff>
                    <xdr:row>108</xdr:row>
                    <xdr:rowOff>57150</xdr:rowOff>
                  </to>
                </anchor>
              </controlPr>
            </control>
          </mc:Choice>
        </mc:AlternateContent>
        <mc:AlternateContent xmlns:mc="http://schemas.openxmlformats.org/markup-compatibility/2006">
          <mc:Choice Requires="x14">
            <control shapeId="1081" r:id="rId7" name="Button 57">
              <controlPr defaultSize="0" print="0" autoFill="0" autoPict="0" macro="[0]!Img_Home_Click">
                <anchor>
                  <from>
                    <xdr:col>46</xdr:col>
                    <xdr:colOff>180975</xdr:colOff>
                    <xdr:row>2</xdr:row>
                    <xdr:rowOff>28575</xdr:rowOff>
                  </from>
                  <to>
                    <xdr:col>49</xdr:col>
                    <xdr:colOff>219075</xdr:colOff>
                    <xdr:row>3</xdr:row>
                    <xdr:rowOff>66675</xdr:rowOff>
                  </to>
                </anchor>
              </controlPr>
            </control>
          </mc:Choice>
        </mc:AlternateContent>
        <mc:AlternateContent xmlns:mc="http://schemas.openxmlformats.org/markup-compatibility/2006">
          <mc:Choice Requires="x14">
            <control shapeId="1083" r:id="rId8" name="Button 59">
              <controlPr defaultSize="0" print="0" autoFill="0" autoPict="0" macro="[0]!Next_Sheet">
                <anchor>
                  <from>
                    <xdr:col>46</xdr:col>
                    <xdr:colOff>180975</xdr:colOff>
                    <xdr:row>4</xdr:row>
                    <xdr:rowOff>180975</xdr:rowOff>
                  </from>
                  <to>
                    <xdr:col>49</xdr:col>
                    <xdr:colOff>219075</xdr:colOff>
                    <xdr:row>6</xdr:row>
                    <xdr:rowOff>95250</xdr:rowOff>
                  </to>
                </anchor>
              </controlPr>
            </control>
          </mc:Choice>
        </mc:AlternateContent>
        <mc:AlternateContent xmlns:mc="http://schemas.openxmlformats.org/markup-compatibility/2006">
          <mc:Choice Requires="x14">
            <control shapeId="1084" r:id="rId9" name="Button 60">
              <controlPr defaultSize="0" print="0" autoFill="0" autoPict="0" macro="[0]!Instruction_Sheet">
                <anchor>
                  <from>
                    <xdr:col>46</xdr:col>
                    <xdr:colOff>180975</xdr:colOff>
                    <xdr:row>11</xdr:row>
                    <xdr:rowOff>409575</xdr:rowOff>
                  </from>
                  <to>
                    <xdr:col>49</xdr:col>
                    <xdr:colOff>219075</xdr:colOff>
                    <xdr:row>14</xdr:row>
                    <xdr:rowOff>57150</xdr:rowOff>
                  </to>
                </anchor>
              </controlPr>
            </control>
          </mc:Choice>
        </mc:AlternateContent>
        <mc:AlternateContent xmlns:mc="http://schemas.openxmlformats.org/markup-compatibility/2006">
          <mc:Choice Requires="x14">
            <control shapeId="1086" r:id="rId10" name="Button 62">
              <controlPr defaultSize="0" print="0" autoFill="0" autoPict="0" macro="[0]!WorksheetsPrint">
                <anchor>
                  <from>
                    <xdr:col>46</xdr:col>
                    <xdr:colOff>171450</xdr:colOff>
                    <xdr:row>11</xdr:row>
                    <xdr:rowOff>66675</xdr:rowOff>
                  </from>
                  <to>
                    <xdr:col>49</xdr:col>
                    <xdr:colOff>209550</xdr:colOff>
                    <xdr:row>11</xdr:row>
                    <xdr:rowOff>333375</xdr:rowOff>
                  </to>
                </anchor>
              </controlPr>
            </control>
          </mc:Choice>
        </mc:AlternateContent>
        <mc:AlternateContent xmlns:mc="http://schemas.openxmlformats.org/markup-compatibility/2006">
          <mc:Choice Requires="x14">
            <control shapeId="1087" r:id="rId11" name="Button 63">
              <controlPr defaultSize="0" print="0" autoFill="0" autoPict="0" macro="[0]!GenerateJSON.GenerateJSON">
                <anchor>
                  <from>
                    <xdr:col>46</xdr:col>
                    <xdr:colOff>180975</xdr:colOff>
                    <xdr:row>7</xdr:row>
                    <xdr:rowOff>247650</xdr:rowOff>
                  </from>
                  <to>
                    <xdr:col>49</xdr:col>
                    <xdr:colOff>219075</xdr:colOff>
                    <xdr:row>8</xdr:row>
                    <xdr:rowOff>95250</xdr:rowOff>
                  </to>
                </anchor>
              </controlPr>
            </control>
          </mc:Choice>
        </mc:AlternateContent>
        <mc:AlternateContent xmlns:mc="http://schemas.openxmlformats.org/markup-compatibility/2006">
          <mc:Choice Requires="x14">
            <control shapeId="1092" r:id="rId12" name="Button 68">
              <controlPr defaultSize="0" print="0" autoFill="0" autoPict="0" macro="[0]!ImportPrefill.ImportPrefill">
                <anchor>
                  <from>
                    <xdr:col>46</xdr:col>
                    <xdr:colOff>171450</xdr:colOff>
                    <xdr:row>9</xdr:row>
                    <xdr:rowOff>285750</xdr:rowOff>
                  </from>
                  <to>
                    <xdr:col>49</xdr:col>
                    <xdr:colOff>209550</xdr:colOff>
                    <xdr:row>11</xdr:row>
                    <xdr:rowOff>19050</xdr:rowOff>
                  </to>
                </anchor>
              </controlPr>
            </control>
          </mc:Choice>
        </mc:AlternateContent>
        <mc:AlternateContent xmlns:mc="http://schemas.openxmlformats.org/markup-compatibility/2006">
          <mc:Choice Requires="x14">
            <control shapeId="1093" r:id="rId13" name="Button 69">
              <controlPr defaultSize="0" print="0" autoFill="0" autoPict="0" macro="[0]!ImportJSON.ImportJSON">
                <anchor>
                  <from>
                    <xdr:col>46</xdr:col>
                    <xdr:colOff>180975</xdr:colOff>
                    <xdr:row>8</xdr:row>
                    <xdr:rowOff>133350</xdr:rowOff>
                  </from>
                  <to>
                    <xdr:col>49</xdr:col>
                    <xdr:colOff>219075</xdr:colOff>
                    <xdr:row>9</xdr:row>
                    <xdr:rowOff>247650</xdr:rowOff>
                  </to>
                </anchor>
              </controlPr>
            </control>
          </mc:Choice>
        </mc:AlternateContent>
        <mc:AlternateContent xmlns:mc="http://schemas.openxmlformats.org/markup-compatibility/2006">
          <mc:Choice Requires="x14">
            <control shapeId="1208" r:id="rId14" name="Button 184">
              <controlPr defaultSize="0" print="0" autoFill="0" autoPict="0" macro="[0]!calculateTax">
                <anchor>
                  <from>
                    <xdr:col>46</xdr:col>
                    <xdr:colOff>180975</xdr:colOff>
                    <xdr:row>6</xdr:row>
                    <xdr:rowOff>133350</xdr:rowOff>
                  </from>
                  <to>
                    <xdr:col>49</xdr:col>
                    <xdr:colOff>219075</xdr:colOff>
                    <xdr:row>7</xdr:row>
                    <xdr:rowOff>219075</xdr:rowOff>
                  </to>
                </anchor>
              </controlPr>
            </control>
          </mc:Choice>
        </mc:AlternateContent>
        <mc:AlternateContent xmlns:mc="http://schemas.openxmlformats.org/markup-compatibility/2006">
          <mc:Choice Requires="x14">
            <control shapeId="1425" r:id="rId15" name="Button 401">
              <controlPr defaultSize="0" print="0" autoFill="0" autoPict="0" macro="[0]!AddBlockAuditDetails_Click">
                <anchor moveWithCells="1" sizeWithCells="1">
                  <from>
                    <xdr:col>4</xdr:col>
                    <xdr:colOff>19050</xdr:colOff>
                    <xdr:row>115</xdr:row>
                    <xdr:rowOff>19050</xdr:rowOff>
                  </from>
                  <to>
                    <xdr:col>13</xdr:col>
                    <xdr:colOff>76200</xdr:colOff>
                    <xdr:row>116</xdr:row>
                    <xdr:rowOff>142875</xdr:rowOff>
                  </to>
                </anchor>
              </controlPr>
            </control>
          </mc:Choice>
        </mc:AlternateContent>
        <mc:AlternateContent xmlns:mc="http://schemas.openxmlformats.org/markup-compatibility/2006">
          <mc:Choice Requires="x14">
            <control shapeId="1427" r:id="rId16" name="Button 403">
              <controlPr defaultSize="0" print="0" autoFill="0" autoPict="0" macro="[0]!CmdAddNRI_Click">
                <anchor moveWithCells="1">
                  <from>
                    <xdr:col>4</xdr:col>
                    <xdr:colOff>38100</xdr:colOff>
                    <xdr:row>33</xdr:row>
                    <xdr:rowOff>38100</xdr:rowOff>
                  </from>
                  <to>
                    <xdr:col>5</xdr:col>
                    <xdr:colOff>981075</xdr:colOff>
                    <xdr:row>33</xdr:row>
                    <xdr:rowOff>323850</xdr:rowOff>
                  </to>
                </anchor>
              </controlPr>
            </control>
          </mc:Choice>
        </mc:AlternateContent>
        <mc:AlternateContent xmlns:mc="http://schemas.openxmlformats.org/markup-compatibility/2006">
          <mc:Choice Requires="x14">
            <control shapeId="1439" r:id="rId17" name="Button 415">
              <controlPr defaultSize="0" print="0" autoFill="0" autoPict="0" macro="[0]!CmdAddComp_Click">
                <anchor moveWithCells="1">
                  <from>
                    <xdr:col>4</xdr:col>
                    <xdr:colOff>66675</xdr:colOff>
                    <xdr:row>62</xdr:row>
                    <xdr:rowOff>38100</xdr:rowOff>
                  </from>
                  <to>
                    <xdr:col>5</xdr:col>
                    <xdr:colOff>1009650</xdr:colOff>
                    <xdr:row>62</xdr:row>
                    <xdr:rowOff>323850</xdr:rowOff>
                  </to>
                </anchor>
              </controlPr>
            </control>
          </mc:Choice>
        </mc:AlternateContent>
        <mc:AlternateContent xmlns:mc="http://schemas.openxmlformats.org/markup-compatibility/2006">
          <mc:Choice Requires="x14">
            <control shapeId="1444" r:id="rId18" name="Button 420">
              <controlPr defaultSize="0" print="0" autoFill="0" autoPict="0" macro="[0]!CmdAddshare_Click">
                <anchor moveWithCells="1">
                  <from>
                    <xdr:col>4</xdr:col>
                    <xdr:colOff>38100</xdr:colOff>
                    <xdr:row>74</xdr:row>
                    <xdr:rowOff>38100</xdr:rowOff>
                  </from>
                  <to>
                    <xdr:col>5</xdr:col>
                    <xdr:colOff>981075</xdr:colOff>
                    <xdr:row>74</xdr:row>
                    <xdr:rowOff>323850</xdr:rowOff>
                  </to>
                </anchor>
              </controlPr>
            </control>
          </mc:Choice>
        </mc:AlternateContent>
        <mc:AlternateContent xmlns:mc="http://schemas.openxmlformats.org/markup-compatibility/2006">
          <mc:Choice Requires="x14">
            <control shapeId="1458" r:id="rId19" name="Button 434">
              <controlPr defaultSize="0" print="0" autoFill="0" autoPict="0" macro="[0]!CmdAddFirm_Click">
                <anchor moveWithCells="1">
                  <from>
                    <xdr:col>4</xdr:col>
                    <xdr:colOff>38100</xdr:colOff>
                    <xdr:row>67</xdr:row>
                    <xdr:rowOff>38100</xdr:rowOff>
                  </from>
                  <to>
                    <xdr:col>5</xdr:col>
                    <xdr:colOff>981075</xdr:colOff>
                    <xdr:row>67</xdr:row>
                    <xdr:rowOff>323850</xdr:rowOff>
                  </to>
                </anchor>
              </controlPr>
            </control>
          </mc:Choice>
        </mc:AlternateContent>
        <mc:AlternateContent xmlns:mc="http://schemas.openxmlformats.org/markup-compatibility/2006">
          <mc:Choice Requires="x14">
            <control shapeId="1475" r:id="rId20" name="Option Button 451">
              <controlPr defaultSize="0" autoFill="0" autoLine="0" autoPict="0" macro="[0]!FilingSectRadioButton.RadioButton1_Click">
                <anchor moveWithCells="1">
                  <from>
                    <xdr:col>5</xdr:col>
                    <xdr:colOff>400050</xdr:colOff>
                    <xdr:row>18</xdr:row>
                    <xdr:rowOff>9525</xdr:rowOff>
                  </from>
                  <to>
                    <xdr:col>13</xdr:col>
                    <xdr:colOff>438150</xdr:colOff>
                    <xdr:row>19</xdr:row>
                    <xdr:rowOff>19050</xdr:rowOff>
                  </to>
                </anchor>
              </controlPr>
            </control>
          </mc:Choice>
        </mc:AlternateContent>
        <mc:AlternateContent xmlns:mc="http://schemas.openxmlformats.org/markup-compatibility/2006">
          <mc:Choice Requires="x14">
            <control shapeId="1476" r:id="rId21" name="Option Button 452">
              <controlPr defaultSize="0" autoFill="0" autoLine="0" autoPict="0" macro="[0]!FilingSectRadioButton.RadioButton2_Click">
                <anchor moveWithCells="1">
                  <from>
                    <xdr:col>13</xdr:col>
                    <xdr:colOff>971550</xdr:colOff>
                    <xdr:row>18</xdr:row>
                    <xdr:rowOff>0</xdr:rowOff>
                  </from>
                  <to>
                    <xdr:col>13</xdr:col>
                    <xdr:colOff>1219200</xdr:colOff>
                    <xdr:row>18</xdr:row>
                    <xdr:rowOff>200025</xdr:rowOff>
                  </to>
                </anchor>
              </controlPr>
            </control>
          </mc:Choice>
        </mc:AlternateContent>
        <mc:AlternateContent xmlns:mc="http://schemas.openxmlformats.org/markup-compatibility/2006">
          <mc:Choice Requires="x14">
            <control shapeId="1627" r:id="rId22" name="Group Box 603">
              <controlPr defaultSize="0" autoFill="0" autoPict="0">
                <anchor moveWithCells="1">
                  <from>
                    <xdr:col>36</xdr:col>
                    <xdr:colOff>28575</xdr:colOff>
                    <xdr:row>36</xdr:row>
                    <xdr:rowOff>0</xdr:rowOff>
                  </from>
                  <to>
                    <xdr:col>45</xdr:col>
                    <xdr:colOff>438150</xdr:colOff>
                    <xdr:row>36</xdr:row>
                    <xdr:rowOff>333375</xdr:rowOff>
                  </to>
                </anchor>
              </controlPr>
            </control>
          </mc:Choice>
        </mc:AlternateContent>
        <mc:AlternateContent xmlns:mc="http://schemas.openxmlformats.org/markup-compatibility/2006">
          <mc:Choice Requires="x14">
            <control shapeId="1633" r:id="rId23" name="Group Box 609">
              <controlPr defaultSize="0" autoFill="0" autoPict="0">
                <anchor moveWithCells="1">
                  <from>
                    <xdr:col>36</xdr:col>
                    <xdr:colOff>133350</xdr:colOff>
                    <xdr:row>33</xdr:row>
                    <xdr:rowOff>38100</xdr:rowOff>
                  </from>
                  <to>
                    <xdr:col>45</xdr:col>
                    <xdr:colOff>361950</xdr:colOff>
                    <xdr:row>33</xdr:row>
                    <xdr:rowOff>419100</xdr:rowOff>
                  </to>
                </anchor>
              </controlPr>
            </control>
          </mc:Choice>
        </mc:AlternateContent>
        <mc:AlternateContent xmlns:mc="http://schemas.openxmlformats.org/markup-compatibility/2006">
          <mc:Choice Requires="x14">
            <control shapeId="1634" r:id="rId24" name="BacYes">
              <controlPr defaultSize="0" autoFill="0" autoLine="0" autoPict="0" macro="[0]!BacYesValueChange">
                <anchor moveWithCells="1">
                  <from>
                    <xdr:col>36</xdr:col>
                    <xdr:colOff>333375</xdr:colOff>
                    <xdr:row>33</xdr:row>
                    <xdr:rowOff>114300</xdr:rowOff>
                  </from>
                  <to>
                    <xdr:col>38</xdr:col>
                    <xdr:colOff>66675</xdr:colOff>
                    <xdr:row>33</xdr:row>
                    <xdr:rowOff>333375</xdr:rowOff>
                  </to>
                </anchor>
              </controlPr>
            </control>
          </mc:Choice>
        </mc:AlternateContent>
        <mc:AlternateContent xmlns:mc="http://schemas.openxmlformats.org/markup-compatibility/2006">
          <mc:Choice Requires="x14">
            <control shapeId="1635" r:id="rId25" name="BacNo">
              <controlPr defaultSize="0" autoFill="0" autoLine="0" autoPict="0" macro="[0]!BacNoValueChange">
                <anchor moveWithCells="1">
                  <from>
                    <xdr:col>41</xdr:col>
                    <xdr:colOff>19050</xdr:colOff>
                    <xdr:row>33</xdr:row>
                    <xdr:rowOff>114300</xdr:rowOff>
                  </from>
                  <to>
                    <xdr:col>45</xdr:col>
                    <xdr:colOff>133350</xdr:colOff>
                    <xdr:row>33</xdr:row>
                    <xdr:rowOff>400050</xdr:rowOff>
                  </to>
                </anchor>
              </controlPr>
            </control>
          </mc:Choice>
        </mc:AlternateContent>
        <mc:AlternateContent xmlns:mc="http://schemas.openxmlformats.org/markup-compatibility/2006">
          <mc:Choice Requires="x14">
            <control shapeId="1637" r:id="rId26" name="Button 613">
              <controlPr defaultSize="0" print="0" autoFill="0" autoPict="0" macro="[0]!CmdAddNRI_Click">
                <anchor moveWithCells="1">
                  <from>
                    <xdr:col>4</xdr:col>
                    <xdr:colOff>66675</xdr:colOff>
                    <xdr:row>28</xdr:row>
                    <xdr:rowOff>38100</xdr:rowOff>
                  </from>
                  <to>
                    <xdr:col>5</xdr:col>
                    <xdr:colOff>1009650</xdr:colOff>
                    <xdr:row>33</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65536"/>
  <sheetViews>
    <sheetView showGridLines="0" showRowColHeaders="0" workbookViewId="0">
      <selection activeCell="E5" sqref="E5"/>
    </sheetView>
  </sheetViews>
  <sheetFormatPr defaultColWidth="0" defaultRowHeight="12.75" zeroHeight="1" x14ac:dyDescent="0.2"/>
  <cols>
    <col min="1" max="1" width="3.140625" style="113" customWidth="1"/>
    <col min="2" max="2" width="3.5703125" style="113" customWidth="1"/>
    <col min="3" max="3" width="3.85546875" style="113" customWidth="1"/>
    <col min="4" max="4" width="16.42578125" style="113" customWidth="1"/>
    <col min="5" max="5" width="60.85546875" style="113" customWidth="1"/>
    <col min="6" max="6" width="18.140625" style="113" customWidth="1"/>
    <col min="7" max="7" width="25.85546875" style="113" customWidth="1"/>
    <col min="8" max="8" width="17.28515625" style="113" customWidth="1"/>
    <col min="9" max="9" width="4.28515625" style="113" customWidth="1"/>
    <col min="10" max="10" width="24" style="113" customWidth="1"/>
    <col min="11" max="11" width="6.7109375" style="113" hidden="1" customWidth="1"/>
    <col min="12" max="16384" width="9.140625" style="113" hidden="1"/>
  </cols>
  <sheetData>
    <row r="1" spans="1:17" ht="13.5" thickBot="1" x14ac:dyDescent="0.25"/>
    <row r="2" spans="1:17" x14ac:dyDescent="0.2">
      <c r="B2" s="1130"/>
      <c r="C2" s="1131"/>
      <c r="D2" s="1131"/>
      <c r="E2" s="1131"/>
      <c r="F2" s="1131"/>
      <c r="G2" s="1131"/>
      <c r="H2" s="1131"/>
      <c r="I2" s="1132"/>
    </row>
    <row r="3" spans="1:17" ht="32.25" customHeight="1" x14ac:dyDescent="0.2">
      <c r="B3" s="1121"/>
      <c r="C3" s="2986" t="s">
        <v>278</v>
      </c>
      <c r="D3" s="2983" t="s">
        <v>9574</v>
      </c>
      <c r="E3" s="2984"/>
      <c r="F3" s="2984"/>
      <c r="G3" s="2984"/>
      <c r="H3" s="76"/>
      <c r="I3" s="1136"/>
      <c r="J3" s="117"/>
      <c r="K3" s="117"/>
      <c r="L3" s="136">
        <f>SUMIF(N5:N7,"A",O5:O7)</f>
        <v>0</v>
      </c>
      <c r="M3" s="136">
        <f>SUMIF(N5:N7,"B",O5:O7)</f>
        <v>0</v>
      </c>
      <c r="N3" s="137" t="str">
        <f>IF(OR(MID(sheet1.LiableSec44ABflg,1,1)="(",MID(sheet1.LiableSec44ABflg,1,1)=""),"NA",MID(sheet1.LiableSec44ABflg,1,1))</f>
        <v>NA</v>
      </c>
      <c r="O3" s="138">
        <f>sheet11.Section44AD</f>
        <v>0</v>
      </c>
      <c r="P3" s="139" t="e">
        <f>PL.BusinessReceipts+PLCrEx.TotExciseCustomsVAT+PL.GrossReceipt</f>
        <v>#NAME?</v>
      </c>
      <c r="Q3" s="140" t="e">
        <f>PL.GrossReceipts+PL.GrossReceipt_ii</f>
        <v>#NAME?</v>
      </c>
    </row>
    <row r="4" spans="1:17" ht="45.75" customHeight="1" x14ac:dyDescent="0.2">
      <c r="B4" s="1121"/>
      <c r="C4" s="2986"/>
      <c r="D4" s="2183" t="s">
        <v>8280</v>
      </c>
      <c r="E4" s="2189" t="s">
        <v>11814</v>
      </c>
      <c r="F4" s="2179" t="s">
        <v>279</v>
      </c>
      <c r="G4" s="2191" t="s">
        <v>8409</v>
      </c>
      <c r="H4" s="2192"/>
      <c r="I4" s="1136"/>
      <c r="J4" s="117"/>
      <c r="K4" s="118"/>
      <c r="O4" s="142">
        <f>IF(AND(N3="N",M3&gt;=1),IF(AND(O3&gt;0,P3&lt;=20000000),1,IF(AND(O3&gt;0,P3&gt;20000000),2,IF(AND(OR(O3=0,O3=""),P3&lt;=10000000),3,IF(AND(OR(O3=0,O3=""),P3&gt;10000000),4,5)))),0)</f>
        <v>0</v>
      </c>
      <c r="P4" s="143">
        <f>IF(AND(L3&gt;=1, N3="N"),IF(AND(Q3&lt;=5000000),1,2),0)</f>
        <v>0</v>
      </c>
    </row>
    <row r="5" spans="1:17" s="148" customFormat="1" x14ac:dyDescent="0.2">
      <c r="A5" s="113"/>
      <c r="B5" s="1121"/>
      <c r="C5" s="2986"/>
      <c r="D5" s="2180">
        <v>1</v>
      </c>
      <c r="E5" s="2185"/>
      <c r="F5" s="2182"/>
      <c r="G5" s="2181"/>
      <c r="H5" s="2430"/>
      <c r="I5" s="1143"/>
      <c r="J5" s="146"/>
      <c r="K5" s="2431"/>
      <c r="M5" s="379" t="e">
        <f>MID(E5,1,SEARCH("-",E5)-1)</f>
        <v>#VALUE!</v>
      </c>
      <c r="N5" s="2432">
        <f>IF(ISERROR(IF(OR(M5="0601",M5="0602",M5="0603",M5="0604",M5="0605",M5="0606",M5="0607"),"A","B")),0,IF(OR(M5="0601",M5="0602",M5="0603",M5="0604",M5="0605",M5="0606",M5="0607"),"A","B"))</f>
        <v>0</v>
      </c>
      <c r="O5" s="379">
        <v>1</v>
      </c>
    </row>
    <row r="6" spans="1:17" s="148" customFormat="1" x14ac:dyDescent="0.2">
      <c r="A6" s="113"/>
      <c r="B6" s="1121"/>
      <c r="C6" s="2986"/>
      <c r="D6" s="2188">
        <f>D5+1</f>
        <v>2</v>
      </c>
      <c r="E6" s="2185"/>
      <c r="F6" s="2182"/>
      <c r="G6" s="2181"/>
      <c r="H6" s="2430"/>
      <c r="I6" s="1143"/>
      <c r="J6" s="146"/>
      <c r="K6" s="2433"/>
      <c r="M6" s="379" t="e">
        <f>MID(E6,1,SEARCH("-",E6)-1)</f>
        <v>#VALUE!</v>
      </c>
      <c r="N6" s="2432">
        <f>IF(ISERROR(IF(OR(M6="0601",M6="0602",M6="0603",M6="0604",M6="0605",M6="0606",M6="0607"),"A","B")),0,IF(OR(M6="0601",M6="0602",M6="0603",M6="0604",M6="0605",M6="0606",M6="0607"),"A","B"))</f>
        <v>0</v>
      </c>
      <c r="O6" s="379">
        <v>1</v>
      </c>
    </row>
    <row r="7" spans="1:17" s="148" customFormat="1" x14ac:dyDescent="0.2">
      <c r="A7" s="113"/>
      <c r="B7" s="1121"/>
      <c r="C7" s="2986"/>
      <c r="D7" s="2188">
        <f>D6+1</f>
        <v>3</v>
      </c>
      <c r="E7" s="2185"/>
      <c r="F7" s="2182"/>
      <c r="G7" s="2181"/>
      <c r="H7" s="2430"/>
      <c r="I7" s="1143"/>
      <c r="J7" s="146"/>
      <c r="K7" s="147" t="s">
        <v>8</v>
      </c>
      <c r="M7" s="379" t="e">
        <f>MID(E7,1,SEARCH("-",E7)-1)</f>
        <v>#VALUE!</v>
      </c>
      <c r="N7" s="2432">
        <f>IF(ISERROR(IF(OR(M7="0601",M7="0602",M7="0603",M7="0604",M7="0605",M7="0606",M7="0607"),"A","B")),0,IF(OR(M7="0601",M7="0602",M7="0603",M7="0604",M7="0605",M7="0606",M7="0607"),"A","B"))</f>
        <v>0</v>
      </c>
      <c r="O7" s="379">
        <v>1</v>
      </c>
    </row>
    <row r="8" spans="1:17" s="873" customFormat="1" x14ac:dyDescent="0.2">
      <c r="A8" s="113"/>
      <c r="B8" s="1121"/>
      <c r="C8" s="2986"/>
      <c r="D8" s="2987"/>
      <c r="E8" s="2988"/>
      <c r="F8" s="2988"/>
      <c r="G8" s="2989"/>
      <c r="H8" s="2438"/>
      <c r="I8" s="2434"/>
      <c r="J8" s="2435"/>
      <c r="K8" s="2436"/>
      <c r="M8" s="899"/>
      <c r="N8" s="2437"/>
      <c r="O8" s="899"/>
    </row>
    <row r="9" spans="1:17" s="873" customFormat="1" ht="24.6" customHeight="1" x14ac:dyDescent="0.2">
      <c r="A9" s="113"/>
      <c r="B9" s="1121"/>
      <c r="C9" s="2986"/>
      <c r="D9" s="2985"/>
      <c r="E9" s="2985"/>
      <c r="F9" s="2985"/>
      <c r="G9" s="2985"/>
      <c r="H9" s="2438"/>
      <c r="I9" s="2434"/>
      <c r="J9" s="2435"/>
      <c r="K9" s="2436"/>
      <c r="M9" s="899"/>
      <c r="N9" s="2437"/>
      <c r="O9" s="899"/>
    </row>
    <row r="10" spans="1:17" ht="13.5" thickBot="1" x14ac:dyDescent="0.25">
      <c r="B10" s="1141"/>
      <c r="C10" s="1138"/>
      <c r="D10" s="1138"/>
      <c r="E10" s="1138"/>
      <c r="F10" s="1138"/>
      <c r="G10" s="1138"/>
      <c r="H10" s="1165"/>
      <c r="I10" s="1139"/>
      <c r="J10" s="117"/>
      <c r="K10" s="120"/>
    </row>
    <row r="11" spans="1:17" s="148" customFormat="1" ht="18" customHeight="1" x14ac:dyDescent="0.2">
      <c r="C11" s="146"/>
      <c r="D11" s="146"/>
      <c r="E11" s="146"/>
      <c r="F11" s="146"/>
      <c r="G11" s="146"/>
      <c r="H11" s="146"/>
      <c r="I11" s="146"/>
      <c r="J11" s="146"/>
      <c r="K11" s="147"/>
    </row>
    <row r="12" spans="1:17" hidden="1" x14ac:dyDescent="0.2">
      <c r="K12" s="149"/>
    </row>
    <row r="13" spans="1:17" hidden="1" x14ac:dyDescent="0.2">
      <c r="K13" s="149"/>
    </row>
    <row r="14" spans="1:17" hidden="1" x14ac:dyDescent="0.2">
      <c r="K14" s="149"/>
    </row>
    <row r="15" spans="1:17" hidden="1" x14ac:dyDescent="0.2">
      <c r="K15" s="149"/>
    </row>
    <row r="16" spans="1:17" x14ac:dyDescent="0.2"/>
    <row r="17" x14ac:dyDescent="0.2"/>
    <row r="31" x14ac:dyDescent="0.2"/>
    <row r="32" x14ac:dyDescent="0.2"/>
    <row r="33" x14ac:dyDescent="0.2"/>
    <row r="48" x14ac:dyDescent="0.2"/>
    <row r="49" x14ac:dyDescent="0.2"/>
    <row r="65" x14ac:dyDescent="0.2"/>
    <row r="81" x14ac:dyDescent="0.2"/>
    <row r="97" x14ac:dyDescent="0.2"/>
    <row r="113" x14ac:dyDescent="0.2"/>
    <row r="129" x14ac:dyDescent="0.2"/>
    <row r="65393" x14ac:dyDescent="0.2"/>
    <row r="65409" x14ac:dyDescent="0.2"/>
    <row r="65425" x14ac:dyDescent="0.2"/>
    <row r="65441" x14ac:dyDescent="0.2"/>
    <row r="65457" x14ac:dyDescent="0.2"/>
    <row r="65473" x14ac:dyDescent="0.2"/>
    <row r="65488" x14ac:dyDescent="0.2"/>
    <row r="65489" x14ac:dyDescent="0.2"/>
    <row r="65504" x14ac:dyDescent="0.2"/>
    <row r="65505" x14ac:dyDescent="0.2"/>
    <row r="65519" x14ac:dyDescent="0.2"/>
    <row r="65520" x14ac:dyDescent="0.2"/>
    <row r="65521" x14ac:dyDescent="0.2"/>
    <row r="65522"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algorithmName="SHA-512" hashValue="1EdmWk8Xkam1sMFUbJ88TLjGZ3DHlQYh8irLK4YJfi+Z2A1VJxoMwPswGHpVPJ+OCBUPS7KnInIH5cew84UEzg==" saltValue="q8WneD4rELE46VJV7oNj6w==" spinCount="100000" sheet="1" objects="1" scenarios="1"/>
  <dataConsolidate/>
  <mergeCells count="4">
    <mergeCell ref="D3:G3"/>
    <mergeCell ref="D9:G9"/>
    <mergeCell ref="C3:C9"/>
    <mergeCell ref="D8:G8"/>
  </mergeCells>
  <dataValidations count="2">
    <dataValidation type="textLength" operator="lessThanOrEqual" allowBlank="1" showErrorMessage="1" errorTitle="TradeNameOrDescription" error="TradeNameOrDescription  should not exceed 125 characters " sqref="H5:H9 F5:G7">
      <formula1>125</formula1>
    </dataValidation>
    <dataValidation type="list" allowBlank="1" showInputMessage="1" showErrorMessage="1" errorTitle="Code " error="Please select from the list" sqref="E5:E7">
      <formula1>Nature_of_Business</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4101" r:id="rId5" name="Button 5">
              <controlPr defaultSize="0" print="0" autoFill="0" autoPict="0" macro="[0]!CmdValidate_NOB_Click">
                <anchor>
                  <from>
                    <xdr:col>9</xdr:col>
                    <xdr:colOff>104775</xdr:colOff>
                    <xdr:row>2</xdr:row>
                    <xdr:rowOff>76200</xdr:rowOff>
                  </from>
                  <to>
                    <xdr:col>9</xdr:col>
                    <xdr:colOff>1476375</xdr:colOff>
                    <xdr:row>2</xdr:row>
                    <xdr:rowOff>361950</xdr:rowOff>
                  </to>
                </anchor>
              </controlPr>
            </control>
          </mc:Choice>
        </mc:AlternateContent>
        <mc:AlternateContent xmlns:mc="http://schemas.openxmlformats.org/markup-compatibility/2006">
          <mc:Choice Requires="x14">
            <control shapeId="4105" r:id="rId6" name="Button 9">
              <controlPr defaultSize="0" print="0" autoFill="0" autoPict="0" macro="[0]!Prev_Sheet">
                <anchor>
                  <from>
                    <xdr:col>9</xdr:col>
                    <xdr:colOff>104775</xdr:colOff>
                    <xdr:row>3</xdr:row>
                    <xdr:rowOff>228600</xdr:rowOff>
                  </from>
                  <to>
                    <xdr:col>9</xdr:col>
                    <xdr:colOff>1476375</xdr:colOff>
                    <xdr:row>3</xdr:row>
                    <xdr:rowOff>514350</xdr:rowOff>
                  </to>
                </anchor>
              </controlPr>
            </control>
          </mc:Choice>
        </mc:AlternateContent>
        <mc:AlternateContent xmlns:mc="http://schemas.openxmlformats.org/markup-compatibility/2006">
          <mc:Choice Requires="x14">
            <control shapeId="4106" r:id="rId7" name="Button 10">
              <controlPr defaultSize="0" print="0" autoFill="0" autoPict="0" macro="[0]!Img_Home_Click">
                <anchor>
                  <from>
                    <xdr:col>9</xdr:col>
                    <xdr:colOff>104775</xdr:colOff>
                    <xdr:row>0</xdr:row>
                    <xdr:rowOff>133350</xdr:rowOff>
                  </from>
                  <to>
                    <xdr:col>9</xdr:col>
                    <xdr:colOff>1476375</xdr:colOff>
                    <xdr:row>2</xdr:row>
                    <xdr:rowOff>66675</xdr:rowOff>
                  </to>
                </anchor>
              </controlPr>
            </control>
          </mc:Choice>
        </mc:AlternateContent>
        <mc:AlternateContent xmlns:mc="http://schemas.openxmlformats.org/markup-compatibility/2006">
          <mc:Choice Requires="x14">
            <control shapeId="4108" r:id="rId8" name="Button 12">
              <controlPr defaultSize="0" print="0" autoFill="0" autoPict="0" macro="[0]!Next_Sheet">
                <anchor>
                  <from>
                    <xdr:col>9</xdr:col>
                    <xdr:colOff>104775</xdr:colOff>
                    <xdr:row>2</xdr:row>
                    <xdr:rowOff>361950</xdr:rowOff>
                  </from>
                  <to>
                    <xdr:col>9</xdr:col>
                    <xdr:colOff>1476375</xdr:colOff>
                    <xdr:row>3</xdr:row>
                    <xdr:rowOff>228600</xdr:rowOff>
                  </to>
                </anchor>
              </controlPr>
            </control>
          </mc:Choice>
        </mc:AlternateContent>
        <mc:AlternateContent xmlns:mc="http://schemas.openxmlformats.org/markup-compatibility/2006">
          <mc:Choice Requires="x14">
            <control shapeId="4109" r:id="rId9" name="Button 13">
              <controlPr defaultSize="0" print="0" autoFill="0" autoPict="0" macro="[0]!Instruction_Sheet">
                <anchor>
                  <from>
                    <xdr:col>9</xdr:col>
                    <xdr:colOff>104775</xdr:colOff>
                    <xdr:row>7</xdr:row>
                    <xdr:rowOff>19050</xdr:rowOff>
                  </from>
                  <to>
                    <xdr:col>9</xdr:col>
                    <xdr:colOff>1476375</xdr:colOff>
                    <xdr:row>8</xdr:row>
                    <xdr:rowOff>133350</xdr:rowOff>
                  </to>
                </anchor>
              </controlPr>
            </control>
          </mc:Choice>
        </mc:AlternateContent>
        <mc:AlternateContent xmlns:mc="http://schemas.openxmlformats.org/markup-compatibility/2006">
          <mc:Choice Requires="x14">
            <control shapeId="4110" r:id="rId10" name="Button 14">
              <controlPr defaultSize="0" print="0" autoFill="0" autoPict="0" macro="[0]!WorksheetsPrint">
                <anchor>
                  <from>
                    <xdr:col>9</xdr:col>
                    <xdr:colOff>104775</xdr:colOff>
                    <xdr:row>5</xdr:row>
                    <xdr:rowOff>57150</xdr:rowOff>
                  </from>
                  <to>
                    <xdr:col>9</xdr:col>
                    <xdr:colOff>1476375</xdr:colOff>
                    <xdr:row>7</xdr:row>
                    <xdr:rowOff>19050</xdr:rowOff>
                  </to>
                </anchor>
              </controlPr>
            </control>
          </mc:Choice>
        </mc:AlternateContent>
        <mc:AlternateContent xmlns:mc="http://schemas.openxmlformats.org/markup-compatibility/2006">
          <mc:Choice Requires="x14">
            <control shapeId="4111" r:id="rId11" name="Button 15">
              <controlPr defaultSize="0" print="0" autoFill="0" autoPict="0" macro="[0]!GenerateJSON.GenerateJSON">
                <anchor>
                  <from>
                    <xdr:col>9</xdr:col>
                    <xdr:colOff>104775</xdr:colOff>
                    <xdr:row>3</xdr:row>
                    <xdr:rowOff>514350</xdr:rowOff>
                  </from>
                  <to>
                    <xdr:col>9</xdr:col>
                    <xdr:colOff>1476375</xdr:colOff>
                    <xdr:row>5</xdr:row>
                    <xdr:rowOff>57150</xdr:rowOff>
                  </to>
                </anchor>
              </controlPr>
            </control>
          </mc:Choice>
        </mc:AlternateContent>
        <mc:AlternateContent xmlns:mc="http://schemas.openxmlformats.org/markup-compatibility/2006">
          <mc:Choice Requires="x14">
            <control shapeId="4128" r:id="rId12" name="Button 32">
              <controlPr defaultSize="0" print="0" autoFill="0" autoPict="0" macro="[0]!AddRows_NatureOfBusiness">
                <anchor moveWithCells="1" sizeWithCells="1">
                  <from>
                    <xdr:col>3</xdr:col>
                    <xdr:colOff>114300</xdr:colOff>
                    <xdr:row>8</xdr:row>
                    <xdr:rowOff>38100</xdr:rowOff>
                  </from>
                  <to>
                    <xdr:col>4</xdr:col>
                    <xdr:colOff>133350</xdr:colOff>
                    <xdr:row>8</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93"/>
  <sheetViews>
    <sheetView showGridLines="0" showRowColHeaders="0" zoomScaleNormal="100" workbookViewId="0">
      <selection activeCell="G10" sqref="G10:H10"/>
    </sheetView>
  </sheetViews>
  <sheetFormatPr defaultColWidth="0" defaultRowHeight="12.75" zeroHeight="1" x14ac:dyDescent="0.2"/>
  <cols>
    <col min="1" max="1" width="3" style="113" customWidth="1"/>
    <col min="2" max="2" width="3.42578125" style="113" customWidth="1"/>
    <col min="3" max="3" width="4.5703125" style="113" customWidth="1"/>
    <col min="4" max="4" width="3.28515625" style="113" customWidth="1"/>
    <col min="5" max="5" width="4.140625" style="116" customWidth="1"/>
    <col min="6" max="6" width="4.5703125" style="113" customWidth="1"/>
    <col min="7" max="7" width="9.140625" style="113" customWidth="1"/>
    <col min="8" max="8" width="26.42578125" style="113" customWidth="1"/>
    <col min="9" max="9" width="3.85546875" style="113" customWidth="1"/>
    <col min="10" max="10" width="17.5703125" style="113" customWidth="1"/>
    <col min="11" max="11" width="4.28515625" style="113" customWidth="1"/>
    <col min="12" max="12" width="17.85546875" style="113" customWidth="1"/>
    <col min="13" max="13" width="4" style="117" customWidth="1"/>
    <col min="14" max="14" width="23.5703125" style="113" customWidth="1"/>
    <col min="15" max="15" width="9.140625" style="113" hidden="1" customWidth="1"/>
    <col min="16" max="16" width="18.140625" style="113" hidden="1" customWidth="1"/>
    <col min="17" max="16384" width="9.140625" style="113" hidden="1"/>
  </cols>
  <sheetData>
    <row r="1" spans="2:14" ht="13.5" thickBot="1" x14ac:dyDescent="0.25"/>
    <row r="2" spans="2:14" x14ac:dyDescent="0.2">
      <c r="B2" s="1130"/>
      <c r="C2" s="1131"/>
      <c r="D2" s="1131"/>
      <c r="E2" s="1142"/>
      <c r="F2" s="1131"/>
      <c r="G2" s="1131"/>
      <c r="H2" s="1131"/>
      <c r="I2" s="1131"/>
      <c r="J2" s="1131"/>
      <c r="K2" s="1131"/>
      <c r="L2" s="1131"/>
      <c r="M2" s="1140"/>
    </row>
    <row r="3" spans="2:14" ht="51.75" customHeight="1" x14ac:dyDescent="0.2">
      <c r="B3" s="1121"/>
      <c r="C3" s="3029" t="s">
        <v>282</v>
      </c>
      <c r="D3" s="3030"/>
      <c r="E3" s="3031"/>
      <c r="F3" s="2993" t="s">
        <v>13234</v>
      </c>
      <c r="G3" s="2994"/>
      <c r="H3" s="2994"/>
      <c r="I3" s="2994"/>
      <c r="J3" s="2994"/>
      <c r="K3" s="3022"/>
      <c r="L3" s="2995"/>
      <c r="M3" s="1136"/>
    </row>
    <row r="4" spans="2:14" ht="14.25" customHeight="1" x14ac:dyDescent="0.2">
      <c r="B4" s="1121"/>
      <c r="C4" s="3042" t="s">
        <v>283</v>
      </c>
      <c r="D4" s="2990">
        <v>1</v>
      </c>
      <c r="E4" s="2995" t="s">
        <v>284</v>
      </c>
      <c r="F4" s="2999"/>
      <c r="G4" s="2999"/>
      <c r="H4" s="2999"/>
      <c r="I4" s="2999"/>
      <c r="J4" s="2993"/>
      <c r="K4" s="151"/>
      <c r="L4" s="152"/>
      <c r="M4" s="1136"/>
    </row>
    <row r="5" spans="2:14" ht="14.25" customHeight="1" x14ac:dyDescent="0.2">
      <c r="B5" s="1121"/>
      <c r="C5" s="3013"/>
      <c r="D5" s="2991"/>
      <c r="E5" s="154" t="s">
        <v>27</v>
      </c>
      <c r="F5" s="2999" t="s">
        <v>285</v>
      </c>
      <c r="G5" s="2999"/>
      <c r="H5" s="2999"/>
      <c r="I5" s="2999"/>
      <c r="J5" s="2999"/>
      <c r="K5" s="1375" t="s">
        <v>27</v>
      </c>
      <c r="L5" s="1373"/>
      <c r="M5" s="1136"/>
    </row>
    <row r="6" spans="2:14" ht="14.25" customHeight="1" x14ac:dyDescent="0.2">
      <c r="B6" s="1121"/>
      <c r="C6" s="3013"/>
      <c r="D6" s="2991"/>
      <c r="E6" s="3038" t="s">
        <v>28</v>
      </c>
      <c r="F6" s="2994" t="s">
        <v>286</v>
      </c>
      <c r="G6" s="2994"/>
      <c r="H6" s="2995"/>
      <c r="I6" s="112"/>
      <c r="J6" s="156"/>
      <c r="K6" s="3032"/>
      <c r="L6" s="3033"/>
      <c r="M6" s="1136"/>
    </row>
    <row r="7" spans="2:14" ht="13.5" customHeight="1" x14ac:dyDescent="0.2">
      <c r="B7" s="1121"/>
      <c r="C7" s="3013"/>
      <c r="D7" s="2991"/>
      <c r="E7" s="3039"/>
      <c r="F7" s="456" t="s">
        <v>287</v>
      </c>
      <c r="G7" s="2999" t="s">
        <v>288</v>
      </c>
      <c r="H7" s="2999"/>
      <c r="I7" s="28" t="s">
        <v>289</v>
      </c>
      <c r="J7" s="1372"/>
      <c r="K7" s="3034"/>
      <c r="L7" s="3035"/>
      <c r="M7" s="1136"/>
      <c r="N7" s="159"/>
    </row>
    <row r="8" spans="2:14" ht="12.75" customHeight="1" x14ac:dyDescent="0.2">
      <c r="B8" s="1121"/>
      <c r="C8" s="3013"/>
      <c r="D8" s="2991"/>
      <c r="E8" s="3039"/>
      <c r="F8" s="456" t="s">
        <v>290</v>
      </c>
      <c r="G8" s="3041" t="s">
        <v>291</v>
      </c>
      <c r="H8" s="3041"/>
      <c r="I8" s="28" t="s">
        <v>292</v>
      </c>
      <c r="J8" s="1372"/>
      <c r="K8" s="3034"/>
      <c r="L8" s="3035"/>
      <c r="M8" s="1136"/>
      <c r="N8" s="133"/>
    </row>
    <row r="9" spans="2:14" ht="12.75" customHeight="1" x14ac:dyDescent="0.2">
      <c r="B9" s="1121"/>
      <c r="C9" s="3013"/>
      <c r="D9" s="2991"/>
      <c r="E9" s="3039"/>
      <c r="F9" s="456" t="s">
        <v>293</v>
      </c>
      <c r="G9" s="3041" t="s">
        <v>294</v>
      </c>
      <c r="H9" s="3041"/>
      <c r="I9" s="28" t="s">
        <v>295</v>
      </c>
      <c r="J9" s="1372"/>
      <c r="K9" s="3034"/>
      <c r="L9" s="3035"/>
      <c r="M9" s="1136"/>
      <c r="N9" s="160"/>
    </row>
    <row r="10" spans="2:14" ht="12.75" customHeight="1" x14ac:dyDescent="0.2">
      <c r="B10" s="1121"/>
      <c r="C10" s="3013"/>
      <c r="D10" s="2991"/>
      <c r="E10" s="3039"/>
      <c r="F10" s="456" t="s">
        <v>296</v>
      </c>
      <c r="G10" s="3003" t="s">
        <v>297</v>
      </c>
      <c r="H10" s="3003"/>
      <c r="I10" s="28" t="s">
        <v>298</v>
      </c>
      <c r="J10" s="1372"/>
      <c r="K10" s="3036"/>
      <c r="L10" s="3037"/>
      <c r="M10" s="1136"/>
      <c r="N10" s="149" t="s">
        <v>8</v>
      </c>
    </row>
    <row r="11" spans="2:14" ht="15" customHeight="1" x14ac:dyDescent="0.2">
      <c r="B11" s="1121"/>
      <c r="C11" s="3013"/>
      <c r="D11" s="2991"/>
      <c r="E11" s="3040"/>
      <c r="F11" s="1371" t="s">
        <v>299</v>
      </c>
      <c r="G11" s="3004" t="s">
        <v>300</v>
      </c>
      <c r="H11" s="3005"/>
      <c r="I11" s="3005"/>
      <c r="J11" s="3008"/>
      <c r="K11" s="1382" t="s">
        <v>301</v>
      </c>
      <c r="L11" s="1374">
        <f>SUM(J7,J8,J9,J10)</f>
        <v>0</v>
      </c>
      <c r="M11" s="1136"/>
      <c r="N11" s="149"/>
    </row>
    <row r="12" spans="2:14" ht="15" customHeight="1" x14ac:dyDescent="0.2">
      <c r="B12" s="1121"/>
      <c r="C12" s="3013"/>
      <c r="D12" s="2992"/>
      <c r="E12" s="163" t="s">
        <v>29</v>
      </c>
      <c r="F12" s="3004" t="s">
        <v>302</v>
      </c>
      <c r="G12" s="3005"/>
      <c r="H12" s="3005"/>
      <c r="I12" s="3005"/>
      <c r="J12" s="3008"/>
      <c r="K12" s="254" t="s">
        <v>303</v>
      </c>
      <c r="L12" s="729">
        <f>SUM(L5,L11)</f>
        <v>0</v>
      </c>
      <c r="M12" s="1143"/>
      <c r="N12" s="165"/>
    </row>
    <row r="13" spans="2:14" ht="12" customHeight="1" x14ac:dyDescent="0.2">
      <c r="B13" s="1121"/>
      <c r="C13" s="3013"/>
      <c r="D13" s="2990">
        <v>2</v>
      </c>
      <c r="E13" s="2999" t="s">
        <v>304</v>
      </c>
      <c r="F13" s="2999"/>
      <c r="G13" s="2999"/>
      <c r="H13" s="2999"/>
      <c r="I13" s="2999"/>
      <c r="J13" s="2999"/>
      <c r="K13" s="166"/>
      <c r="L13" s="167"/>
      <c r="M13" s="1136"/>
    </row>
    <row r="14" spans="2:14" ht="12" customHeight="1" x14ac:dyDescent="0.2">
      <c r="B14" s="1121"/>
      <c r="C14" s="3013"/>
      <c r="D14" s="2991"/>
      <c r="E14" s="150" t="s">
        <v>27</v>
      </c>
      <c r="F14" s="2999" t="s">
        <v>305</v>
      </c>
      <c r="G14" s="2999"/>
      <c r="H14" s="2999"/>
      <c r="I14" s="2999"/>
      <c r="J14" s="2999"/>
      <c r="K14" s="168"/>
      <c r="L14" s="169"/>
      <c r="M14" s="1136"/>
    </row>
    <row r="15" spans="2:14" ht="13.5" customHeight="1" x14ac:dyDescent="0.2">
      <c r="B15" s="1121"/>
      <c r="C15" s="3013"/>
      <c r="D15" s="2991"/>
      <c r="E15" s="153"/>
      <c r="F15" s="158" t="s">
        <v>287</v>
      </c>
      <c r="G15" s="2999" t="s">
        <v>306</v>
      </c>
      <c r="H15" s="2999"/>
      <c r="I15" s="158" t="s">
        <v>307</v>
      </c>
      <c r="J15" s="391"/>
      <c r="K15" s="168"/>
      <c r="L15" s="169"/>
      <c r="M15" s="1136"/>
    </row>
    <row r="16" spans="2:14" ht="12.75" customHeight="1" x14ac:dyDescent="0.2">
      <c r="B16" s="1121"/>
      <c r="C16" s="3013"/>
      <c r="D16" s="2991"/>
      <c r="E16" s="153"/>
      <c r="F16" s="2990" t="s">
        <v>290</v>
      </c>
      <c r="G16" s="2999" t="s">
        <v>308</v>
      </c>
      <c r="H16" s="2999"/>
      <c r="I16" s="2999"/>
      <c r="J16" s="2999"/>
      <c r="K16" s="168"/>
      <c r="L16" s="169"/>
      <c r="M16" s="1136"/>
    </row>
    <row r="17" spans="2:13" ht="12" customHeight="1" x14ac:dyDescent="0.2">
      <c r="B17" s="1121"/>
      <c r="C17" s="3013"/>
      <c r="D17" s="2991"/>
      <c r="E17" s="153"/>
      <c r="F17" s="2991"/>
      <c r="G17" s="28" t="s">
        <v>309</v>
      </c>
      <c r="H17" s="170" t="s">
        <v>310</v>
      </c>
      <c r="I17" s="158" t="s">
        <v>311</v>
      </c>
      <c r="J17" s="391"/>
      <c r="K17" s="168"/>
      <c r="L17" s="169"/>
      <c r="M17" s="1136"/>
    </row>
    <row r="18" spans="2:13" ht="11.25" customHeight="1" x14ac:dyDescent="0.2">
      <c r="B18" s="1121"/>
      <c r="C18" s="3013"/>
      <c r="D18" s="2991"/>
      <c r="E18" s="153"/>
      <c r="F18" s="2991"/>
      <c r="G18" s="28" t="s">
        <v>312</v>
      </c>
      <c r="H18" s="170" t="s">
        <v>313</v>
      </c>
      <c r="I18" s="158" t="s">
        <v>314</v>
      </c>
      <c r="J18" s="391"/>
      <c r="K18" s="168"/>
      <c r="L18" s="169"/>
      <c r="M18" s="1136"/>
    </row>
    <row r="19" spans="2:13" ht="12.75" customHeight="1" x14ac:dyDescent="0.2">
      <c r="B19" s="1121"/>
      <c r="C19" s="3013"/>
      <c r="D19" s="2991"/>
      <c r="E19" s="153"/>
      <c r="F19" s="2992"/>
      <c r="G19" s="254" t="s">
        <v>315</v>
      </c>
      <c r="H19" s="171" t="s">
        <v>316</v>
      </c>
      <c r="I19" s="162" t="s">
        <v>317</v>
      </c>
      <c r="J19" s="729">
        <f>SUM(J17,J18)</f>
        <v>0</v>
      </c>
      <c r="K19" s="172"/>
      <c r="L19" s="173"/>
      <c r="M19" s="1136"/>
    </row>
    <row r="20" spans="2:13" ht="12.75" customHeight="1" x14ac:dyDescent="0.2">
      <c r="B20" s="1121"/>
      <c r="C20" s="3013"/>
      <c r="D20" s="2991"/>
      <c r="E20" s="164"/>
      <c r="F20" s="162" t="s">
        <v>293</v>
      </c>
      <c r="G20" s="3004" t="s">
        <v>7336</v>
      </c>
      <c r="H20" s="3008"/>
      <c r="I20" s="162"/>
      <c r="J20" s="174"/>
      <c r="K20" s="1383" t="s">
        <v>318</v>
      </c>
      <c r="L20" s="729">
        <f>SUM(J15,J19)</f>
        <v>0</v>
      </c>
      <c r="M20" s="1136"/>
    </row>
    <row r="21" spans="2:13" ht="12" customHeight="1" x14ac:dyDescent="0.2">
      <c r="B21" s="1121"/>
      <c r="C21" s="3013"/>
      <c r="D21" s="2991"/>
      <c r="E21" s="2990" t="s">
        <v>28</v>
      </c>
      <c r="F21" s="2999" t="s">
        <v>319</v>
      </c>
      <c r="G21" s="2999"/>
      <c r="H21" s="2999"/>
      <c r="I21" s="2999"/>
      <c r="J21" s="2999"/>
      <c r="K21" s="166"/>
      <c r="L21" s="167"/>
      <c r="M21" s="1136"/>
    </row>
    <row r="22" spans="2:13" ht="12.75" customHeight="1" x14ac:dyDescent="0.2">
      <c r="B22" s="1121"/>
      <c r="C22" s="3013"/>
      <c r="D22" s="2991"/>
      <c r="E22" s="2991"/>
      <c r="F22" s="28" t="s">
        <v>287</v>
      </c>
      <c r="G22" s="2993" t="s">
        <v>310</v>
      </c>
      <c r="H22" s="2995"/>
      <c r="I22" s="28" t="s">
        <v>289</v>
      </c>
      <c r="J22" s="391"/>
      <c r="K22" s="168"/>
      <c r="L22" s="169"/>
      <c r="M22" s="1136"/>
    </row>
    <row r="23" spans="2:13" ht="12.75" customHeight="1" x14ac:dyDescent="0.2">
      <c r="B23" s="1121"/>
      <c r="C23" s="3013"/>
      <c r="D23" s="2991"/>
      <c r="E23" s="2991"/>
      <c r="F23" s="28" t="s">
        <v>290</v>
      </c>
      <c r="G23" s="2993" t="s">
        <v>313</v>
      </c>
      <c r="H23" s="2995"/>
      <c r="I23" s="28" t="s">
        <v>292</v>
      </c>
      <c r="J23" s="391"/>
      <c r="K23" s="172"/>
      <c r="L23" s="173"/>
      <c r="M23" s="1136"/>
    </row>
    <row r="24" spans="2:13" ht="12.75" customHeight="1" x14ac:dyDescent="0.2">
      <c r="B24" s="1121"/>
      <c r="C24" s="3013"/>
      <c r="D24" s="2991"/>
      <c r="E24" s="2992"/>
      <c r="F24" s="254" t="s">
        <v>293</v>
      </c>
      <c r="G24" s="3004" t="s">
        <v>320</v>
      </c>
      <c r="H24" s="3005"/>
      <c r="I24" s="3005"/>
      <c r="J24" s="3008"/>
      <c r="K24" s="254" t="s">
        <v>295</v>
      </c>
      <c r="L24" s="729">
        <f>SUM(J22,J23)</f>
        <v>0</v>
      </c>
      <c r="M24" s="1136"/>
    </row>
    <row r="25" spans="2:13" ht="11.25" customHeight="1" x14ac:dyDescent="0.2">
      <c r="B25" s="1121"/>
      <c r="C25" s="3013"/>
      <c r="D25" s="2992"/>
      <c r="E25" s="162" t="s">
        <v>29</v>
      </c>
      <c r="F25" s="3004" t="s">
        <v>321</v>
      </c>
      <c r="G25" s="3005"/>
      <c r="H25" s="3005"/>
      <c r="I25" s="3005"/>
      <c r="J25" s="3008"/>
      <c r="K25" s="254" t="s">
        <v>322</v>
      </c>
      <c r="L25" s="729">
        <f>SUM(L20,L24)</f>
        <v>0</v>
      </c>
      <c r="M25" s="1136"/>
    </row>
    <row r="26" spans="2:13" ht="12" customHeight="1" x14ac:dyDescent="0.2">
      <c r="B26" s="1121"/>
      <c r="C26" s="3013"/>
      <c r="D26" s="28">
        <v>3</v>
      </c>
      <c r="E26" s="2993" t="s">
        <v>323</v>
      </c>
      <c r="F26" s="2994"/>
      <c r="G26" s="2994"/>
      <c r="H26" s="2994"/>
      <c r="I26" s="2994"/>
      <c r="J26" s="2995"/>
      <c r="K26" s="28">
        <v>3</v>
      </c>
      <c r="L26" s="391"/>
      <c r="M26" s="1136"/>
    </row>
    <row r="27" spans="2:13" ht="12.75" customHeight="1" x14ac:dyDescent="0.2">
      <c r="B27" s="1121"/>
      <c r="C27" s="3014"/>
      <c r="D27" s="269">
        <v>4</v>
      </c>
      <c r="E27" s="3001" t="s">
        <v>324</v>
      </c>
      <c r="F27" s="3001"/>
      <c r="G27" s="3001"/>
      <c r="H27" s="3001"/>
      <c r="I27" s="3001"/>
      <c r="J27" s="3001"/>
      <c r="K27" s="162">
        <v>4</v>
      </c>
      <c r="L27" s="729">
        <f>SUM(L12,L25,L26)</f>
        <v>0</v>
      </c>
      <c r="M27" s="1136"/>
    </row>
    <row r="28" spans="2:13" ht="12" customHeight="1" x14ac:dyDescent="0.2">
      <c r="B28" s="1121"/>
      <c r="C28" s="3042" t="s">
        <v>325</v>
      </c>
      <c r="D28" s="2990">
        <v>1</v>
      </c>
      <c r="E28" s="2995" t="s">
        <v>326</v>
      </c>
      <c r="F28" s="2999"/>
      <c r="G28" s="2999"/>
      <c r="H28" s="2999"/>
      <c r="I28" s="2999"/>
      <c r="J28" s="2999"/>
      <c r="K28" s="1384"/>
      <c r="L28" s="167"/>
      <c r="M28" s="1136"/>
    </row>
    <row r="29" spans="2:13" ht="11.25" customHeight="1" x14ac:dyDescent="0.2">
      <c r="B29" s="1121"/>
      <c r="C29" s="3013"/>
      <c r="D29" s="2991"/>
      <c r="E29" s="456" t="s">
        <v>27</v>
      </c>
      <c r="F29" s="2999" t="s">
        <v>327</v>
      </c>
      <c r="G29" s="2999"/>
      <c r="H29" s="2999"/>
      <c r="I29" s="158" t="s">
        <v>328</v>
      </c>
      <c r="J29" s="391"/>
      <c r="K29" s="168"/>
      <c r="L29" s="169"/>
      <c r="M29" s="1136"/>
    </row>
    <row r="30" spans="2:13" ht="12.75" customHeight="1" x14ac:dyDescent="0.2">
      <c r="B30" s="1121"/>
      <c r="C30" s="3013"/>
      <c r="D30" s="2991"/>
      <c r="E30" s="456" t="s">
        <v>28</v>
      </c>
      <c r="F30" s="2999" t="s">
        <v>329</v>
      </c>
      <c r="G30" s="2999"/>
      <c r="H30" s="2999"/>
      <c r="I30" s="158" t="s">
        <v>330</v>
      </c>
      <c r="J30" s="391"/>
      <c r="K30" s="168"/>
      <c r="L30" s="169"/>
      <c r="M30" s="1136"/>
    </row>
    <row r="31" spans="2:13" ht="12.75" customHeight="1" x14ac:dyDescent="0.2">
      <c r="B31" s="1121"/>
      <c r="C31" s="3013"/>
      <c r="D31" s="2991"/>
      <c r="E31" s="296" t="s">
        <v>29</v>
      </c>
      <c r="F31" s="3001" t="s">
        <v>12989</v>
      </c>
      <c r="G31" s="3001"/>
      <c r="H31" s="3001"/>
      <c r="I31" s="162" t="s">
        <v>303</v>
      </c>
      <c r="J31" s="729">
        <f>MAX(0,(sheet2.GrossBlock-sheet2.Depreciation))</f>
        <v>0</v>
      </c>
      <c r="K31" s="168"/>
      <c r="L31" s="169"/>
      <c r="M31" s="1136"/>
    </row>
    <row r="32" spans="2:13" ht="13.5" customHeight="1" x14ac:dyDescent="0.2">
      <c r="B32" s="1121"/>
      <c r="C32" s="3013"/>
      <c r="D32" s="2991"/>
      <c r="E32" s="456" t="s">
        <v>36</v>
      </c>
      <c r="F32" s="3003" t="s">
        <v>331</v>
      </c>
      <c r="G32" s="3003"/>
      <c r="H32" s="3003"/>
      <c r="I32" s="177" t="s">
        <v>332</v>
      </c>
      <c r="J32" s="1373"/>
      <c r="K32" s="172"/>
      <c r="L32" s="173"/>
      <c r="M32" s="1136"/>
    </row>
    <row r="33" spans="2:13" ht="12" customHeight="1" x14ac:dyDescent="0.2">
      <c r="B33" s="1121"/>
      <c r="C33" s="3013"/>
      <c r="D33" s="2992"/>
      <c r="E33" s="1376" t="s">
        <v>38</v>
      </c>
      <c r="F33" s="3004" t="s">
        <v>333</v>
      </c>
      <c r="G33" s="3005"/>
      <c r="H33" s="3005"/>
      <c r="I33" s="161"/>
      <c r="J33" s="178"/>
      <c r="K33" s="296" t="s">
        <v>334</v>
      </c>
      <c r="L33" s="729">
        <f>SUM(J31,J32)</f>
        <v>0</v>
      </c>
      <c r="M33" s="1136"/>
    </row>
    <row r="34" spans="2:13" ht="12" customHeight="1" x14ac:dyDescent="0.2">
      <c r="B34" s="1121"/>
      <c r="C34" s="3013"/>
      <c r="D34" s="2990">
        <v>2</v>
      </c>
      <c r="E34" s="2993" t="s">
        <v>335</v>
      </c>
      <c r="F34" s="3006"/>
      <c r="G34" s="3006"/>
      <c r="H34" s="179"/>
      <c r="I34" s="180"/>
      <c r="J34" s="181"/>
      <c r="K34" s="182"/>
      <c r="L34" s="183"/>
      <c r="M34" s="1136"/>
    </row>
    <row r="35" spans="2:13" x14ac:dyDescent="0.2">
      <c r="B35" s="1121"/>
      <c r="C35" s="3013"/>
      <c r="D35" s="2991"/>
      <c r="E35" s="153" t="s">
        <v>27</v>
      </c>
      <c r="F35" s="3007" t="s">
        <v>336</v>
      </c>
      <c r="G35" s="3007"/>
      <c r="H35" s="3007"/>
      <c r="I35" s="3007"/>
      <c r="J35" s="3007"/>
      <c r="K35" s="168"/>
      <c r="L35" s="169"/>
      <c r="M35" s="1136"/>
    </row>
    <row r="36" spans="2:13" ht="24" customHeight="1" x14ac:dyDescent="0.2">
      <c r="B36" s="1121"/>
      <c r="C36" s="3013"/>
      <c r="D36" s="2991"/>
      <c r="E36" s="153"/>
      <c r="F36" s="158" t="s">
        <v>287</v>
      </c>
      <c r="G36" s="2999" t="s">
        <v>337</v>
      </c>
      <c r="H36" s="2999"/>
      <c r="I36" s="158" t="s">
        <v>307</v>
      </c>
      <c r="J36" s="391"/>
      <c r="K36" s="168"/>
      <c r="L36" s="169"/>
      <c r="M36" s="1136"/>
    </row>
    <row r="37" spans="2:13" ht="22.5" customHeight="1" x14ac:dyDescent="0.2">
      <c r="B37" s="1121"/>
      <c r="C37" s="3013"/>
      <c r="D37" s="2991"/>
      <c r="E37" s="153"/>
      <c r="F37" s="158" t="s">
        <v>290</v>
      </c>
      <c r="G37" s="2999" t="s">
        <v>338</v>
      </c>
      <c r="H37" s="2999"/>
      <c r="I37" s="158" t="s">
        <v>339</v>
      </c>
      <c r="J37" s="391"/>
      <c r="K37" s="172"/>
      <c r="L37" s="173"/>
      <c r="M37" s="1136"/>
    </row>
    <row r="38" spans="2:13" ht="12.75" customHeight="1" x14ac:dyDescent="0.2">
      <c r="B38" s="1121"/>
      <c r="C38" s="3013"/>
      <c r="D38" s="2991"/>
      <c r="E38" s="164"/>
      <c r="F38" s="162" t="s">
        <v>293</v>
      </c>
      <c r="G38" s="3001" t="s">
        <v>340</v>
      </c>
      <c r="H38" s="3001"/>
      <c r="I38" s="3001"/>
      <c r="J38" s="3001"/>
      <c r="K38" s="296" t="s">
        <v>318</v>
      </c>
      <c r="L38" s="729">
        <f>SUM(J36,J37)</f>
        <v>0</v>
      </c>
      <c r="M38" s="1136"/>
    </row>
    <row r="39" spans="2:13" ht="12" customHeight="1" x14ac:dyDescent="0.2">
      <c r="B39" s="1121"/>
      <c r="C39" s="3013"/>
      <c r="D39" s="2991"/>
      <c r="E39" s="155" t="s">
        <v>28</v>
      </c>
      <c r="F39" s="2999" t="s">
        <v>341</v>
      </c>
      <c r="G39" s="2999"/>
      <c r="H39" s="2999"/>
      <c r="I39" s="2999"/>
      <c r="J39" s="2999"/>
      <c r="K39" s="184"/>
      <c r="L39" s="183"/>
      <c r="M39" s="1136"/>
    </row>
    <row r="40" spans="2:13" ht="24.75" customHeight="1" x14ac:dyDescent="0.2">
      <c r="B40" s="1121"/>
      <c r="C40" s="3013"/>
      <c r="D40" s="2991"/>
      <c r="E40" s="155"/>
      <c r="F40" s="16" t="s">
        <v>287</v>
      </c>
      <c r="G40" s="2999" t="s">
        <v>7335</v>
      </c>
      <c r="H40" s="2999"/>
      <c r="I40" s="158" t="s">
        <v>289</v>
      </c>
      <c r="J40" s="391"/>
      <c r="K40" s="168"/>
      <c r="L40" s="169"/>
      <c r="M40" s="1136"/>
    </row>
    <row r="41" spans="2:13" ht="12.75" customHeight="1" x14ac:dyDescent="0.2">
      <c r="B41" s="1121"/>
      <c r="C41" s="3013"/>
      <c r="D41" s="2991"/>
      <c r="E41" s="155"/>
      <c r="F41" s="158" t="s">
        <v>290</v>
      </c>
      <c r="G41" s="2999" t="s">
        <v>342</v>
      </c>
      <c r="H41" s="2999"/>
      <c r="I41" s="158" t="s">
        <v>292</v>
      </c>
      <c r="J41" s="391"/>
      <c r="K41" s="168"/>
      <c r="L41" s="169"/>
      <c r="M41" s="1136"/>
    </row>
    <row r="42" spans="2:13" ht="12" customHeight="1" x14ac:dyDescent="0.2">
      <c r="B42" s="1121"/>
      <c r="C42" s="3013"/>
      <c r="D42" s="2991"/>
      <c r="E42" s="155"/>
      <c r="F42" s="158" t="s">
        <v>293</v>
      </c>
      <c r="G42" s="2999" t="s">
        <v>343</v>
      </c>
      <c r="H42" s="2999"/>
      <c r="I42" s="158" t="s">
        <v>295</v>
      </c>
      <c r="J42" s="391"/>
      <c r="K42" s="172"/>
      <c r="L42" s="173"/>
      <c r="M42" s="1136"/>
    </row>
    <row r="43" spans="2:13" ht="12" customHeight="1" x14ac:dyDescent="0.2">
      <c r="B43" s="1121"/>
      <c r="C43" s="3013"/>
      <c r="D43" s="2991"/>
      <c r="E43" s="155"/>
      <c r="F43" s="162" t="s">
        <v>296</v>
      </c>
      <c r="G43" s="3001" t="s">
        <v>344</v>
      </c>
      <c r="H43" s="3001"/>
      <c r="I43" s="3001"/>
      <c r="J43" s="3001"/>
      <c r="K43" s="1385" t="s">
        <v>298</v>
      </c>
      <c r="L43" s="729">
        <f>SUM(J40,J41,J42)</f>
        <v>0</v>
      </c>
      <c r="M43" s="1136"/>
    </row>
    <row r="44" spans="2:13" ht="12.75" customHeight="1" x14ac:dyDescent="0.2">
      <c r="B44" s="1121"/>
      <c r="C44" s="3013"/>
      <c r="D44" s="2992"/>
      <c r="E44" s="162" t="s">
        <v>29</v>
      </c>
      <c r="F44" s="3001" t="s">
        <v>345</v>
      </c>
      <c r="G44" s="3001"/>
      <c r="H44" s="3001"/>
      <c r="I44" s="3001"/>
      <c r="J44" s="3001"/>
      <c r="K44" s="296" t="s">
        <v>322</v>
      </c>
      <c r="L44" s="729">
        <f>SUM(L38,L43)</f>
        <v>0</v>
      </c>
      <c r="M44" s="1136"/>
    </row>
    <row r="45" spans="2:13" ht="12" customHeight="1" x14ac:dyDescent="0.2">
      <c r="B45" s="1121"/>
      <c r="C45" s="3013"/>
      <c r="D45" s="2990">
        <v>3</v>
      </c>
      <c r="E45" s="2995" t="s">
        <v>346</v>
      </c>
      <c r="F45" s="2999"/>
      <c r="G45" s="2999"/>
      <c r="H45" s="2999"/>
      <c r="I45" s="2999"/>
      <c r="J45" s="2999"/>
      <c r="K45" s="166"/>
      <c r="L45" s="167"/>
      <c r="M45" s="1136"/>
    </row>
    <row r="46" spans="2:13" ht="11.25" customHeight="1" x14ac:dyDescent="0.2">
      <c r="B46" s="1121"/>
      <c r="C46" s="3013"/>
      <c r="D46" s="2991"/>
      <c r="E46" s="157" t="s">
        <v>27</v>
      </c>
      <c r="F46" s="2999" t="s">
        <v>347</v>
      </c>
      <c r="G46" s="2999"/>
      <c r="H46" s="2999"/>
      <c r="I46" s="2999"/>
      <c r="J46" s="2999"/>
      <c r="K46" s="168"/>
      <c r="L46" s="169"/>
      <c r="M46" s="1136"/>
    </row>
    <row r="47" spans="2:13" ht="11.25" customHeight="1" x14ac:dyDescent="0.2">
      <c r="B47" s="1121"/>
      <c r="C47" s="3013"/>
      <c r="D47" s="2991"/>
      <c r="E47" s="3002"/>
      <c r="F47" s="158" t="s">
        <v>287</v>
      </c>
      <c r="G47" s="2999" t="s">
        <v>348</v>
      </c>
      <c r="H47" s="2999"/>
      <c r="I47" s="158"/>
      <c r="J47" s="174"/>
      <c r="K47" s="168"/>
      <c r="L47" s="169"/>
      <c r="M47" s="1136"/>
    </row>
    <row r="48" spans="2:13" ht="26.25" customHeight="1" x14ac:dyDescent="0.2">
      <c r="B48" s="1121"/>
      <c r="C48" s="3013"/>
      <c r="D48" s="2991"/>
      <c r="E48" s="3002"/>
      <c r="F48" s="3000"/>
      <c r="G48" s="28" t="s">
        <v>309</v>
      </c>
      <c r="H48" s="732" t="s">
        <v>349</v>
      </c>
      <c r="I48" s="28" t="s">
        <v>350</v>
      </c>
      <c r="J48" s="391"/>
      <c r="K48" s="168"/>
      <c r="L48" s="169"/>
      <c r="M48" s="1136"/>
    </row>
    <row r="49" spans="2:13" ht="12.75" customHeight="1" x14ac:dyDescent="0.2">
      <c r="B49" s="1121"/>
      <c r="C49" s="3013"/>
      <c r="D49" s="2991"/>
      <c r="E49" s="3002"/>
      <c r="F49" s="3000"/>
      <c r="G49" s="28" t="s">
        <v>312</v>
      </c>
      <c r="H49" s="732" t="s">
        <v>351</v>
      </c>
      <c r="I49" s="28" t="s">
        <v>352</v>
      </c>
      <c r="J49" s="391"/>
      <c r="K49" s="168"/>
      <c r="L49" s="169"/>
      <c r="M49" s="1136"/>
    </row>
    <row r="50" spans="2:13" ht="15.75" customHeight="1" x14ac:dyDescent="0.2">
      <c r="B50" s="1121"/>
      <c r="C50" s="3013"/>
      <c r="D50" s="2991"/>
      <c r="E50" s="3002"/>
      <c r="F50" s="3000"/>
      <c r="G50" s="28" t="s">
        <v>315</v>
      </c>
      <c r="H50" s="732" t="s">
        <v>353</v>
      </c>
      <c r="I50" s="28" t="s">
        <v>354</v>
      </c>
      <c r="J50" s="391"/>
      <c r="K50" s="168"/>
      <c r="L50" s="169"/>
      <c r="M50" s="1136"/>
    </row>
    <row r="51" spans="2:13" ht="26.25" customHeight="1" x14ac:dyDescent="0.2">
      <c r="B51" s="1121"/>
      <c r="C51" s="3013"/>
      <c r="D51" s="2991"/>
      <c r="E51" s="3002"/>
      <c r="F51" s="3000"/>
      <c r="G51" s="28" t="s">
        <v>355</v>
      </c>
      <c r="H51" s="732" t="s">
        <v>356</v>
      </c>
      <c r="I51" s="28" t="s">
        <v>357</v>
      </c>
      <c r="J51" s="391"/>
      <c r="K51" s="172"/>
      <c r="L51" s="173"/>
      <c r="M51" s="1136"/>
    </row>
    <row r="52" spans="2:13" ht="12.75" customHeight="1" x14ac:dyDescent="0.2">
      <c r="B52" s="1121"/>
      <c r="C52" s="3013"/>
      <c r="D52" s="2991"/>
      <c r="E52" s="3002"/>
      <c r="F52" s="3000"/>
      <c r="G52" s="254" t="s">
        <v>358</v>
      </c>
      <c r="H52" s="3001" t="s">
        <v>359</v>
      </c>
      <c r="I52" s="3001"/>
      <c r="J52" s="3001"/>
      <c r="K52" s="296" t="s">
        <v>360</v>
      </c>
      <c r="L52" s="729">
        <f>SUM(J48,J49,J50,J51)</f>
        <v>0</v>
      </c>
      <c r="M52" s="1136"/>
    </row>
    <row r="53" spans="2:13" ht="13.5" customHeight="1" x14ac:dyDescent="0.2">
      <c r="B53" s="1121"/>
      <c r="C53" s="3013"/>
      <c r="D53" s="2991"/>
      <c r="E53" s="3002"/>
      <c r="F53" s="158" t="s">
        <v>290</v>
      </c>
      <c r="G53" s="2993" t="s">
        <v>361</v>
      </c>
      <c r="H53" s="2994"/>
      <c r="I53" s="2994"/>
      <c r="J53" s="2995"/>
      <c r="K53" s="362" t="s">
        <v>339</v>
      </c>
      <c r="L53" s="391"/>
      <c r="M53" s="1136"/>
    </row>
    <row r="54" spans="2:13" ht="12.75" customHeight="1" x14ac:dyDescent="0.2">
      <c r="B54" s="1121"/>
      <c r="C54" s="3013"/>
      <c r="D54" s="2991"/>
      <c r="E54" s="3002"/>
      <c r="F54" s="158" t="s">
        <v>293</v>
      </c>
      <c r="G54" s="2996" t="s">
        <v>362</v>
      </c>
      <c r="H54" s="2997"/>
      <c r="I54" s="2997"/>
      <c r="J54" s="2998"/>
      <c r="K54" s="166"/>
      <c r="L54" s="167"/>
      <c r="M54" s="1136"/>
    </row>
    <row r="55" spans="2:13" ht="12" customHeight="1" x14ac:dyDescent="0.2">
      <c r="B55" s="1121"/>
      <c r="C55" s="3013"/>
      <c r="D55" s="2991"/>
      <c r="E55" s="3002"/>
      <c r="F55" s="3000"/>
      <c r="G55" s="1379" t="s">
        <v>309</v>
      </c>
      <c r="H55" s="732" t="s">
        <v>363</v>
      </c>
      <c r="I55" s="28" t="s">
        <v>364</v>
      </c>
      <c r="J55" s="391"/>
      <c r="K55" s="168"/>
      <c r="L55" s="169"/>
      <c r="M55" s="1136"/>
    </row>
    <row r="56" spans="2:13" ht="12.75" customHeight="1" x14ac:dyDescent="0.2">
      <c r="B56" s="1121"/>
      <c r="C56" s="3013"/>
      <c r="D56" s="2991"/>
      <c r="E56" s="3002"/>
      <c r="F56" s="3000"/>
      <c r="G56" s="1379" t="s">
        <v>312</v>
      </c>
      <c r="H56" s="732" t="s">
        <v>365</v>
      </c>
      <c r="I56" s="28" t="s">
        <v>366</v>
      </c>
      <c r="J56" s="391"/>
      <c r="K56" s="172"/>
      <c r="L56" s="173"/>
      <c r="M56" s="1136"/>
    </row>
    <row r="57" spans="2:13" ht="13.5" customHeight="1" x14ac:dyDescent="0.2">
      <c r="B57" s="1121"/>
      <c r="C57" s="3013"/>
      <c r="D57" s="2991"/>
      <c r="E57" s="3002"/>
      <c r="F57" s="3000"/>
      <c r="G57" s="725" t="s">
        <v>315</v>
      </c>
      <c r="H57" s="3001" t="s">
        <v>367</v>
      </c>
      <c r="I57" s="3001"/>
      <c r="J57" s="3001"/>
      <c r="K57" s="296" t="s">
        <v>368</v>
      </c>
      <c r="L57" s="729">
        <f>SUM(J55,J56)</f>
        <v>0</v>
      </c>
      <c r="M57" s="1136"/>
    </row>
    <row r="58" spans="2:13" ht="12" customHeight="1" x14ac:dyDescent="0.2">
      <c r="B58" s="1121"/>
      <c r="C58" s="3013"/>
      <c r="D58" s="2991"/>
      <c r="E58" s="3002"/>
      <c r="F58" s="158" t="s">
        <v>296</v>
      </c>
      <c r="G58" s="2999" t="s">
        <v>369</v>
      </c>
      <c r="H58" s="2999"/>
      <c r="I58" s="2999"/>
      <c r="J58" s="2999"/>
      <c r="K58" s="456" t="s">
        <v>370</v>
      </c>
      <c r="L58" s="391"/>
      <c r="M58" s="1136"/>
    </row>
    <row r="59" spans="2:13" ht="15.75" customHeight="1" x14ac:dyDescent="0.2">
      <c r="B59" s="1121"/>
      <c r="C59" s="3013"/>
      <c r="D59" s="2991"/>
      <c r="E59" s="3002"/>
      <c r="F59" s="187" t="s">
        <v>299</v>
      </c>
      <c r="G59" s="3001" t="s">
        <v>371</v>
      </c>
      <c r="H59" s="3001"/>
      <c r="I59" s="3001"/>
      <c r="J59" s="3001"/>
      <c r="K59" s="296" t="s">
        <v>372</v>
      </c>
      <c r="L59" s="729">
        <f>SUM(L52,L53,L57,L58)</f>
        <v>0</v>
      </c>
      <c r="M59" s="1136"/>
    </row>
    <row r="60" spans="2:13" x14ac:dyDescent="0.2">
      <c r="B60" s="1121"/>
      <c r="C60" s="3013"/>
      <c r="D60" s="2991"/>
      <c r="E60" s="456" t="s">
        <v>28</v>
      </c>
      <c r="F60" s="2999" t="s">
        <v>373</v>
      </c>
      <c r="G60" s="2999"/>
      <c r="H60" s="2999"/>
      <c r="I60" s="158"/>
      <c r="J60" s="1377"/>
      <c r="K60" s="166"/>
      <c r="L60" s="167"/>
      <c r="M60" s="1136"/>
    </row>
    <row r="61" spans="2:13" ht="26.25" customHeight="1" x14ac:dyDescent="0.2">
      <c r="B61" s="1121"/>
      <c r="C61" s="3013"/>
      <c r="D61" s="2991"/>
      <c r="E61" s="3002"/>
      <c r="F61" s="16" t="s">
        <v>287</v>
      </c>
      <c r="G61" s="2999" t="s">
        <v>374</v>
      </c>
      <c r="H61" s="2999"/>
      <c r="I61" s="28" t="s">
        <v>289</v>
      </c>
      <c r="J61" s="391"/>
      <c r="K61" s="168"/>
      <c r="L61" s="169"/>
      <c r="M61" s="1136"/>
    </row>
    <row r="62" spans="2:13" ht="27.75" customHeight="1" x14ac:dyDescent="0.2">
      <c r="B62" s="1121"/>
      <c r="C62" s="3013"/>
      <c r="D62" s="2991"/>
      <c r="E62" s="3002"/>
      <c r="F62" s="16" t="s">
        <v>290</v>
      </c>
      <c r="G62" s="2999" t="s">
        <v>375</v>
      </c>
      <c r="H62" s="2999"/>
      <c r="I62" s="28" t="s">
        <v>292</v>
      </c>
      <c r="J62" s="391"/>
      <c r="K62" s="168"/>
      <c r="L62" s="169"/>
      <c r="M62" s="1136"/>
    </row>
    <row r="63" spans="2:13" x14ac:dyDescent="0.2">
      <c r="B63" s="1121"/>
      <c r="C63" s="3013"/>
      <c r="D63" s="2991"/>
      <c r="E63" s="3002"/>
      <c r="F63" s="158" t="s">
        <v>293</v>
      </c>
      <c r="G63" s="2999" t="s">
        <v>376</v>
      </c>
      <c r="H63" s="2999"/>
      <c r="I63" s="28" t="s">
        <v>295</v>
      </c>
      <c r="J63" s="391"/>
      <c r="K63" s="172"/>
      <c r="L63" s="173"/>
      <c r="M63" s="1136"/>
    </row>
    <row r="64" spans="2:13" ht="12.75" customHeight="1" x14ac:dyDescent="0.2">
      <c r="B64" s="1121"/>
      <c r="C64" s="3013"/>
      <c r="D64" s="2991"/>
      <c r="E64" s="3002"/>
      <c r="F64" s="162" t="s">
        <v>296</v>
      </c>
      <c r="G64" s="3001" t="s">
        <v>344</v>
      </c>
      <c r="H64" s="3001"/>
      <c r="I64" s="3001"/>
      <c r="J64" s="3001"/>
      <c r="K64" s="296" t="s">
        <v>298</v>
      </c>
      <c r="L64" s="729">
        <f>SUM(J61,J62,J63)</f>
        <v>0</v>
      </c>
      <c r="M64" s="1136"/>
    </row>
    <row r="65" spans="2:13" ht="12" customHeight="1" x14ac:dyDescent="0.2">
      <c r="B65" s="1121"/>
      <c r="C65" s="3013"/>
      <c r="D65" s="2991"/>
      <c r="E65" s="1380" t="s">
        <v>29</v>
      </c>
      <c r="F65" s="3001" t="s">
        <v>377</v>
      </c>
      <c r="G65" s="3001"/>
      <c r="H65" s="3001"/>
      <c r="I65" s="3001"/>
      <c r="J65" s="3001"/>
      <c r="K65" s="296" t="s">
        <v>378</v>
      </c>
      <c r="L65" s="1378">
        <f>SUM(L59,L64)</f>
        <v>0</v>
      </c>
      <c r="M65" s="1136"/>
    </row>
    <row r="66" spans="2:13" ht="15" customHeight="1" x14ac:dyDescent="0.2">
      <c r="B66" s="1121"/>
      <c r="C66" s="3027"/>
      <c r="D66" s="2991"/>
      <c r="E66" s="348" t="s">
        <v>36</v>
      </c>
      <c r="F66" s="2995" t="s">
        <v>379</v>
      </c>
      <c r="G66" s="2999"/>
      <c r="H66" s="2999"/>
      <c r="I66" s="2999"/>
      <c r="J66" s="2999"/>
      <c r="K66" s="166"/>
      <c r="L66" s="167"/>
      <c r="M66" s="1136"/>
    </row>
    <row r="67" spans="2:13" x14ac:dyDescent="0.2">
      <c r="B67" s="1121"/>
      <c r="C67" s="3027"/>
      <c r="D67" s="2991"/>
      <c r="E67" s="3026"/>
      <c r="F67" s="3023" t="s">
        <v>287</v>
      </c>
      <c r="G67" s="2999" t="s">
        <v>380</v>
      </c>
      <c r="H67" s="2999"/>
      <c r="I67" s="2999"/>
      <c r="J67" s="2999"/>
      <c r="K67" s="168"/>
      <c r="L67" s="169"/>
      <c r="M67" s="1136"/>
    </row>
    <row r="68" spans="2:13" ht="13.5" customHeight="1" x14ac:dyDescent="0.2">
      <c r="B68" s="1121"/>
      <c r="C68" s="3027"/>
      <c r="D68" s="2991"/>
      <c r="E68" s="3026"/>
      <c r="F68" s="3024"/>
      <c r="G68" s="28" t="s">
        <v>309</v>
      </c>
      <c r="H68" s="732" t="s">
        <v>381</v>
      </c>
      <c r="I68" s="28" t="s">
        <v>350</v>
      </c>
      <c r="J68" s="1937"/>
      <c r="K68" s="168"/>
      <c r="L68" s="169"/>
      <c r="M68" s="1136"/>
    </row>
    <row r="69" spans="2:13" ht="12" customHeight="1" x14ac:dyDescent="0.2">
      <c r="B69" s="1121"/>
      <c r="C69" s="3027"/>
      <c r="D69" s="2991"/>
      <c r="E69" s="3026"/>
      <c r="F69" s="3024"/>
      <c r="G69" s="28" t="s">
        <v>312</v>
      </c>
      <c r="H69" s="732" t="s">
        <v>382</v>
      </c>
      <c r="I69" s="28" t="s">
        <v>352</v>
      </c>
      <c r="J69" s="1937"/>
      <c r="K69" s="168"/>
      <c r="L69" s="169"/>
      <c r="M69" s="1136"/>
    </row>
    <row r="70" spans="2:13" ht="12" customHeight="1" x14ac:dyDescent="0.2">
      <c r="B70" s="1121"/>
      <c r="C70" s="3027"/>
      <c r="D70" s="2991"/>
      <c r="E70" s="153"/>
      <c r="F70" s="3024"/>
      <c r="G70" s="456" t="s">
        <v>315</v>
      </c>
      <c r="H70" s="732" t="s">
        <v>383</v>
      </c>
      <c r="I70" s="28" t="s">
        <v>354</v>
      </c>
      <c r="J70" s="391"/>
      <c r="K70" s="168"/>
      <c r="L70" s="169"/>
      <c r="M70" s="1136"/>
    </row>
    <row r="71" spans="2:13" ht="25.5" customHeight="1" x14ac:dyDescent="0.2">
      <c r="B71" s="1121"/>
      <c r="C71" s="3027"/>
      <c r="D71" s="2991"/>
      <c r="E71" s="3026"/>
      <c r="F71" s="3024"/>
      <c r="G71" s="456" t="s">
        <v>355</v>
      </c>
      <c r="H71" s="732" t="s">
        <v>384</v>
      </c>
      <c r="I71" s="28" t="s">
        <v>357</v>
      </c>
      <c r="J71" s="391"/>
      <c r="K71" s="172"/>
      <c r="L71" s="173"/>
      <c r="M71" s="1136"/>
    </row>
    <row r="72" spans="2:13" ht="12.75" customHeight="1" x14ac:dyDescent="0.2">
      <c r="B72" s="1121"/>
      <c r="C72" s="3027"/>
      <c r="D72" s="2991"/>
      <c r="E72" s="3027"/>
      <c r="F72" s="3025"/>
      <c r="G72" s="296" t="s">
        <v>358</v>
      </c>
      <c r="H72" s="477" t="s">
        <v>359</v>
      </c>
      <c r="I72" s="190"/>
      <c r="J72" s="191"/>
      <c r="K72" s="254" t="s">
        <v>360</v>
      </c>
      <c r="L72" s="729">
        <f>SUM(J68,J69,J70,J71)</f>
        <v>0</v>
      </c>
      <c r="M72" s="1136"/>
    </row>
    <row r="73" spans="2:13" ht="12" customHeight="1" x14ac:dyDescent="0.2">
      <c r="B73" s="1121"/>
      <c r="C73" s="3027"/>
      <c r="D73" s="2991"/>
      <c r="E73" s="3027"/>
      <c r="F73" s="2990" t="s">
        <v>290</v>
      </c>
      <c r="G73" s="3022" t="s">
        <v>385</v>
      </c>
      <c r="H73" s="2995"/>
      <c r="I73" s="112"/>
      <c r="J73" s="192"/>
      <c r="K73" s="166"/>
      <c r="L73" s="167"/>
      <c r="M73" s="1136"/>
    </row>
    <row r="74" spans="2:13" ht="12.75" customHeight="1" x14ac:dyDescent="0.2">
      <c r="B74" s="1121"/>
      <c r="C74" s="3027"/>
      <c r="D74" s="2991"/>
      <c r="E74" s="3027"/>
      <c r="F74" s="2991"/>
      <c r="G74" s="28" t="s">
        <v>309</v>
      </c>
      <c r="H74" s="1340" t="s">
        <v>386</v>
      </c>
      <c r="I74" s="112" t="s">
        <v>311</v>
      </c>
      <c r="J74" s="391"/>
      <c r="K74" s="168"/>
      <c r="L74" s="169"/>
      <c r="M74" s="1136"/>
    </row>
    <row r="75" spans="2:13" ht="14.25" hidden="1" customHeight="1" x14ac:dyDescent="0.2">
      <c r="B75" s="1121"/>
      <c r="C75" s="3027"/>
      <c r="D75" s="2991"/>
      <c r="E75" s="3027"/>
      <c r="F75" s="2991"/>
      <c r="G75" s="1302" t="s">
        <v>312</v>
      </c>
      <c r="H75" s="170" t="s">
        <v>387</v>
      </c>
      <c r="I75" s="112" t="s">
        <v>314</v>
      </c>
      <c r="J75" s="4"/>
      <c r="K75" s="168"/>
      <c r="L75" s="169"/>
      <c r="M75" s="1136"/>
    </row>
    <row r="76" spans="2:13" ht="39" customHeight="1" x14ac:dyDescent="0.2">
      <c r="B76" s="1121"/>
      <c r="C76" s="3027"/>
      <c r="D76" s="2991"/>
      <c r="E76" s="3027"/>
      <c r="F76" s="2991"/>
      <c r="G76" s="456" t="s">
        <v>312</v>
      </c>
      <c r="H76" s="732" t="s">
        <v>393</v>
      </c>
      <c r="I76" s="112" t="s">
        <v>314</v>
      </c>
      <c r="J76" s="391"/>
      <c r="K76" s="168"/>
      <c r="L76" s="169"/>
      <c r="M76" s="1136"/>
    </row>
    <row r="77" spans="2:13" ht="12" customHeight="1" x14ac:dyDescent="0.2">
      <c r="B77" s="1121"/>
      <c r="C77" s="3027"/>
      <c r="D77" s="2991"/>
      <c r="E77" s="3027"/>
      <c r="F77" s="2991"/>
      <c r="G77" s="456" t="s">
        <v>315</v>
      </c>
      <c r="H77" s="732" t="s">
        <v>389</v>
      </c>
      <c r="I77" s="112" t="s">
        <v>317</v>
      </c>
      <c r="J77" s="391"/>
      <c r="K77" s="172"/>
      <c r="L77" s="173"/>
      <c r="M77" s="1136"/>
    </row>
    <row r="78" spans="2:13" ht="13.5" customHeight="1" x14ac:dyDescent="0.2">
      <c r="B78" s="1121"/>
      <c r="C78" s="3027"/>
      <c r="D78" s="2991"/>
      <c r="E78" s="3027"/>
      <c r="F78" s="2992"/>
      <c r="G78" s="296" t="s">
        <v>355</v>
      </c>
      <c r="H78" s="477" t="s">
        <v>7687</v>
      </c>
      <c r="I78" s="190"/>
      <c r="J78" s="191"/>
      <c r="K78" s="254" t="s">
        <v>388</v>
      </c>
      <c r="L78" s="729">
        <f>SUM(J74,J76,J77)</f>
        <v>0</v>
      </c>
      <c r="M78" s="1136"/>
    </row>
    <row r="79" spans="2:13" ht="11.25" customHeight="1" x14ac:dyDescent="0.2">
      <c r="B79" s="1121"/>
      <c r="C79" s="3027"/>
      <c r="D79" s="2991"/>
      <c r="E79" s="3028"/>
      <c r="F79" s="254" t="s">
        <v>293</v>
      </c>
      <c r="G79" s="3004" t="s">
        <v>7688</v>
      </c>
      <c r="H79" s="3008"/>
      <c r="I79" s="190"/>
      <c r="J79" s="191"/>
      <c r="K79" s="254" t="s">
        <v>390</v>
      </c>
      <c r="L79" s="729">
        <f>SUM(L72,L78)</f>
        <v>0</v>
      </c>
      <c r="M79" s="1136"/>
    </row>
    <row r="80" spans="2:13" ht="12" customHeight="1" x14ac:dyDescent="0.2">
      <c r="B80" s="1121"/>
      <c r="C80" s="3027"/>
      <c r="D80" s="2992"/>
      <c r="E80" s="254" t="s">
        <v>38</v>
      </c>
      <c r="F80" s="3009" t="s">
        <v>391</v>
      </c>
      <c r="G80" s="3010"/>
      <c r="H80" s="3011"/>
      <c r="I80" s="190"/>
      <c r="J80" s="191"/>
      <c r="K80" s="254" t="s">
        <v>392</v>
      </c>
      <c r="L80" s="729">
        <f>(sheet3.TotCurrAssetLoanAdv-sheet3.TotCurrLiabilitiesProvision)</f>
        <v>0</v>
      </c>
      <c r="M80" s="1136"/>
    </row>
    <row r="81" spans="2:13" ht="25.5" customHeight="1" x14ac:dyDescent="0.2">
      <c r="B81" s="1121"/>
      <c r="C81" s="3027"/>
      <c r="D81" s="2990">
        <v>4</v>
      </c>
      <c r="E81" s="456" t="s">
        <v>27</v>
      </c>
      <c r="F81" s="2999" t="s">
        <v>394</v>
      </c>
      <c r="G81" s="2999"/>
      <c r="H81" s="2999"/>
      <c r="I81" s="28" t="s">
        <v>395</v>
      </c>
      <c r="J81" s="391"/>
      <c r="K81" s="166"/>
      <c r="L81" s="167"/>
      <c r="M81" s="1136"/>
    </row>
    <row r="82" spans="2:13" ht="14.25" customHeight="1" x14ac:dyDescent="0.2">
      <c r="B82" s="1121"/>
      <c r="C82" s="3027"/>
      <c r="D82" s="2991"/>
      <c r="E82" s="456" t="s">
        <v>28</v>
      </c>
      <c r="F82" s="2999" t="s">
        <v>396</v>
      </c>
      <c r="G82" s="2999"/>
      <c r="H82" s="2999"/>
      <c r="I82" s="28" t="s">
        <v>397</v>
      </c>
      <c r="J82" s="391"/>
      <c r="K82" s="168"/>
      <c r="L82" s="169"/>
      <c r="M82" s="1136"/>
    </row>
    <row r="83" spans="2:13" ht="25.5" customHeight="1" x14ac:dyDescent="0.2">
      <c r="B83" s="1121"/>
      <c r="C83" s="3027"/>
      <c r="D83" s="2991"/>
      <c r="E83" s="456" t="s">
        <v>29</v>
      </c>
      <c r="F83" s="2999" t="s">
        <v>398</v>
      </c>
      <c r="G83" s="2999"/>
      <c r="H83" s="2999"/>
      <c r="I83" s="28" t="s">
        <v>399</v>
      </c>
      <c r="J83" s="391"/>
      <c r="K83" s="172"/>
      <c r="L83" s="173"/>
      <c r="M83" s="1136"/>
    </row>
    <row r="84" spans="2:13" ht="12" customHeight="1" x14ac:dyDescent="0.2">
      <c r="B84" s="1121"/>
      <c r="C84" s="3027"/>
      <c r="D84" s="2992"/>
      <c r="E84" s="296" t="s">
        <v>36</v>
      </c>
      <c r="F84" s="3001" t="s">
        <v>400</v>
      </c>
      <c r="G84" s="3001"/>
      <c r="H84" s="3001"/>
      <c r="I84" s="3001"/>
      <c r="J84" s="3001"/>
      <c r="K84" s="296" t="s">
        <v>401</v>
      </c>
      <c r="L84" s="729">
        <f>SUM(J81,J82,J83)</f>
        <v>0</v>
      </c>
      <c r="M84" s="1136"/>
    </row>
    <row r="85" spans="2:13" ht="13.5" customHeight="1" x14ac:dyDescent="0.2">
      <c r="B85" s="1121"/>
      <c r="C85" s="3028"/>
      <c r="D85" s="273">
        <v>5</v>
      </c>
      <c r="E85" s="3021" t="s">
        <v>402</v>
      </c>
      <c r="F85" s="3021"/>
      <c r="G85" s="3021"/>
      <c r="H85" s="3021"/>
      <c r="I85" s="3021"/>
      <c r="J85" s="3021"/>
      <c r="K85" s="1380">
        <v>5</v>
      </c>
      <c r="L85" s="1381">
        <f>SUM(L33,L44,L80,L84)</f>
        <v>0</v>
      </c>
      <c r="M85" s="1136"/>
    </row>
    <row r="86" spans="2:13" ht="40.5" customHeight="1" x14ac:dyDescent="0.2">
      <c r="B86" s="1121"/>
      <c r="C86" s="3012" t="s">
        <v>403</v>
      </c>
      <c r="D86" s="3018">
        <v>6</v>
      </c>
      <c r="E86" s="2993" t="s">
        <v>13210</v>
      </c>
      <c r="F86" s="3015"/>
      <c r="G86" s="3015"/>
      <c r="H86" s="3015"/>
      <c r="I86" s="3015"/>
      <c r="J86" s="3016"/>
      <c r="K86" s="196"/>
      <c r="L86" s="197"/>
      <c r="M86" s="1136"/>
    </row>
    <row r="87" spans="2:13" ht="12.75" customHeight="1" x14ac:dyDescent="0.2">
      <c r="B87" s="1121"/>
      <c r="C87" s="3013"/>
      <c r="D87" s="3019"/>
      <c r="E87" s="206" t="s">
        <v>27</v>
      </c>
      <c r="F87" s="3017" t="s">
        <v>404</v>
      </c>
      <c r="G87" s="3015"/>
      <c r="H87" s="3015"/>
      <c r="I87" s="3015"/>
      <c r="J87" s="3016"/>
      <c r="K87" s="8" t="s">
        <v>405</v>
      </c>
      <c r="L87" s="801"/>
      <c r="M87" s="1136"/>
    </row>
    <row r="88" spans="2:13" ht="11.25" customHeight="1" x14ac:dyDescent="0.2">
      <c r="B88" s="1121"/>
      <c r="C88" s="3013"/>
      <c r="D88" s="3019"/>
      <c r="E88" s="206" t="s">
        <v>28</v>
      </c>
      <c r="F88" s="3017" t="s">
        <v>406</v>
      </c>
      <c r="G88" s="3015"/>
      <c r="H88" s="3015"/>
      <c r="I88" s="3015"/>
      <c r="J88" s="3016"/>
      <c r="K88" s="8" t="s">
        <v>407</v>
      </c>
      <c r="L88" s="801"/>
      <c r="M88" s="1136"/>
    </row>
    <row r="89" spans="2:13" ht="12.75" customHeight="1" x14ac:dyDescent="0.2">
      <c r="B89" s="1121"/>
      <c r="C89" s="3013"/>
      <c r="D89" s="3019"/>
      <c r="E89" s="206" t="s">
        <v>29</v>
      </c>
      <c r="F89" s="3017" t="s">
        <v>408</v>
      </c>
      <c r="G89" s="3015"/>
      <c r="H89" s="3015"/>
      <c r="I89" s="3015"/>
      <c r="J89" s="3016"/>
      <c r="K89" s="8" t="s">
        <v>409</v>
      </c>
      <c r="L89" s="801"/>
      <c r="M89" s="1136"/>
    </row>
    <row r="90" spans="2:13" ht="12" customHeight="1" x14ac:dyDescent="0.2">
      <c r="B90" s="1121"/>
      <c r="C90" s="3014"/>
      <c r="D90" s="3020"/>
      <c r="E90" s="206" t="s">
        <v>36</v>
      </c>
      <c r="F90" s="3017" t="s">
        <v>410</v>
      </c>
      <c r="G90" s="3015"/>
      <c r="H90" s="3015"/>
      <c r="I90" s="3015"/>
      <c r="J90" s="3016"/>
      <c r="K90" s="8" t="s">
        <v>411</v>
      </c>
      <c r="L90" s="801"/>
      <c r="M90" s="1136"/>
    </row>
    <row r="91" spans="2:13" ht="13.5" thickBot="1" x14ac:dyDescent="0.25">
      <c r="B91" s="1141"/>
      <c r="C91" s="1144"/>
      <c r="D91" s="1144"/>
      <c r="E91" s="1145"/>
      <c r="F91" s="1144"/>
      <c r="G91" s="1144"/>
      <c r="H91" s="1144"/>
      <c r="I91" s="1144"/>
      <c r="J91" s="1144"/>
      <c r="K91" s="1144"/>
      <c r="L91" s="1144"/>
      <c r="M91" s="1139"/>
    </row>
    <row r="92" spans="2:13" x14ac:dyDescent="0.2"/>
    <row r="93" spans="2:13" x14ac:dyDescent="0.2"/>
  </sheetData>
  <sheetProtection algorithmName="SHA-512" hashValue="roY42TGqGXc3YMbkdYnmO6Ogm8U5GLyGqJmMxtjQpKHNgWURS0+thCBoCUeueuDq6MZJ9BFoKVg/XoRKG78u1A==" saltValue="/HI7hhZQ0uvsmKrMUSfMrg==" spinCount="100000" sheet="1" objects="1" scenarios="1"/>
  <mergeCells count="92">
    <mergeCell ref="G15:H15"/>
    <mergeCell ref="C28:C85"/>
    <mergeCell ref="F82:H82"/>
    <mergeCell ref="C4:C27"/>
    <mergeCell ref="E4:J4"/>
    <mergeCell ref="F5:J5"/>
    <mergeCell ref="F6:H6"/>
    <mergeCell ref="F21:J21"/>
    <mergeCell ref="F16:F19"/>
    <mergeCell ref="G20:H20"/>
    <mergeCell ref="D4:D12"/>
    <mergeCell ref="G11:J11"/>
    <mergeCell ref="F12:J12"/>
    <mergeCell ref="D13:D25"/>
    <mergeCell ref="G22:H22"/>
    <mergeCell ref="G23:H23"/>
    <mergeCell ref="G16:J16"/>
    <mergeCell ref="E21:E24"/>
    <mergeCell ref="G24:J24"/>
    <mergeCell ref="F25:J25"/>
    <mergeCell ref="E26:J26"/>
    <mergeCell ref="F30:H30"/>
    <mergeCell ref="F31:H31"/>
    <mergeCell ref="E28:J28"/>
    <mergeCell ref="F29:H29"/>
    <mergeCell ref="E27:J27"/>
    <mergeCell ref="F3:L3"/>
    <mergeCell ref="C3:E3"/>
    <mergeCell ref="E13:J13"/>
    <mergeCell ref="F14:J14"/>
    <mergeCell ref="K6:L10"/>
    <mergeCell ref="E6:E11"/>
    <mergeCell ref="G8:H8"/>
    <mergeCell ref="G9:H9"/>
    <mergeCell ref="G10:H10"/>
    <mergeCell ref="G7:H7"/>
    <mergeCell ref="E85:J85"/>
    <mergeCell ref="G73:H73"/>
    <mergeCell ref="F73:F78"/>
    <mergeCell ref="F67:F72"/>
    <mergeCell ref="F83:H83"/>
    <mergeCell ref="E67:E69"/>
    <mergeCell ref="E71:E79"/>
    <mergeCell ref="F81:H81"/>
    <mergeCell ref="C86:C90"/>
    <mergeCell ref="E86:J86"/>
    <mergeCell ref="F87:J87"/>
    <mergeCell ref="F88:J88"/>
    <mergeCell ref="F89:J89"/>
    <mergeCell ref="F90:J90"/>
    <mergeCell ref="D86:D90"/>
    <mergeCell ref="D81:D84"/>
    <mergeCell ref="D45:D80"/>
    <mergeCell ref="G79:H79"/>
    <mergeCell ref="F60:H60"/>
    <mergeCell ref="G58:J58"/>
    <mergeCell ref="E47:E59"/>
    <mergeCell ref="F48:F52"/>
    <mergeCell ref="H52:J52"/>
    <mergeCell ref="G59:J59"/>
    <mergeCell ref="F84:J84"/>
    <mergeCell ref="F80:H80"/>
    <mergeCell ref="G64:J64"/>
    <mergeCell ref="G67:J67"/>
    <mergeCell ref="G63:H63"/>
    <mergeCell ref="F65:J65"/>
    <mergeCell ref="F66:J66"/>
    <mergeCell ref="D28:D33"/>
    <mergeCell ref="G47:H47"/>
    <mergeCell ref="E61:E64"/>
    <mergeCell ref="G61:H61"/>
    <mergeCell ref="G62:H62"/>
    <mergeCell ref="F32:H32"/>
    <mergeCell ref="F33:H33"/>
    <mergeCell ref="E34:G34"/>
    <mergeCell ref="F35:J35"/>
    <mergeCell ref="G41:H41"/>
    <mergeCell ref="G43:J43"/>
    <mergeCell ref="G36:H36"/>
    <mergeCell ref="G37:H37"/>
    <mergeCell ref="F46:J46"/>
    <mergeCell ref="G38:J38"/>
    <mergeCell ref="F39:J39"/>
    <mergeCell ref="D34:D44"/>
    <mergeCell ref="G53:J53"/>
    <mergeCell ref="G54:J54"/>
    <mergeCell ref="G42:H42"/>
    <mergeCell ref="F55:F57"/>
    <mergeCell ref="H57:J57"/>
    <mergeCell ref="F44:J44"/>
    <mergeCell ref="E45:J45"/>
    <mergeCell ref="G40:H40"/>
  </mergeCells>
  <dataValidations count="4">
    <dataValidation type="whole" allowBlank="1" showErrorMessage="1" error="No decimal, upto 99,999,999,999,999" sqref="L5 L85">
      <formula1>-99999999999999</formula1>
      <formula2>99999999999999</formula2>
    </dataValidation>
    <dataValidation type="whole" allowBlank="1" showErrorMessage="1" error="  Non negative, no decimal, upto 99,999,999,999,999" sqref="L24:L27 J22:J23 L20 J17:J19 J15 L11 J7:J10 L63:L64 J61:J63 J55 L52:L53 J48:J51 L43:L44 J40:J42 L38 J36:J37 L33 J29:J32 L58 L72 J70:J71 L78:L79 J74:J77 L84 J81:J83 L87:L90">
      <formula1>0</formula1>
      <formula2>99999999999999</formula2>
    </dataValidation>
    <dataValidation type="whole" allowBlank="1" showErrorMessage="1" error="  Non negative, no decimal, upto 99,999,999,999,999" sqref="L12 J56 L65 L57 L59 L80">
      <formula1>-99999999999999</formula1>
      <formula2>99999999999999</formula2>
    </dataValidation>
    <dataValidation type="whole" allowBlank="1" showInputMessage="1" showErrorMessage="1" error=" Non negative, no decimal, upto 99,999,999,999,999" sqref="J68:J69">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2" r:id="rId5" name="Button 2">
              <controlPr defaultSize="0" print="0" autoFill="0" autoPict="0" macro="[0]!CmdValidate_BS_Click">
                <anchor>
                  <from>
                    <xdr:col>13</xdr:col>
                    <xdr:colOff>57150</xdr:colOff>
                    <xdr:row>2</xdr:row>
                    <xdr:rowOff>219075</xdr:rowOff>
                  </from>
                  <to>
                    <xdr:col>13</xdr:col>
                    <xdr:colOff>1428750</xdr:colOff>
                    <xdr:row>2</xdr:row>
                    <xdr:rowOff>495300</xdr:rowOff>
                  </to>
                </anchor>
              </controlPr>
            </control>
          </mc:Choice>
        </mc:AlternateContent>
        <mc:AlternateContent xmlns:mc="http://schemas.openxmlformats.org/markup-compatibility/2006">
          <mc:Choice Requires="x14">
            <control shapeId="5124" r:id="rId6" name="Button 4">
              <controlPr defaultSize="0" print="0" autoFill="0" autoPict="0" macro="[0]!Prev_Sheet">
                <anchor>
                  <from>
                    <xdr:col>13</xdr:col>
                    <xdr:colOff>57150</xdr:colOff>
                    <xdr:row>3</xdr:row>
                    <xdr:rowOff>171450</xdr:rowOff>
                  </from>
                  <to>
                    <xdr:col>13</xdr:col>
                    <xdr:colOff>1428750</xdr:colOff>
                    <xdr:row>5</xdr:row>
                    <xdr:rowOff>76200</xdr:rowOff>
                  </to>
                </anchor>
              </controlPr>
            </control>
          </mc:Choice>
        </mc:AlternateContent>
        <mc:AlternateContent xmlns:mc="http://schemas.openxmlformats.org/markup-compatibility/2006">
          <mc:Choice Requires="x14">
            <control shapeId="5125" r:id="rId7" name="Button 5">
              <controlPr defaultSize="0" print="0" autoFill="0" autoPict="0" macro="[0]!Img_Home_Click">
                <anchor>
                  <from>
                    <xdr:col>13</xdr:col>
                    <xdr:colOff>57150</xdr:colOff>
                    <xdr:row>1</xdr:row>
                    <xdr:rowOff>76200</xdr:rowOff>
                  </from>
                  <to>
                    <xdr:col>13</xdr:col>
                    <xdr:colOff>1428750</xdr:colOff>
                    <xdr:row>2</xdr:row>
                    <xdr:rowOff>190500</xdr:rowOff>
                  </to>
                </anchor>
              </controlPr>
            </control>
          </mc:Choice>
        </mc:AlternateContent>
        <mc:AlternateContent xmlns:mc="http://schemas.openxmlformats.org/markup-compatibility/2006">
          <mc:Choice Requires="x14">
            <control shapeId="5127" r:id="rId8" name="Button 7">
              <controlPr defaultSize="0" print="0" autoFill="0" autoPict="0" macro="[0]!Next_Sheet">
                <anchor>
                  <from>
                    <xdr:col>13</xdr:col>
                    <xdr:colOff>57150</xdr:colOff>
                    <xdr:row>2</xdr:row>
                    <xdr:rowOff>514350</xdr:rowOff>
                  </from>
                  <to>
                    <xdr:col>13</xdr:col>
                    <xdr:colOff>1428750</xdr:colOff>
                    <xdr:row>3</xdr:row>
                    <xdr:rowOff>133350</xdr:rowOff>
                  </to>
                </anchor>
              </controlPr>
            </control>
          </mc:Choice>
        </mc:AlternateContent>
        <mc:AlternateContent xmlns:mc="http://schemas.openxmlformats.org/markup-compatibility/2006">
          <mc:Choice Requires="x14">
            <control shapeId="5128" r:id="rId9" name="Button 8">
              <controlPr defaultSize="0" print="0" autoFill="0" autoPict="0" macro="[0]!Instruction_Sheet">
                <anchor>
                  <from>
                    <xdr:col>13</xdr:col>
                    <xdr:colOff>57150</xdr:colOff>
                    <xdr:row>9</xdr:row>
                    <xdr:rowOff>28575</xdr:rowOff>
                  </from>
                  <to>
                    <xdr:col>13</xdr:col>
                    <xdr:colOff>1428750</xdr:colOff>
                    <xdr:row>10</xdr:row>
                    <xdr:rowOff>142875</xdr:rowOff>
                  </to>
                </anchor>
              </controlPr>
            </control>
          </mc:Choice>
        </mc:AlternateContent>
        <mc:AlternateContent xmlns:mc="http://schemas.openxmlformats.org/markup-compatibility/2006">
          <mc:Choice Requires="x14">
            <control shapeId="5129" r:id="rId10" name="Button 9">
              <controlPr defaultSize="0" print="0" autoFill="0" autoPict="0" macro="[0]!WorksheetsPrint">
                <anchor>
                  <from>
                    <xdr:col>13</xdr:col>
                    <xdr:colOff>57150</xdr:colOff>
                    <xdr:row>7</xdr:row>
                    <xdr:rowOff>57150</xdr:rowOff>
                  </from>
                  <to>
                    <xdr:col>13</xdr:col>
                    <xdr:colOff>1428750</xdr:colOff>
                    <xdr:row>9</xdr:row>
                    <xdr:rowOff>0</xdr:rowOff>
                  </to>
                </anchor>
              </controlPr>
            </control>
          </mc:Choice>
        </mc:AlternateContent>
        <mc:AlternateContent xmlns:mc="http://schemas.openxmlformats.org/markup-compatibility/2006">
          <mc:Choice Requires="x14">
            <control shapeId="5130" r:id="rId11" name="Button 10">
              <controlPr defaultSize="0" print="0" autoFill="0" autoPict="0" macro="[0]!GenerateJSON.GenerateJSON">
                <anchor>
                  <from>
                    <xdr:col>13</xdr:col>
                    <xdr:colOff>57150</xdr:colOff>
                    <xdr:row>5</xdr:row>
                    <xdr:rowOff>104775</xdr:rowOff>
                  </from>
                  <to>
                    <xdr:col>13</xdr:col>
                    <xdr:colOff>1428750</xdr:colOff>
                    <xdr:row>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B1:V43"/>
  <sheetViews>
    <sheetView showGridLines="0" showRowColHeaders="0" workbookViewId="0">
      <selection activeCell="F21" sqref="F21:P21"/>
    </sheetView>
  </sheetViews>
  <sheetFormatPr defaultColWidth="0" defaultRowHeight="12.75" zeroHeight="1" x14ac:dyDescent="0.2"/>
  <cols>
    <col min="1" max="2" width="4" style="113" customWidth="1"/>
    <col min="3" max="3" width="4.85546875" style="113" customWidth="1"/>
    <col min="4" max="4" width="4.140625" style="113" customWidth="1"/>
    <col min="5" max="5" width="4" style="113" customWidth="1"/>
    <col min="6" max="6" width="15.140625" style="113" customWidth="1"/>
    <col min="7" max="16" width="9.140625" style="113" customWidth="1"/>
    <col min="17" max="17" width="6.7109375" style="113" customWidth="1"/>
    <col min="18" max="18" width="7.42578125" style="113" customWidth="1"/>
    <col min="19" max="19" width="7.140625" style="113" customWidth="1"/>
    <col min="20" max="20" width="6.42578125" style="113" customWidth="1"/>
    <col min="21" max="21" width="4" style="113" customWidth="1"/>
    <col min="22" max="22" width="24.7109375" style="113" customWidth="1"/>
    <col min="23" max="16384" width="0" style="113" hidden="1"/>
  </cols>
  <sheetData>
    <row r="1" spans="2:22" ht="13.5" thickBot="1" x14ac:dyDescent="0.25"/>
    <row r="2" spans="2:22" x14ac:dyDescent="0.2">
      <c r="B2" s="1130"/>
      <c r="C2" s="1131"/>
      <c r="D2" s="1131"/>
      <c r="E2" s="1131"/>
      <c r="F2" s="1131"/>
      <c r="G2" s="1131"/>
      <c r="H2" s="1131"/>
      <c r="I2" s="1131"/>
      <c r="J2" s="1131"/>
      <c r="K2" s="1131"/>
      <c r="L2" s="1131"/>
      <c r="M2" s="1131"/>
      <c r="N2" s="1131"/>
      <c r="O2" s="1131"/>
      <c r="P2" s="1131"/>
      <c r="Q2" s="1131"/>
      <c r="R2" s="1131"/>
      <c r="S2" s="1131"/>
      <c r="T2" s="1131"/>
      <c r="U2" s="1132"/>
    </row>
    <row r="3" spans="2:22" ht="28.5" customHeight="1" x14ac:dyDescent="0.2">
      <c r="B3" s="1121"/>
      <c r="C3" s="3050" t="s">
        <v>9025</v>
      </c>
      <c r="D3" s="3051"/>
      <c r="E3" s="3051"/>
      <c r="F3" s="3052"/>
      <c r="G3" s="3047" t="s">
        <v>13050</v>
      </c>
      <c r="H3" s="3048"/>
      <c r="I3" s="3048"/>
      <c r="J3" s="3048"/>
      <c r="K3" s="3048"/>
      <c r="L3" s="3048"/>
      <c r="M3" s="3048"/>
      <c r="N3" s="3048"/>
      <c r="O3" s="3048"/>
      <c r="P3" s="3048"/>
      <c r="Q3" s="3048"/>
      <c r="R3" s="3048"/>
      <c r="S3" s="3048"/>
      <c r="T3" s="3049"/>
      <c r="U3" s="1226"/>
      <c r="V3" s="1221"/>
    </row>
    <row r="4" spans="2:22" ht="18" customHeight="1" x14ac:dyDescent="0.2">
      <c r="B4" s="1121"/>
      <c r="C4" s="3057">
        <v>1</v>
      </c>
      <c r="D4" s="3064" t="s">
        <v>12112</v>
      </c>
      <c r="E4" s="3065"/>
      <c r="F4" s="3065"/>
      <c r="G4" s="3065"/>
      <c r="H4" s="3065"/>
      <c r="I4" s="3065"/>
      <c r="J4" s="3065"/>
      <c r="K4" s="3065"/>
      <c r="L4" s="3065"/>
      <c r="M4" s="3065"/>
      <c r="N4" s="3065"/>
      <c r="O4" s="3065"/>
      <c r="P4" s="3065"/>
      <c r="Q4" s="3065"/>
      <c r="R4" s="3065"/>
      <c r="S4" s="3065"/>
      <c r="T4" s="3066"/>
      <c r="U4" s="1226"/>
      <c r="V4" s="1221"/>
    </row>
    <row r="5" spans="2:22" x14ac:dyDescent="0.2">
      <c r="B5" s="1121"/>
      <c r="C5" s="3058"/>
      <c r="D5" s="3053" t="s">
        <v>9026</v>
      </c>
      <c r="E5" s="3053"/>
      <c r="F5" s="3053"/>
      <c r="G5" s="3053"/>
      <c r="H5" s="3053"/>
      <c r="I5" s="3053"/>
      <c r="J5" s="3053"/>
      <c r="K5" s="3053"/>
      <c r="L5" s="3053"/>
      <c r="M5" s="3053"/>
      <c r="N5" s="3053"/>
      <c r="O5" s="3053"/>
      <c r="P5" s="3053"/>
      <c r="Q5" s="3053"/>
      <c r="R5" s="3053"/>
      <c r="S5" s="3053"/>
      <c r="T5" s="3053"/>
      <c r="U5" s="1122"/>
    </row>
    <row r="6" spans="2:22" x14ac:dyDescent="0.2">
      <c r="B6" s="1121"/>
      <c r="C6" s="3058"/>
      <c r="D6" s="3054" t="s">
        <v>309</v>
      </c>
      <c r="E6" s="1222" t="s">
        <v>287</v>
      </c>
      <c r="F6" s="3043" t="s">
        <v>9027</v>
      </c>
      <c r="G6" s="3044"/>
      <c r="H6" s="3044"/>
      <c r="I6" s="3044"/>
      <c r="J6" s="3044"/>
      <c r="K6" s="3044"/>
      <c r="L6" s="3044"/>
      <c r="M6" s="3044"/>
      <c r="N6" s="3044"/>
      <c r="O6" s="3044"/>
      <c r="P6" s="3045"/>
      <c r="Q6" s="1115" t="s">
        <v>7653</v>
      </c>
      <c r="R6" s="3046"/>
      <c r="S6" s="3046"/>
      <c r="T6" s="3046"/>
      <c r="U6" s="1122"/>
    </row>
    <row r="7" spans="2:22" x14ac:dyDescent="0.2">
      <c r="B7" s="1121"/>
      <c r="C7" s="3058"/>
      <c r="D7" s="3055"/>
      <c r="E7" s="1222" t="s">
        <v>290</v>
      </c>
      <c r="F7" s="3043" t="s">
        <v>9028</v>
      </c>
      <c r="G7" s="3044"/>
      <c r="H7" s="3044"/>
      <c r="I7" s="3044"/>
      <c r="J7" s="3044"/>
      <c r="K7" s="3044"/>
      <c r="L7" s="3044"/>
      <c r="M7" s="3044"/>
      <c r="N7" s="3044"/>
      <c r="O7" s="3044"/>
      <c r="P7" s="3045"/>
      <c r="Q7" s="1115" t="s">
        <v>8286</v>
      </c>
      <c r="R7" s="3046"/>
      <c r="S7" s="3046"/>
      <c r="T7" s="3046"/>
      <c r="U7" s="1122"/>
    </row>
    <row r="8" spans="2:22" x14ac:dyDescent="0.2">
      <c r="B8" s="1121"/>
      <c r="C8" s="3058"/>
      <c r="D8" s="3056"/>
      <c r="E8" s="1222" t="s">
        <v>293</v>
      </c>
      <c r="F8" s="3043" t="s">
        <v>479</v>
      </c>
      <c r="G8" s="3044"/>
      <c r="H8" s="3044"/>
      <c r="I8" s="3044"/>
      <c r="J8" s="3044"/>
      <c r="K8" s="3044"/>
      <c r="L8" s="3044"/>
      <c r="M8" s="3044"/>
      <c r="N8" s="3044"/>
      <c r="O8" s="3044"/>
      <c r="P8" s="3045"/>
      <c r="Q8" s="1115" t="s">
        <v>8285</v>
      </c>
      <c r="R8" s="3060">
        <f>MAX(0,(ManuFactureAcc_OpenStockRawMaterial+ManuFactureAcc_OpenStockWorkProgress))</f>
        <v>0</v>
      </c>
      <c r="S8" s="3061"/>
      <c r="T8" s="3062"/>
      <c r="U8" s="1122"/>
    </row>
    <row r="9" spans="2:22" x14ac:dyDescent="0.2">
      <c r="B9" s="1121"/>
      <c r="C9" s="3058"/>
      <c r="D9" s="1115" t="s">
        <v>312</v>
      </c>
      <c r="E9" s="3053" t="s">
        <v>442</v>
      </c>
      <c r="F9" s="3053"/>
      <c r="G9" s="3053"/>
      <c r="H9" s="3053"/>
      <c r="I9" s="3053"/>
      <c r="J9" s="3053"/>
      <c r="K9" s="3053"/>
      <c r="L9" s="3053"/>
      <c r="M9" s="3053"/>
      <c r="N9" s="3053"/>
      <c r="O9" s="3053"/>
      <c r="P9" s="3053"/>
      <c r="Q9" s="1115" t="s">
        <v>312</v>
      </c>
      <c r="R9" s="3046"/>
      <c r="S9" s="3046"/>
      <c r="T9" s="3046"/>
      <c r="U9" s="1122"/>
    </row>
    <row r="10" spans="2:22" x14ac:dyDescent="0.2">
      <c r="B10" s="1121"/>
      <c r="C10" s="3058"/>
      <c r="D10" s="1115" t="s">
        <v>315</v>
      </c>
      <c r="E10" s="3053" t="s">
        <v>9029</v>
      </c>
      <c r="F10" s="3053"/>
      <c r="G10" s="3053"/>
      <c r="H10" s="3053"/>
      <c r="I10" s="3053"/>
      <c r="J10" s="3053"/>
      <c r="K10" s="3053"/>
      <c r="L10" s="3053"/>
      <c r="M10" s="3053"/>
      <c r="N10" s="3053"/>
      <c r="O10" s="3053"/>
      <c r="P10" s="3053"/>
      <c r="Q10" s="1115" t="s">
        <v>315</v>
      </c>
      <c r="R10" s="3046"/>
      <c r="S10" s="3046"/>
      <c r="T10" s="3046"/>
      <c r="U10" s="1122"/>
    </row>
    <row r="11" spans="2:22" x14ac:dyDescent="0.2">
      <c r="B11" s="1121"/>
      <c r="C11" s="3058"/>
      <c r="D11" s="3067" t="s">
        <v>355</v>
      </c>
      <c r="E11" s="3063" t="s">
        <v>12868</v>
      </c>
      <c r="F11" s="3044"/>
      <c r="G11" s="3044"/>
      <c r="H11" s="3044"/>
      <c r="I11" s="3044"/>
      <c r="J11" s="3044"/>
      <c r="K11" s="3044"/>
      <c r="L11" s="3044"/>
      <c r="M11" s="3044"/>
      <c r="N11" s="3044"/>
      <c r="O11" s="3044"/>
      <c r="P11" s="3045"/>
      <c r="Q11" s="1115" t="s">
        <v>355</v>
      </c>
      <c r="R11" s="3060">
        <f>SUM(ManuFactureAcc_CarriageInward,ManuFactureAcc_PowerAndFuel,ManuFactureAcc_OtherDirectExpenses)</f>
        <v>0</v>
      </c>
      <c r="S11" s="3061"/>
      <c r="T11" s="3062"/>
      <c r="U11" s="1122"/>
    </row>
    <row r="12" spans="2:22" x14ac:dyDescent="0.2">
      <c r="B12" s="1121"/>
      <c r="C12" s="3058"/>
      <c r="D12" s="3067"/>
      <c r="E12" s="1222" t="s">
        <v>287</v>
      </c>
      <c r="F12" s="3043" t="s">
        <v>9030</v>
      </c>
      <c r="G12" s="3044"/>
      <c r="H12" s="3044"/>
      <c r="I12" s="3044"/>
      <c r="J12" s="3044"/>
      <c r="K12" s="3044"/>
      <c r="L12" s="3044"/>
      <c r="M12" s="3044"/>
      <c r="N12" s="3044"/>
      <c r="O12" s="3044"/>
      <c r="P12" s="3045"/>
      <c r="Q12" s="1115" t="s">
        <v>8284</v>
      </c>
      <c r="R12" s="3046"/>
      <c r="S12" s="3046"/>
      <c r="T12" s="3046"/>
      <c r="U12" s="1122"/>
    </row>
    <row r="13" spans="2:22" x14ac:dyDescent="0.2">
      <c r="B13" s="1121"/>
      <c r="C13" s="3058"/>
      <c r="D13" s="3067"/>
      <c r="E13" s="1222" t="s">
        <v>290</v>
      </c>
      <c r="F13" s="3043" t="s">
        <v>9031</v>
      </c>
      <c r="G13" s="3044"/>
      <c r="H13" s="3044"/>
      <c r="I13" s="3044"/>
      <c r="J13" s="3044"/>
      <c r="K13" s="3044"/>
      <c r="L13" s="3044"/>
      <c r="M13" s="3044"/>
      <c r="N13" s="3044"/>
      <c r="O13" s="3044"/>
      <c r="P13" s="3045"/>
      <c r="Q13" s="1115" t="s">
        <v>8283</v>
      </c>
      <c r="R13" s="3046"/>
      <c r="S13" s="3046"/>
      <c r="T13" s="3046"/>
      <c r="U13" s="1122"/>
    </row>
    <row r="14" spans="2:22" x14ac:dyDescent="0.2">
      <c r="B14" s="1121"/>
      <c r="C14" s="3058"/>
      <c r="D14" s="3067"/>
      <c r="E14" s="1222" t="s">
        <v>293</v>
      </c>
      <c r="F14" s="3043" t="s">
        <v>9032</v>
      </c>
      <c r="G14" s="3044"/>
      <c r="H14" s="3044"/>
      <c r="I14" s="3044"/>
      <c r="J14" s="3044"/>
      <c r="K14" s="3044"/>
      <c r="L14" s="3044"/>
      <c r="M14" s="3044"/>
      <c r="N14" s="3044"/>
      <c r="O14" s="3044"/>
      <c r="P14" s="3045"/>
      <c r="Q14" s="1115" t="s">
        <v>8282</v>
      </c>
      <c r="R14" s="3046"/>
      <c r="S14" s="3046"/>
      <c r="T14" s="3046"/>
      <c r="U14" s="1122"/>
    </row>
    <row r="15" spans="2:22" x14ac:dyDescent="0.2">
      <c r="B15" s="1121"/>
      <c r="C15" s="3058"/>
      <c r="D15" s="3067" t="s">
        <v>358</v>
      </c>
      <c r="E15" s="3043" t="s">
        <v>9033</v>
      </c>
      <c r="F15" s="3044"/>
      <c r="G15" s="3044"/>
      <c r="H15" s="3044"/>
      <c r="I15" s="3044"/>
      <c r="J15" s="3044"/>
      <c r="K15" s="3044"/>
      <c r="L15" s="3044"/>
      <c r="M15" s="3044"/>
      <c r="N15" s="3044"/>
      <c r="O15" s="3044"/>
      <c r="P15" s="3044"/>
      <c r="Q15" s="3044"/>
      <c r="R15" s="3044"/>
      <c r="S15" s="3044"/>
      <c r="T15" s="3045"/>
      <c r="U15" s="1122"/>
    </row>
    <row r="16" spans="2:22" x14ac:dyDescent="0.2">
      <c r="B16" s="1121"/>
      <c r="C16" s="3058"/>
      <c r="D16" s="3067"/>
      <c r="E16" s="1222" t="s">
        <v>287</v>
      </c>
      <c r="F16" s="3043" t="s">
        <v>9039</v>
      </c>
      <c r="G16" s="3044"/>
      <c r="H16" s="3044"/>
      <c r="I16" s="3044"/>
      <c r="J16" s="3044"/>
      <c r="K16" s="3044"/>
      <c r="L16" s="3044"/>
      <c r="M16" s="3044"/>
      <c r="N16" s="3044"/>
      <c r="O16" s="3044"/>
      <c r="P16" s="3045"/>
      <c r="Q16" s="1115" t="s">
        <v>9034</v>
      </c>
      <c r="R16" s="3046"/>
      <c r="S16" s="3046"/>
      <c r="T16" s="3046"/>
      <c r="U16" s="1122"/>
    </row>
    <row r="17" spans="2:21" x14ac:dyDescent="0.2">
      <c r="B17" s="1121"/>
      <c r="C17" s="3058"/>
      <c r="D17" s="3067"/>
      <c r="E17" s="1222" t="s">
        <v>290</v>
      </c>
      <c r="F17" s="3043" t="s">
        <v>9040</v>
      </c>
      <c r="G17" s="3044"/>
      <c r="H17" s="3044"/>
      <c r="I17" s="3044"/>
      <c r="J17" s="3044"/>
      <c r="K17" s="3044"/>
      <c r="L17" s="3044"/>
      <c r="M17" s="3044"/>
      <c r="N17" s="3044"/>
      <c r="O17" s="3044"/>
      <c r="P17" s="3045"/>
      <c r="Q17" s="1115" t="s">
        <v>9035</v>
      </c>
      <c r="R17" s="3046"/>
      <c r="S17" s="3046"/>
      <c r="T17" s="3046"/>
      <c r="U17" s="1122"/>
    </row>
    <row r="18" spans="2:21" x14ac:dyDescent="0.2">
      <c r="B18" s="1121"/>
      <c r="C18" s="3058"/>
      <c r="D18" s="3067"/>
      <c r="E18" s="1222" t="s">
        <v>293</v>
      </c>
      <c r="F18" s="3043" t="s">
        <v>9041</v>
      </c>
      <c r="G18" s="3044"/>
      <c r="H18" s="3044"/>
      <c r="I18" s="3044"/>
      <c r="J18" s="3044"/>
      <c r="K18" s="3044"/>
      <c r="L18" s="3044"/>
      <c r="M18" s="3044"/>
      <c r="N18" s="3044"/>
      <c r="O18" s="3044"/>
      <c r="P18" s="3045"/>
      <c r="Q18" s="1115" t="s">
        <v>9036</v>
      </c>
      <c r="R18" s="3046"/>
      <c r="S18" s="3046"/>
      <c r="T18" s="3046"/>
      <c r="U18" s="1122"/>
    </row>
    <row r="19" spans="2:21" x14ac:dyDescent="0.2">
      <c r="B19" s="1121"/>
      <c r="C19" s="3058"/>
      <c r="D19" s="3067"/>
      <c r="E19" s="1222" t="s">
        <v>296</v>
      </c>
      <c r="F19" s="3043" t="s">
        <v>9042</v>
      </c>
      <c r="G19" s="3044"/>
      <c r="H19" s="3044"/>
      <c r="I19" s="3044"/>
      <c r="J19" s="3044"/>
      <c r="K19" s="3044"/>
      <c r="L19" s="3044"/>
      <c r="M19" s="3044"/>
      <c r="N19" s="3044"/>
      <c r="O19" s="3044"/>
      <c r="P19" s="3045"/>
      <c r="Q19" s="1115" t="s">
        <v>9037</v>
      </c>
      <c r="R19" s="3046"/>
      <c r="S19" s="3046"/>
      <c r="T19" s="3046"/>
      <c r="U19" s="1122"/>
    </row>
    <row r="20" spans="2:21" x14ac:dyDescent="0.2">
      <c r="B20" s="1121"/>
      <c r="C20" s="3058"/>
      <c r="D20" s="3067"/>
      <c r="E20" s="1222" t="s">
        <v>299</v>
      </c>
      <c r="F20" s="3043" t="s">
        <v>9043</v>
      </c>
      <c r="G20" s="3044"/>
      <c r="H20" s="3044"/>
      <c r="I20" s="3044"/>
      <c r="J20" s="3044"/>
      <c r="K20" s="3044"/>
      <c r="L20" s="3044"/>
      <c r="M20" s="3044"/>
      <c r="N20" s="3044"/>
      <c r="O20" s="3044"/>
      <c r="P20" s="3045"/>
      <c r="Q20" s="1115" t="s">
        <v>9038</v>
      </c>
      <c r="R20" s="3046"/>
      <c r="S20" s="3046"/>
      <c r="T20" s="3046"/>
      <c r="U20" s="1122"/>
    </row>
    <row r="21" spans="2:21" x14ac:dyDescent="0.2">
      <c r="B21" s="1121"/>
      <c r="C21" s="3058"/>
      <c r="D21" s="3067"/>
      <c r="E21" s="1222" t="s">
        <v>430</v>
      </c>
      <c r="F21" s="3043" t="s">
        <v>9044</v>
      </c>
      <c r="G21" s="3044"/>
      <c r="H21" s="3044"/>
      <c r="I21" s="3044"/>
      <c r="J21" s="3044"/>
      <c r="K21" s="3044"/>
      <c r="L21" s="3044"/>
      <c r="M21" s="3044"/>
      <c r="N21" s="3044"/>
      <c r="O21" s="3044"/>
      <c r="P21" s="3045"/>
      <c r="Q21" s="1115" t="s">
        <v>9045</v>
      </c>
      <c r="R21" s="3046"/>
      <c r="S21" s="3046"/>
      <c r="T21" s="3046"/>
      <c r="U21" s="1122"/>
    </row>
    <row r="22" spans="2:21" x14ac:dyDescent="0.2">
      <c r="B22" s="1121"/>
      <c r="C22" s="3058"/>
      <c r="D22" s="3067"/>
      <c r="E22" s="1222" t="s">
        <v>432</v>
      </c>
      <c r="F22" s="3043" t="s">
        <v>9051</v>
      </c>
      <c r="G22" s="3044"/>
      <c r="H22" s="3044"/>
      <c r="I22" s="3044"/>
      <c r="J22" s="3044"/>
      <c r="K22" s="3044"/>
      <c r="L22" s="3044"/>
      <c r="M22" s="3044"/>
      <c r="N22" s="3044"/>
      <c r="O22" s="3044"/>
      <c r="P22" s="3045"/>
      <c r="Q22" s="1115" t="s">
        <v>9046</v>
      </c>
      <c r="R22" s="3060">
        <f>SUM(ManuFactureAcc_IndirectWages,ManuFactureAcc_FactoryRentRates,ManuFactureAcc_FactoryInsurance,ManuFactureAcc_FactoryFuelAndPower,ManuFactureAcc_FactoryGeneralExpenses,ManuFactureAcc_DepreciationOfFactoryMachinary)</f>
        <v>0</v>
      </c>
      <c r="S22" s="3061"/>
      <c r="T22" s="3062"/>
      <c r="U22" s="1122"/>
    </row>
    <row r="23" spans="2:21" x14ac:dyDescent="0.2">
      <c r="B23" s="1121"/>
      <c r="C23" s="3059"/>
      <c r="D23" s="1115" t="s">
        <v>1043</v>
      </c>
      <c r="E23" s="3053" t="s">
        <v>9047</v>
      </c>
      <c r="F23" s="3053"/>
      <c r="G23" s="3053"/>
      <c r="H23" s="3053"/>
      <c r="I23" s="3053"/>
      <c r="J23" s="3053"/>
      <c r="K23" s="3053"/>
      <c r="L23" s="3053"/>
      <c r="M23" s="3053"/>
      <c r="N23" s="3053"/>
      <c r="O23" s="3053"/>
      <c r="P23" s="3053"/>
      <c r="Q23" s="1115" t="s">
        <v>1043</v>
      </c>
      <c r="R23" s="3060">
        <f>SUM(ManuFactureAcc_TotalOpeningInventary,ManuFactureAcc_Purchases,ManuFactureAcc_DirectWages,ManuFactureAcc_TotalOfDirectExpenses,ManuFactureAcc_TotalFactoryOverheads)</f>
        <v>0</v>
      </c>
      <c r="S23" s="3061"/>
      <c r="T23" s="3062"/>
      <c r="U23" s="1122"/>
    </row>
    <row r="24" spans="2:21" x14ac:dyDescent="0.2">
      <c r="B24" s="1121"/>
      <c r="C24" s="3054">
        <v>2</v>
      </c>
      <c r="D24" s="3053" t="s">
        <v>440</v>
      </c>
      <c r="E24" s="3053"/>
      <c r="F24" s="3053"/>
      <c r="G24" s="3053"/>
      <c r="H24" s="3053"/>
      <c r="I24" s="3053"/>
      <c r="J24" s="3053"/>
      <c r="K24" s="3053"/>
      <c r="L24" s="3053"/>
      <c r="M24" s="3053"/>
      <c r="N24" s="3053"/>
      <c r="O24" s="3053"/>
      <c r="P24" s="3053"/>
      <c r="Q24" s="3053"/>
      <c r="R24" s="3053"/>
      <c r="S24" s="3053"/>
      <c r="T24" s="3053"/>
      <c r="U24" s="1122"/>
    </row>
    <row r="25" spans="2:21" x14ac:dyDescent="0.2">
      <c r="B25" s="1121"/>
      <c r="C25" s="3055"/>
      <c r="D25" s="1115" t="s">
        <v>287</v>
      </c>
      <c r="E25" s="3053" t="s">
        <v>9048</v>
      </c>
      <c r="F25" s="3053"/>
      <c r="G25" s="3053"/>
      <c r="H25" s="3053"/>
      <c r="I25" s="3053"/>
      <c r="J25" s="3053"/>
      <c r="K25" s="3053"/>
      <c r="L25" s="3053"/>
      <c r="M25" s="3053"/>
      <c r="N25" s="3053"/>
      <c r="O25" s="3053"/>
      <c r="P25" s="3053"/>
      <c r="Q25" s="1115" t="s">
        <v>287</v>
      </c>
      <c r="R25" s="3046"/>
      <c r="S25" s="3046"/>
      <c r="T25" s="3046"/>
      <c r="U25" s="1122"/>
    </row>
    <row r="26" spans="2:21" x14ac:dyDescent="0.2">
      <c r="B26" s="1121"/>
      <c r="C26" s="3055"/>
      <c r="D26" s="1115" t="s">
        <v>290</v>
      </c>
      <c r="E26" s="3053" t="s">
        <v>9049</v>
      </c>
      <c r="F26" s="3053"/>
      <c r="G26" s="3053"/>
      <c r="H26" s="3053"/>
      <c r="I26" s="3053"/>
      <c r="J26" s="3053"/>
      <c r="K26" s="3053"/>
      <c r="L26" s="3053"/>
      <c r="M26" s="3053"/>
      <c r="N26" s="3053"/>
      <c r="O26" s="3053"/>
      <c r="P26" s="3053"/>
      <c r="Q26" s="1115" t="s">
        <v>290</v>
      </c>
      <c r="R26" s="3046"/>
      <c r="S26" s="3046"/>
      <c r="T26" s="3046"/>
      <c r="U26" s="1122"/>
    </row>
    <row r="27" spans="2:21" x14ac:dyDescent="0.2">
      <c r="B27" s="1121"/>
      <c r="C27" s="3056"/>
      <c r="D27" s="1115" t="s">
        <v>293</v>
      </c>
      <c r="E27" s="3053" t="s">
        <v>9050</v>
      </c>
      <c r="F27" s="3053"/>
      <c r="G27" s="3053"/>
      <c r="H27" s="3053"/>
      <c r="I27" s="3053"/>
      <c r="J27" s="3053"/>
      <c r="K27" s="3053"/>
      <c r="L27" s="3053"/>
      <c r="M27" s="3053"/>
      <c r="N27" s="3053"/>
      <c r="O27" s="3053"/>
      <c r="P27" s="3053"/>
      <c r="Q27" s="1115" t="s">
        <v>293</v>
      </c>
      <c r="R27" s="3060">
        <f>SUM(ManuFactureAcc_RawMaterial,ManuFactureAcc_WorkInProgress)</f>
        <v>0</v>
      </c>
      <c r="S27" s="3061"/>
      <c r="T27" s="3062"/>
      <c r="U27" s="1122"/>
    </row>
    <row r="28" spans="2:21" x14ac:dyDescent="0.2">
      <c r="B28" s="1121"/>
      <c r="C28" s="1115">
        <v>3</v>
      </c>
      <c r="D28" s="3068" t="s">
        <v>9764</v>
      </c>
      <c r="E28" s="3053"/>
      <c r="F28" s="3053"/>
      <c r="G28" s="3053"/>
      <c r="H28" s="3053"/>
      <c r="I28" s="3053"/>
      <c r="J28" s="3053"/>
      <c r="K28" s="3053"/>
      <c r="L28" s="3053"/>
      <c r="M28" s="3053"/>
      <c r="N28" s="3053"/>
      <c r="O28" s="3053"/>
      <c r="P28" s="3053"/>
      <c r="Q28" s="1115">
        <v>3</v>
      </c>
      <c r="R28" s="3060">
        <f>ManuFactureAcc_TotalOfDebitstoManuFacturingAcc-ManuFactureAcc_TotalClosingClock</f>
        <v>0</v>
      </c>
      <c r="S28" s="3061"/>
      <c r="T28" s="3062"/>
      <c r="U28" s="1122"/>
    </row>
    <row r="29" spans="2:21" ht="13.5" thickBot="1" x14ac:dyDescent="0.25">
      <c r="B29" s="1141"/>
      <c r="C29" s="1227"/>
      <c r="D29" s="1144"/>
      <c r="E29" s="1144"/>
      <c r="F29" s="1144"/>
      <c r="G29" s="1144"/>
      <c r="H29" s="1144"/>
      <c r="I29" s="1144"/>
      <c r="J29" s="1144"/>
      <c r="K29" s="1144"/>
      <c r="L29" s="1144"/>
      <c r="M29" s="1144"/>
      <c r="N29" s="1144"/>
      <c r="O29" s="1144"/>
      <c r="P29" s="1144"/>
      <c r="Q29" s="1144"/>
      <c r="R29" s="1144"/>
      <c r="S29" s="1144"/>
      <c r="T29" s="1144"/>
      <c r="U29" s="1156"/>
    </row>
    <row r="30" spans="2:21" x14ac:dyDescent="0.2">
      <c r="C30" s="1225"/>
    </row>
    <row r="31" spans="2:21" hidden="1" x14ac:dyDescent="0.2">
      <c r="C31" s="1225"/>
    </row>
    <row r="32" spans="2:21" hidden="1" x14ac:dyDescent="0.2">
      <c r="C32" s="1225"/>
    </row>
    <row r="33" spans="3:3" hidden="1" x14ac:dyDescent="0.2">
      <c r="C33" s="1225"/>
    </row>
    <row r="34" spans="3:3" hidden="1" x14ac:dyDescent="0.2">
      <c r="C34" s="1225"/>
    </row>
    <row r="35" spans="3:3" hidden="1" x14ac:dyDescent="0.2">
      <c r="C35" s="1225"/>
    </row>
    <row r="36" spans="3:3" hidden="1" x14ac:dyDescent="0.2">
      <c r="C36" s="1225"/>
    </row>
    <row r="37" spans="3:3" hidden="1" x14ac:dyDescent="0.2">
      <c r="C37" s="1225"/>
    </row>
    <row r="38" spans="3:3" hidden="1" x14ac:dyDescent="0.2">
      <c r="C38" s="1225"/>
    </row>
    <row r="39" spans="3:3" hidden="1" x14ac:dyDescent="0.2">
      <c r="C39" s="1225"/>
    </row>
    <row r="40" spans="3:3" hidden="1" x14ac:dyDescent="0.2">
      <c r="C40" s="1225"/>
    </row>
    <row r="41" spans="3:3" hidden="1" x14ac:dyDescent="0.2">
      <c r="C41" s="1225"/>
    </row>
    <row r="42" spans="3:3" hidden="1" x14ac:dyDescent="0.2">
      <c r="C42" s="1225"/>
    </row>
    <row r="43" spans="3:3" hidden="1" x14ac:dyDescent="0.2">
      <c r="C43" s="1225"/>
    </row>
  </sheetData>
  <sheetProtection algorithmName="SHA-512" hashValue="qWuEbRN+yNjc7UltUfhbIqDVC6AwYw6QaghNVM+vuZ6YdUMhjU138bA2OghmM0qbL8ncNgNfQwquBVxKf28Uzw==" saltValue="Z0n61LqeKVln6GNNteRwuA==" spinCount="100000" sheet="1" objects="1" scenarios="1"/>
  <mergeCells count="53">
    <mergeCell ref="D28:P28"/>
    <mergeCell ref="R25:T25"/>
    <mergeCell ref="R26:T26"/>
    <mergeCell ref="R27:T27"/>
    <mergeCell ref="R28:T28"/>
    <mergeCell ref="E26:P26"/>
    <mergeCell ref="C24:C27"/>
    <mergeCell ref="F20:P20"/>
    <mergeCell ref="R20:T20"/>
    <mergeCell ref="F21:P21"/>
    <mergeCell ref="R21:T21"/>
    <mergeCell ref="E25:P25"/>
    <mergeCell ref="F22:P22"/>
    <mergeCell ref="E23:P23"/>
    <mergeCell ref="R23:T23"/>
    <mergeCell ref="R22:T22"/>
    <mergeCell ref="D15:D22"/>
    <mergeCell ref="R18:T18"/>
    <mergeCell ref="F16:P16"/>
    <mergeCell ref="F19:P19"/>
    <mergeCell ref="E27:P27"/>
    <mergeCell ref="D24:T24"/>
    <mergeCell ref="R10:T10"/>
    <mergeCell ref="E11:P11"/>
    <mergeCell ref="F7:P7"/>
    <mergeCell ref="F8:P8"/>
    <mergeCell ref="D4:T4"/>
    <mergeCell ref="D11:D14"/>
    <mergeCell ref="R11:T11"/>
    <mergeCell ref="G3:T3"/>
    <mergeCell ref="C3:F3"/>
    <mergeCell ref="D5:T5"/>
    <mergeCell ref="D6:D8"/>
    <mergeCell ref="F6:P6"/>
    <mergeCell ref="C4:C23"/>
    <mergeCell ref="R6:T6"/>
    <mergeCell ref="R7:T7"/>
    <mergeCell ref="R8:T8"/>
    <mergeCell ref="E10:P10"/>
    <mergeCell ref="R9:T9"/>
    <mergeCell ref="F12:P12"/>
    <mergeCell ref="R14:T14"/>
    <mergeCell ref="R16:T16"/>
    <mergeCell ref="F17:P17"/>
    <mergeCell ref="E9:P9"/>
    <mergeCell ref="E15:T15"/>
    <mergeCell ref="R13:T13"/>
    <mergeCell ref="R12:T12"/>
    <mergeCell ref="R19:T19"/>
    <mergeCell ref="F13:P13"/>
    <mergeCell ref="F14:P14"/>
    <mergeCell ref="R17:T17"/>
    <mergeCell ref="F18:P18"/>
  </mergeCells>
  <dataValidations count="3">
    <dataValidation type="whole" allowBlank="1" showInputMessage="1" showErrorMessage="1" errorTitle="Amount" error="Amount entered should be Numeric,Non negative and no decimal upto 14 digits" sqref="R26:T26 R22:T22 R6 S6:T6 R7:T7 R9:T9 R10:T10 R12:T12 R13:T13 R14:T14 R16:T16 R17:T17 R18:T18 R19:T19 R20:T20 R21:T21 R25:T25 R8:T8">
      <formula1>0</formula1>
      <formula2>99999999999999</formula2>
    </dataValidation>
    <dataValidation type="whole" allowBlank="1" showInputMessage="1" showErrorMessage="1" sqref="R28:T28">
      <formula1>-99999999999999</formula1>
      <formula2>99999999999999</formula2>
    </dataValidation>
    <dataValidation type="whole" allowBlank="1" showInputMessage="1" showErrorMessage="1" sqref="R11:T11 R23:T23 R27:T27">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96609" r:id="rId5" name="Button 1">
              <controlPr defaultSize="0" print="0" autoFill="0" autoPict="0" macro="[0]!CmdValidate_ManufacturingAccount_Click">
                <anchor>
                  <from>
                    <xdr:col>21</xdr:col>
                    <xdr:colOff>95250</xdr:colOff>
                    <xdr:row>2</xdr:row>
                    <xdr:rowOff>219075</xdr:rowOff>
                  </from>
                  <to>
                    <xdr:col>21</xdr:col>
                    <xdr:colOff>1466850</xdr:colOff>
                    <xdr:row>3</xdr:row>
                    <xdr:rowOff>133350</xdr:rowOff>
                  </to>
                </anchor>
              </controlPr>
            </control>
          </mc:Choice>
        </mc:AlternateContent>
        <mc:AlternateContent xmlns:mc="http://schemas.openxmlformats.org/markup-compatibility/2006">
          <mc:Choice Requires="x14">
            <control shapeId="196610" r:id="rId6" name="Button 2">
              <controlPr defaultSize="0" print="0" autoFill="0" autoPict="0" macro="[0]!Prev_Sheet">
                <anchor>
                  <from>
                    <xdr:col>21</xdr:col>
                    <xdr:colOff>95250</xdr:colOff>
                    <xdr:row>5</xdr:row>
                    <xdr:rowOff>95250</xdr:rowOff>
                  </from>
                  <to>
                    <xdr:col>21</xdr:col>
                    <xdr:colOff>1466850</xdr:colOff>
                    <xdr:row>7</xdr:row>
                    <xdr:rowOff>28575</xdr:rowOff>
                  </to>
                </anchor>
              </controlPr>
            </control>
          </mc:Choice>
        </mc:AlternateContent>
        <mc:AlternateContent xmlns:mc="http://schemas.openxmlformats.org/markup-compatibility/2006">
          <mc:Choice Requires="x14">
            <control shapeId="196611" r:id="rId7" name="Button 3">
              <controlPr defaultSize="0" print="0" autoFill="0" autoPict="0" macro="[0]!Img_Home_Click">
                <anchor>
                  <from>
                    <xdr:col>21</xdr:col>
                    <xdr:colOff>95250</xdr:colOff>
                    <xdr:row>1</xdr:row>
                    <xdr:rowOff>76200</xdr:rowOff>
                  </from>
                  <to>
                    <xdr:col>21</xdr:col>
                    <xdr:colOff>1466850</xdr:colOff>
                    <xdr:row>2</xdr:row>
                    <xdr:rowOff>190500</xdr:rowOff>
                  </to>
                </anchor>
              </controlPr>
            </control>
          </mc:Choice>
        </mc:AlternateContent>
        <mc:AlternateContent xmlns:mc="http://schemas.openxmlformats.org/markup-compatibility/2006">
          <mc:Choice Requires="x14">
            <control shapeId="196612" r:id="rId8" name="Button 4">
              <controlPr defaultSize="0" print="0" autoFill="0" autoPict="0" macro="[0]!Instruction_Sheet">
                <anchor>
                  <from>
                    <xdr:col>21</xdr:col>
                    <xdr:colOff>95250</xdr:colOff>
                    <xdr:row>11</xdr:row>
                    <xdr:rowOff>28575</xdr:rowOff>
                  </from>
                  <to>
                    <xdr:col>21</xdr:col>
                    <xdr:colOff>1466850</xdr:colOff>
                    <xdr:row>12</xdr:row>
                    <xdr:rowOff>142875</xdr:rowOff>
                  </to>
                </anchor>
              </controlPr>
            </control>
          </mc:Choice>
        </mc:AlternateContent>
        <mc:AlternateContent xmlns:mc="http://schemas.openxmlformats.org/markup-compatibility/2006">
          <mc:Choice Requires="x14">
            <control shapeId="196613" r:id="rId9" name="Button 5">
              <controlPr defaultSize="0" print="0" autoFill="0" autoPict="0" macro="[0]!WorksheetsPrint">
                <anchor>
                  <from>
                    <xdr:col>21</xdr:col>
                    <xdr:colOff>95250</xdr:colOff>
                    <xdr:row>9</xdr:row>
                    <xdr:rowOff>57150</xdr:rowOff>
                  </from>
                  <to>
                    <xdr:col>21</xdr:col>
                    <xdr:colOff>1466850</xdr:colOff>
                    <xdr:row>11</xdr:row>
                    <xdr:rowOff>0</xdr:rowOff>
                  </to>
                </anchor>
              </controlPr>
            </control>
          </mc:Choice>
        </mc:AlternateContent>
        <mc:AlternateContent xmlns:mc="http://schemas.openxmlformats.org/markup-compatibility/2006">
          <mc:Choice Requires="x14">
            <control shapeId="196614" r:id="rId10" name="Button 6">
              <controlPr defaultSize="0" print="0" autoFill="0" autoPict="0" macro="[0]!GenerateJSON.GenerateJSON">
                <anchor>
                  <from>
                    <xdr:col>21</xdr:col>
                    <xdr:colOff>95250</xdr:colOff>
                    <xdr:row>7</xdr:row>
                    <xdr:rowOff>66675</xdr:rowOff>
                  </from>
                  <to>
                    <xdr:col>21</xdr:col>
                    <xdr:colOff>1466850</xdr:colOff>
                    <xdr:row>9</xdr:row>
                    <xdr:rowOff>19050</xdr:rowOff>
                  </to>
                </anchor>
              </controlPr>
            </control>
          </mc:Choice>
        </mc:AlternateContent>
        <mc:AlternateContent xmlns:mc="http://schemas.openxmlformats.org/markup-compatibility/2006">
          <mc:Choice Requires="x14">
            <control shapeId="196615" r:id="rId11" name="Button 7">
              <controlPr defaultSize="0" print="0" autoFill="0" autoPict="0" macro="[0]!Next_Sheet">
                <anchor>
                  <from>
                    <xdr:col>21</xdr:col>
                    <xdr:colOff>95250</xdr:colOff>
                    <xdr:row>3</xdr:row>
                    <xdr:rowOff>171450</xdr:rowOff>
                  </from>
                  <to>
                    <xdr:col>21</xdr:col>
                    <xdr:colOff>1466850</xdr:colOff>
                    <xdr:row>5</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B1:Q999"/>
  <sheetViews>
    <sheetView showGridLines="0" showRowColHeaders="0" zoomScaleNormal="100" workbookViewId="0"/>
  </sheetViews>
  <sheetFormatPr defaultColWidth="0" defaultRowHeight="12.75" zeroHeight="1" x14ac:dyDescent="0.2"/>
  <cols>
    <col min="1" max="1" width="3.7109375" style="113" customWidth="1"/>
    <col min="2" max="2" width="4.140625" style="113" customWidth="1"/>
    <col min="3" max="3" width="5.28515625" style="113" customWidth="1"/>
    <col min="4" max="6" width="5.5703125" style="113" customWidth="1"/>
    <col min="7" max="7" width="34.140625" style="113" customWidth="1"/>
    <col min="8" max="8" width="29.28515625" style="113" customWidth="1"/>
    <col min="9" max="12" width="9.140625" style="113" customWidth="1"/>
    <col min="13" max="13" width="7.85546875" style="113" customWidth="1"/>
    <col min="14" max="15" width="9.140625" style="113" customWidth="1"/>
    <col min="16" max="16" width="3.28515625" style="113" customWidth="1"/>
    <col min="17" max="17" width="4" style="113" customWidth="1"/>
    <col min="18" max="18" width="25.140625" style="113" customWidth="1"/>
    <col min="19" max="16384" width="0" style="113" hidden="1"/>
  </cols>
  <sheetData>
    <row r="1" spans="2:17" ht="13.5" thickBot="1" x14ac:dyDescent="0.25"/>
    <row r="2" spans="2:17" x14ac:dyDescent="0.2">
      <c r="B2" s="1130"/>
      <c r="C2" s="1131"/>
      <c r="D2" s="1131"/>
      <c r="E2" s="1131"/>
      <c r="F2" s="1131"/>
      <c r="G2" s="1131"/>
      <c r="H2" s="1131"/>
      <c r="I2" s="1131"/>
      <c r="J2" s="1131"/>
      <c r="K2" s="1131"/>
      <c r="L2" s="1131"/>
      <c r="M2" s="1131"/>
      <c r="N2" s="1131"/>
      <c r="O2" s="1131"/>
      <c r="P2" s="1131"/>
      <c r="Q2" s="1132"/>
    </row>
    <row r="3" spans="2:17" ht="27" customHeight="1" x14ac:dyDescent="0.2">
      <c r="B3" s="1121"/>
      <c r="C3" s="3084" t="s">
        <v>9052</v>
      </c>
      <c r="D3" s="3085"/>
      <c r="E3" s="3085"/>
      <c r="F3" s="3086"/>
      <c r="G3" s="3047" t="s">
        <v>13051</v>
      </c>
      <c r="H3" s="3048"/>
      <c r="I3" s="3048"/>
      <c r="J3" s="3048"/>
      <c r="K3" s="3048"/>
      <c r="L3" s="3048"/>
      <c r="M3" s="3087"/>
      <c r="N3" s="3087"/>
      <c r="O3" s="3087"/>
      <c r="P3" s="3088"/>
      <c r="Q3" s="1122"/>
    </row>
    <row r="4" spans="2:17" x14ac:dyDescent="0.2">
      <c r="B4" s="1121"/>
      <c r="C4" s="1230">
        <v>4</v>
      </c>
      <c r="D4" s="3069" t="s">
        <v>412</v>
      </c>
      <c r="E4" s="3044"/>
      <c r="F4" s="3044"/>
      <c r="G4" s="3044"/>
      <c r="H4" s="3044"/>
      <c r="I4" s="3044"/>
      <c r="J4" s="3044"/>
      <c r="K4" s="3044"/>
      <c r="L4" s="3044"/>
      <c r="M4" s="184"/>
      <c r="N4" s="182"/>
      <c r="O4" s="182"/>
      <c r="P4" s="1035"/>
      <c r="Q4" s="1122"/>
    </row>
    <row r="5" spans="2:17" x14ac:dyDescent="0.2">
      <c r="B5" s="1121"/>
      <c r="C5" s="1568"/>
      <c r="D5" s="1224" t="s">
        <v>309</v>
      </c>
      <c r="E5" s="3044" t="s">
        <v>9053</v>
      </c>
      <c r="F5" s="3044"/>
      <c r="G5" s="3044"/>
      <c r="H5" s="3044"/>
      <c r="I5" s="3044"/>
      <c r="J5" s="3044"/>
      <c r="K5" s="3044"/>
      <c r="L5" s="3045"/>
      <c r="M5" s="409"/>
      <c r="N5" s="704"/>
      <c r="O5" s="704"/>
      <c r="P5" s="1037"/>
      <c r="Q5" s="1122"/>
    </row>
    <row r="6" spans="2:17" x14ac:dyDescent="0.2">
      <c r="B6" s="1121"/>
      <c r="C6" s="1568"/>
      <c r="D6" s="1228"/>
      <c r="E6" s="1219" t="s">
        <v>287</v>
      </c>
      <c r="F6" s="3053" t="s">
        <v>413</v>
      </c>
      <c r="G6" s="3053"/>
      <c r="H6" s="3053"/>
      <c r="I6" s="3053"/>
      <c r="J6" s="3053"/>
      <c r="K6" s="3072"/>
      <c r="L6" s="3073"/>
      <c r="M6" s="409"/>
      <c r="N6" s="704"/>
      <c r="O6" s="704"/>
      <c r="P6" s="1037"/>
      <c r="Q6" s="1122"/>
    </row>
    <row r="7" spans="2:17" x14ac:dyDescent="0.2">
      <c r="B7" s="1121"/>
      <c r="C7" s="1568"/>
      <c r="D7" s="1228"/>
      <c r="E7" s="1219" t="s">
        <v>290</v>
      </c>
      <c r="F7" s="3053" t="s">
        <v>9054</v>
      </c>
      <c r="G7" s="3053"/>
      <c r="H7" s="3053"/>
      <c r="I7" s="3053"/>
      <c r="J7" s="3053"/>
      <c r="K7" s="3072"/>
      <c r="L7" s="3073"/>
      <c r="M7" s="409"/>
      <c r="N7" s="704"/>
      <c r="O7" s="704"/>
      <c r="P7" s="1037"/>
      <c r="Q7" s="1122"/>
    </row>
    <row r="8" spans="2:17" x14ac:dyDescent="0.2">
      <c r="B8" s="1121"/>
      <c r="C8" s="1568"/>
      <c r="D8" s="1228"/>
      <c r="E8" s="1232" t="s">
        <v>293</v>
      </c>
      <c r="F8" s="3043" t="s">
        <v>9055</v>
      </c>
      <c r="G8" s="3044"/>
      <c r="H8" s="3044"/>
      <c r="I8" s="3070"/>
      <c r="J8" s="3070"/>
      <c r="K8" s="3070"/>
      <c r="L8" s="3070"/>
      <c r="M8" s="409"/>
      <c r="N8" s="704"/>
      <c r="O8" s="704"/>
      <c r="P8" s="1037"/>
      <c r="Q8" s="1122"/>
    </row>
    <row r="9" spans="2:17" x14ac:dyDescent="0.2">
      <c r="B9" s="1121"/>
      <c r="C9" s="1568"/>
      <c r="D9" s="1228"/>
      <c r="E9" s="1233"/>
      <c r="F9" s="1312" t="s">
        <v>8280</v>
      </c>
      <c r="G9" s="26" t="s">
        <v>414</v>
      </c>
      <c r="H9" s="1344" t="s">
        <v>415</v>
      </c>
      <c r="I9" s="184"/>
      <c r="J9" s="182"/>
      <c r="K9" s="182"/>
      <c r="L9" s="182"/>
      <c r="M9" s="704"/>
      <c r="N9" s="704"/>
      <c r="O9" s="704"/>
      <c r="P9" s="1037"/>
      <c r="Q9" s="1122"/>
    </row>
    <row r="10" spans="2:17" x14ac:dyDescent="0.2">
      <c r="B10" s="1121"/>
      <c r="C10" s="1568"/>
      <c r="D10" s="1228"/>
      <c r="E10" s="1233"/>
      <c r="F10" s="1115">
        <v>1</v>
      </c>
      <c r="G10" s="1618"/>
      <c r="H10" s="1339"/>
      <c r="I10" s="409"/>
      <c r="J10" s="704"/>
      <c r="K10" s="704"/>
      <c r="L10" s="704"/>
      <c r="M10" s="704"/>
      <c r="N10" s="704"/>
      <c r="O10" s="704"/>
      <c r="P10" s="1037"/>
      <c r="Q10" s="1122"/>
    </row>
    <row r="11" spans="2:17" x14ac:dyDescent="0.2">
      <c r="B11" s="1121"/>
      <c r="C11" s="1568"/>
      <c r="D11" s="1228"/>
      <c r="E11" s="1233"/>
      <c r="F11" s="1115">
        <f>F10+1</f>
        <v>2</v>
      </c>
      <c r="G11" s="1618"/>
      <c r="H11" s="1339"/>
      <c r="I11" s="409"/>
      <c r="J11" s="704"/>
      <c r="K11" s="704"/>
      <c r="L11" s="704"/>
      <c r="M11" s="704"/>
      <c r="N11" s="704"/>
      <c r="O11" s="704"/>
      <c r="P11" s="1037"/>
      <c r="Q11" s="1122"/>
    </row>
    <row r="12" spans="2:17" ht="17.25" customHeight="1" x14ac:dyDescent="0.2">
      <c r="B12" s="1121"/>
      <c r="C12" s="1568"/>
      <c r="D12" s="1228"/>
      <c r="E12" s="1233"/>
      <c r="F12" s="3074"/>
      <c r="G12" s="3074"/>
      <c r="H12" s="3089"/>
      <c r="I12" s="409"/>
      <c r="J12" s="704"/>
      <c r="K12" s="704"/>
      <c r="L12" s="704"/>
      <c r="M12" s="704"/>
      <c r="N12" s="704"/>
      <c r="O12" s="704"/>
      <c r="P12" s="1037"/>
      <c r="Q12" s="1122"/>
    </row>
    <row r="13" spans="2:17" ht="14.25" customHeight="1" x14ac:dyDescent="0.2">
      <c r="B13" s="1121"/>
      <c r="C13" s="1568"/>
      <c r="D13" s="1228"/>
      <c r="E13" s="1233"/>
      <c r="F13" s="3075"/>
      <c r="G13" s="3075"/>
      <c r="H13" s="3090"/>
      <c r="I13" s="411"/>
      <c r="J13" s="1229"/>
      <c r="K13" s="1229"/>
      <c r="L13" s="1229"/>
      <c r="M13" s="704"/>
      <c r="N13" s="704"/>
      <c r="O13" s="704"/>
      <c r="P13" s="704"/>
      <c r="Q13" s="1122"/>
    </row>
    <row r="14" spans="2:17" x14ac:dyDescent="0.2">
      <c r="B14" s="1121"/>
      <c r="C14" s="1568"/>
      <c r="D14" s="1228"/>
      <c r="E14" s="1234"/>
      <c r="F14" s="2422" t="s">
        <v>293</v>
      </c>
      <c r="G14" s="2423" t="s">
        <v>13005</v>
      </c>
      <c r="H14" s="2300"/>
      <c r="I14" s="2300"/>
      <c r="J14" s="2300"/>
      <c r="K14" s="3060">
        <f>SUM(TradingAcc_RevenueAmount)</f>
        <v>0</v>
      </c>
      <c r="L14" s="3061"/>
      <c r="M14" s="2298"/>
      <c r="N14" s="2298"/>
      <c r="O14" s="2298"/>
      <c r="P14" s="2299"/>
      <c r="Q14" s="1122"/>
    </row>
    <row r="15" spans="2:17" x14ac:dyDescent="0.2">
      <c r="B15" s="1121"/>
      <c r="C15" s="1568"/>
      <c r="D15" s="1223"/>
      <c r="E15" s="1219" t="s">
        <v>296</v>
      </c>
      <c r="F15" s="3063" t="s">
        <v>13004</v>
      </c>
      <c r="G15" s="3044"/>
      <c r="H15" s="3044"/>
      <c r="I15" s="3044"/>
      <c r="J15" s="3044"/>
      <c r="K15" s="3044"/>
      <c r="L15" s="3044"/>
      <c r="M15" s="1115" t="s">
        <v>420</v>
      </c>
      <c r="N15" s="3060">
        <f>SUM(TradingAcc_SalesOfGoods,TradingAcc_SalesOfServices,TradingAcc_RevenueTotal)</f>
        <v>0</v>
      </c>
      <c r="O15" s="3061"/>
      <c r="P15" s="3062"/>
      <c r="Q15" s="1122"/>
    </row>
    <row r="16" spans="2:17" x14ac:dyDescent="0.2">
      <c r="B16" s="1121"/>
      <c r="C16" s="1568"/>
      <c r="D16" s="1222" t="s">
        <v>312</v>
      </c>
      <c r="E16" s="3043" t="s">
        <v>7689</v>
      </c>
      <c r="F16" s="3044"/>
      <c r="G16" s="3044"/>
      <c r="H16" s="3044"/>
      <c r="I16" s="3044"/>
      <c r="J16" s="3044"/>
      <c r="K16" s="3044"/>
      <c r="L16" s="3045"/>
      <c r="M16" s="2296" t="s">
        <v>312</v>
      </c>
      <c r="N16" s="3077"/>
      <c r="O16" s="3078"/>
      <c r="P16" s="3079"/>
      <c r="Q16" s="1122"/>
    </row>
    <row r="17" spans="2:17" x14ac:dyDescent="0.2">
      <c r="B17" s="1121"/>
      <c r="C17" s="1568"/>
      <c r="D17" s="3083" t="s">
        <v>315</v>
      </c>
      <c r="E17" s="3053" t="s">
        <v>9183</v>
      </c>
      <c r="F17" s="3053"/>
      <c r="G17" s="3053"/>
      <c r="H17" s="3053"/>
      <c r="I17" s="3053"/>
      <c r="J17" s="3053"/>
      <c r="K17" s="3053"/>
      <c r="L17" s="3043"/>
      <c r="M17" s="409"/>
      <c r="N17" s="704"/>
      <c r="O17" s="704"/>
      <c r="P17" s="1037"/>
      <c r="Q17" s="1122"/>
    </row>
    <row r="18" spans="2:17" x14ac:dyDescent="0.2">
      <c r="B18" s="1121"/>
      <c r="C18" s="1568"/>
      <c r="D18" s="3083"/>
      <c r="E18" s="1115" t="s">
        <v>287</v>
      </c>
      <c r="F18" s="3053" t="s">
        <v>9184</v>
      </c>
      <c r="G18" s="3053"/>
      <c r="H18" s="3053"/>
      <c r="I18" s="3053"/>
      <c r="J18" s="3053"/>
      <c r="K18" s="3072"/>
      <c r="L18" s="3073"/>
      <c r="M18" s="409"/>
      <c r="N18" s="704"/>
      <c r="O18" s="704"/>
      <c r="P18" s="1037"/>
      <c r="Q18" s="1122"/>
    </row>
    <row r="19" spans="2:17" x14ac:dyDescent="0.2">
      <c r="B19" s="1121"/>
      <c r="C19" s="1568"/>
      <c r="D19" s="3083"/>
      <c r="E19" s="1115" t="s">
        <v>290</v>
      </c>
      <c r="F19" s="3053" t="s">
        <v>9185</v>
      </c>
      <c r="G19" s="3053"/>
      <c r="H19" s="3053"/>
      <c r="I19" s="3053"/>
      <c r="J19" s="3053"/>
      <c r="K19" s="3072"/>
      <c r="L19" s="3073"/>
      <c r="M19" s="409"/>
      <c r="N19" s="704"/>
      <c r="O19" s="704"/>
      <c r="P19" s="1037"/>
      <c r="Q19" s="1122"/>
    </row>
    <row r="20" spans="2:17" x14ac:dyDescent="0.2">
      <c r="B20" s="1121"/>
      <c r="C20" s="1568"/>
      <c r="D20" s="3083"/>
      <c r="E20" s="1115" t="s">
        <v>293</v>
      </c>
      <c r="F20" s="3053" t="s">
        <v>422</v>
      </c>
      <c r="G20" s="3053"/>
      <c r="H20" s="3053"/>
      <c r="I20" s="3053"/>
      <c r="J20" s="3053"/>
      <c r="K20" s="3072"/>
      <c r="L20" s="3073"/>
      <c r="M20" s="409"/>
      <c r="N20" s="704"/>
      <c r="O20" s="704"/>
      <c r="P20" s="1037"/>
      <c r="Q20" s="1122"/>
    </row>
    <row r="21" spans="2:17" x14ac:dyDescent="0.2">
      <c r="B21" s="1121"/>
      <c r="C21" s="1568"/>
      <c r="D21" s="3083"/>
      <c r="E21" s="1115" t="s">
        <v>296</v>
      </c>
      <c r="F21" s="3053" t="s">
        <v>8248</v>
      </c>
      <c r="G21" s="3053"/>
      <c r="H21" s="3053"/>
      <c r="I21" s="3053"/>
      <c r="J21" s="3053"/>
      <c r="K21" s="3072"/>
      <c r="L21" s="3073"/>
      <c r="M21" s="409"/>
      <c r="N21" s="704"/>
      <c r="O21" s="704"/>
      <c r="P21" s="1037"/>
      <c r="Q21" s="1122"/>
    </row>
    <row r="22" spans="2:17" x14ac:dyDescent="0.2">
      <c r="B22" s="1121"/>
      <c r="C22" s="1568"/>
      <c r="D22" s="3083"/>
      <c r="E22" s="1115" t="s">
        <v>299</v>
      </c>
      <c r="F22" s="3053" t="s">
        <v>8249</v>
      </c>
      <c r="G22" s="3053"/>
      <c r="H22" s="3053"/>
      <c r="I22" s="3053"/>
      <c r="J22" s="3053"/>
      <c r="K22" s="3072"/>
      <c r="L22" s="3073"/>
      <c r="M22" s="409"/>
      <c r="N22" s="704"/>
      <c r="O22" s="704"/>
      <c r="P22" s="1037"/>
      <c r="Q22" s="1122"/>
    </row>
    <row r="23" spans="2:17" x14ac:dyDescent="0.2">
      <c r="B23" s="1121"/>
      <c r="C23" s="1568"/>
      <c r="D23" s="3083"/>
      <c r="E23" s="1115" t="s">
        <v>430</v>
      </c>
      <c r="F23" s="3053" t="s">
        <v>8250</v>
      </c>
      <c r="G23" s="3053"/>
      <c r="H23" s="3053"/>
      <c r="I23" s="3053"/>
      <c r="J23" s="3053"/>
      <c r="K23" s="3072"/>
      <c r="L23" s="3073"/>
      <c r="M23" s="409"/>
      <c r="N23" s="704"/>
      <c r="O23" s="704"/>
      <c r="P23" s="1037"/>
      <c r="Q23" s="1122"/>
    </row>
    <row r="24" spans="2:17" x14ac:dyDescent="0.2">
      <c r="B24" s="1121"/>
      <c r="C24" s="1568"/>
      <c r="D24" s="3083"/>
      <c r="E24" s="1115" t="s">
        <v>432</v>
      </c>
      <c r="F24" s="3053" t="s">
        <v>8251</v>
      </c>
      <c r="G24" s="3053"/>
      <c r="H24" s="3053"/>
      <c r="I24" s="3053"/>
      <c r="J24" s="3053"/>
      <c r="K24" s="3072"/>
      <c r="L24" s="3073"/>
      <c r="M24" s="409"/>
      <c r="N24" s="704"/>
      <c r="O24" s="704"/>
      <c r="P24" s="1037"/>
      <c r="Q24" s="1122"/>
    </row>
    <row r="25" spans="2:17" x14ac:dyDescent="0.2">
      <c r="B25" s="1121"/>
      <c r="C25" s="1568"/>
      <c r="D25" s="3083"/>
      <c r="E25" s="1115" t="s">
        <v>434</v>
      </c>
      <c r="F25" s="3082" t="s">
        <v>423</v>
      </c>
      <c r="G25" s="3082"/>
      <c r="H25" s="3082"/>
      <c r="I25" s="3082"/>
      <c r="J25" s="3082"/>
      <c r="K25" s="3072"/>
      <c r="L25" s="3073"/>
      <c r="M25" s="411"/>
      <c r="N25" s="1229"/>
      <c r="O25" s="1229"/>
      <c r="P25" s="1036"/>
      <c r="Q25" s="1122"/>
    </row>
    <row r="26" spans="2:17" x14ac:dyDescent="0.2">
      <c r="B26" s="1121"/>
      <c r="C26" s="1568"/>
      <c r="D26" s="3083"/>
      <c r="E26" s="1115" t="s">
        <v>435</v>
      </c>
      <c r="F26" s="3043" t="s">
        <v>9186</v>
      </c>
      <c r="G26" s="3044"/>
      <c r="H26" s="3044"/>
      <c r="I26" s="3044"/>
      <c r="J26" s="3044"/>
      <c r="K26" s="3044"/>
      <c r="L26" s="3045"/>
      <c r="M26" s="1115" t="s">
        <v>9199</v>
      </c>
      <c r="N26" s="3060">
        <f>SUM(TradingAcc_UnionExciseDuties,TradingAcc_ServiceTax,TradingAcc_VatOrSalesTax,TradingAcc_CGST,TradingAcc_SGST,TradingAcc_IGST,TradingAcc_UTGST,TradingAcc_AnyOtherDuty)</f>
        <v>0</v>
      </c>
      <c r="O26" s="3061"/>
      <c r="P26" s="3062"/>
      <c r="Q26" s="1122"/>
    </row>
    <row r="27" spans="2:17" x14ac:dyDescent="0.2">
      <c r="B27" s="1121"/>
      <c r="C27" s="1222"/>
      <c r="D27" s="1115" t="s">
        <v>355</v>
      </c>
      <c r="E27" s="3043" t="s">
        <v>9187</v>
      </c>
      <c r="F27" s="3044"/>
      <c r="G27" s="3044"/>
      <c r="H27" s="3044"/>
      <c r="I27" s="3044"/>
      <c r="J27" s="3044"/>
      <c r="K27" s="3044"/>
      <c r="L27" s="3045"/>
      <c r="M27" s="1115" t="s">
        <v>9200</v>
      </c>
      <c r="N27" s="3060">
        <f>SUM(TradingAcc_TotalOfSalesOrGross,TradingAcc_GrossRecieptsFromProfession,TradingAcc_TotalDutiesTaxesCess)</f>
        <v>0</v>
      </c>
      <c r="O27" s="3061"/>
      <c r="P27" s="3062"/>
      <c r="Q27" s="1122"/>
    </row>
    <row r="28" spans="2:17" x14ac:dyDescent="0.2">
      <c r="B28" s="1121"/>
      <c r="C28" s="1115">
        <v>5</v>
      </c>
      <c r="D28" s="3063" t="s">
        <v>9188</v>
      </c>
      <c r="E28" s="3091"/>
      <c r="F28" s="3091"/>
      <c r="G28" s="3091"/>
      <c r="H28" s="3091"/>
      <c r="I28" s="3091"/>
      <c r="J28" s="3091"/>
      <c r="K28" s="3091"/>
      <c r="L28" s="3092"/>
      <c r="M28" s="2297">
        <v>5</v>
      </c>
      <c r="N28" s="3072"/>
      <c r="O28" s="3073"/>
      <c r="P28" s="3076"/>
      <c r="Q28" s="1122"/>
    </row>
    <row r="29" spans="2:17" x14ac:dyDescent="0.2">
      <c r="B29" s="1121"/>
      <c r="C29" s="1115">
        <v>6</v>
      </c>
      <c r="D29" s="3043" t="s">
        <v>9189</v>
      </c>
      <c r="E29" s="3044"/>
      <c r="F29" s="3044"/>
      <c r="G29" s="3044"/>
      <c r="H29" s="3044"/>
      <c r="I29" s="3044"/>
      <c r="J29" s="3044"/>
      <c r="K29" s="3044"/>
      <c r="L29" s="3045"/>
      <c r="M29" s="1115">
        <v>6</v>
      </c>
      <c r="N29" s="3060">
        <f>SUM(TradingAcc_TotalRevenueFromOperations,TradingAcc_ClosingStockOfFinishedStocks)</f>
        <v>0</v>
      </c>
      <c r="O29" s="3061"/>
      <c r="P29" s="3062"/>
      <c r="Q29" s="1122"/>
    </row>
    <row r="30" spans="2:17" x14ac:dyDescent="0.2">
      <c r="B30" s="1121"/>
      <c r="C30" s="1115">
        <v>7</v>
      </c>
      <c r="D30" s="3043" t="s">
        <v>9190</v>
      </c>
      <c r="E30" s="3044"/>
      <c r="F30" s="3044"/>
      <c r="G30" s="3044"/>
      <c r="H30" s="3044"/>
      <c r="I30" s="3044"/>
      <c r="J30" s="3044"/>
      <c r="K30" s="3044"/>
      <c r="L30" s="3045"/>
      <c r="M30" s="2297">
        <v>7</v>
      </c>
      <c r="N30" s="3077"/>
      <c r="O30" s="3078"/>
      <c r="P30" s="3079"/>
      <c r="Q30" s="1122"/>
    </row>
    <row r="31" spans="2:17" x14ac:dyDescent="0.2">
      <c r="B31" s="1121"/>
      <c r="C31" s="1230">
        <v>8</v>
      </c>
      <c r="D31" s="3043" t="s">
        <v>442</v>
      </c>
      <c r="E31" s="3044"/>
      <c r="F31" s="3044"/>
      <c r="G31" s="3044"/>
      <c r="H31" s="3044"/>
      <c r="I31" s="3044"/>
      <c r="J31" s="3044"/>
      <c r="K31" s="3044"/>
      <c r="L31" s="3045"/>
      <c r="M31" s="2297">
        <v>8</v>
      </c>
      <c r="N31" s="3072"/>
      <c r="O31" s="3073"/>
      <c r="P31" s="3076"/>
      <c r="Q31" s="1122"/>
    </row>
    <row r="32" spans="2:17" x14ac:dyDescent="0.2">
      <c r="B32" s="1121"/>
      <c r="C32" s="1230">
        <v>9</v>
      </c>
      <c r="D32" s="3091" t="s">
        <v>13156</v>
      </c>
      <c r="E32" s="3044"/>
      <c r="F32" s="3044"/>
      <c r="G32" s="3044"/>
      <c r="H32" s="3044"/>
      <c r="I32" s="3044"/>
      <c r="J32" s="3044"/>
      <c r="K32" s="3044"/>
      <c r="L32" s="3045"/>
      <c r="M32" s="1115">
        <v>9</v>
      </c>
      <c r="N32" s="3060">
        <f>SUM(TradingAcc_CarriageInward,TradingAcc_PowerAndFuel,SUM(TradingAcc_OtherDirectAmount))</f>
        <v>0</v>
      </c>
      <c r="O32" s="3061"/>
      <c r="P32" s="3062"/>
      <c r="Q32" s="1122"/>
    </row>
    <row r="33" spans="2:17" x14ac:dyDescent="0.2">
      <c r="B33" s="1121"/>
      <c r="C33" s="1568"/>
      <c r="D33" s="1219" t="s">
        <v>287</v>
      </c>
      <c r="E33" s="3043" t="s">
        <v>9030</v>
      </c>
      <c r="F33" s="3044"/>
      <c r="G33" s="3044"/>
      <c r="H33" s="3044"/>
      <c r="I33" s="3044"/>
      <c r="J33" s="3045"/>
      <c r="K33" s="3072"/>
      <c r="L33" s="3073"/>
      <c r="M33" s="184"/>
      <c r="N33" s="182"/>
      <c r="O33" s="182"/>
      <c r="P33" s="1035"/>
      <c r="Q33" s="1122"/>
    </row>
    <row r="34" spans="2:17" x14ac:dyDescent="0.2">
      <c r="B34" s="1121"/>
      <c r="C34" s="1568"/>
      <c r="D34" s="1231" t="s">
        <v>290</v>
      </c>
      <c r="E34" s="3069" t="s">
        <v>9031</v>
      </c>
      <c r="F34" s="3070"/>
      <c r="G34" s="3070"/>
      <c r="H34" s="3070"/>
      <c r="I34" s="3070"/>
      <c r="J34" s="3071"/>
      <c r="K34" s="3072"/>
      <c r="L34" s="3073"/>
      <c r="M34" s="409"/>
      <c r="N34" s="704"/>
      <c r="O34" s="704"/>
      <c r="P34" s="1037"/>
      <c r="Q34" s="1122"/>
    </row>
    <row r="35" spans="2:17" x14ac:dyDescent="0.2">
      <c r="B35" s="1121"/>
      <c r="C35" s="1568"/>
      <c r="D35" s="1115" t="s">
        <v>293</v>
      </c>
      <c r="E35" s="3043" t="s">
        <v>9032</v>
      </c>
      <c r="F35" s="3044"/>
      <c r="G35" s="3044"/>
      <c r="H35" s="3044"/>
      <c r="I35" s="3044"/>
      <c r="J35" s="3045"/>
      <c r="K35" s="3080"/>
      <c r="L35" s="3081"/>
      <c r="M35" s="704"/>
      <c r="N35" s="704"/>
      <c r="O35" s="704"/>
      <c r="P35" s="1037"/>
      <c r="Q35" s="1122"/>
    </row>
    <row r="36" spans="2:17" x14ac:dyDescent="0.2">
      <c r="B36" s="1121"/>
      <c r="C36" s="1568"/>
      <c r="D36" s="310"/>
      <c r="E36" s="310"/>
      <c r="F36" s="26" t="s">
        <v>8280</v>
      </c>
      <c r="G36" s="1115" t="s">
        <v>9191</v>
      </c>
      <c r="H36" s="1115" t="s">
        <v>415</v>
      </c>
      <c r="I36" s="184"/>
      <c r="J36" s="182"/>
      <c r="K36" s="704"/>
      <c r="L36" s="704"/>
      <c r="M36" s="704"/>
      <c r="N36" s="704"/>
      <c r="O36" s="704"/>
      <c r="P36" s="1037"/>
      <c r="Q36" s="1168"/>
    </row>
    <row r="37" spans="2:17" x14ac:dyDescent="0.2">
      <c r="B37" s="1121"/>
      <c r="C37" s="1568"/>
      <c r="D37" s="310"/>
      <c r="E37" s="310"/>
      <c r="F37" s="1115">
        <v>1</v>
      </c>
      <c r="G37" s="1618"/>
      <c r="H37" s="1339"/>
      <c r="I37" s="409"/>
      <c r="J37" s="704"/>
      <c r="K37" s="704"/>
      <c r="L37" s="704"/>
      <c r="M37" s="704"/>
      <c r="N37" s="704"/>
      <c r="O37" s="704"/>
      <c r="P37" s="1037"/>
      <c r="Q37" s="1168"/>
    </row>
    <row r="38" spans="2:17" x14ac:dyDescent="0.2">
      <c r="B38" s="1121"/>
      <c r="C38" s="1568"/>
      <c r="D38" s="310"/>
      <c r="E38" s="310"/>
      <c r="F38" s="1115">
        <f>F37+1</f>
        <v>2</v>
      </c>
      <c r="G38" s="1618"/>
      <c r="H38" s="1339"/>
      <c r="I38" s="409"/>
      <c r="J38" s="704"/>
      <c r="K38" s="704"/>
      <c r="L38" s="704"/>
      <c r="M38" s="704"/>
      <c r="N38" s="704"/>
      <c r="O38" s="704"/>
      <c r="P38" s="1037"/>
      <c r="Q38" s="1168"/>
    </row>
    <row r="39" spans="2:17" ht="15.75" customHeight="1" x14ac:dyDescent="0.2">
      <c r="B39" s="1121"/>
      <c r="C39" s="1568"/>
      <c r="D39" s="310"/>
      <c r="E39" s="305"/>
      <c r="F39" s="3074"/>
      <c r="G39" s="3074"/>
      <c r="H39" s="3074"/>
      <c r="I39" s="409"/>
      <c r="J39" s="704"/>
      <c r="K39" s="704"/>
      <c r="L39" s="704"/>
      <c r="M39" s="704"/>
      <c r="N39" s="704"/>
      <c r="O39" s="704"/>
      <c r="P39" s="1037"/>
      <c r="Q39" s="1168"/>
    </row>
    <row r="40" spans="2:17" ht="14.25" customHeight="1" x14ac:dyDescent="0.2">
      <c r="B40" s="1121"/>
      <c r="C40" s="1568"/>
      <c r="D40" s="310"/>
      <c r="E40" s="310"/>
      <c r="F40" s="3075"/>
      <c r="G40" s="3075"/>
      <c r="H40" s="3075"/>
      <c r="I40" s="409"/>
      <c r="J40" s="704"/>
      <c r="K40" s="704"/>
      <c r="L40" s="704"/>
      <c r="M40" s="704"/>
      <c r="N40" s="704"/>
      <c r="O40" s="704"/>
      <c r="P40" s="1037"/>
      <c r="Q40" s="1168"/>
    </row>
    <row r="41" spans="2:17" ht="14.25" customHeight="1" x14ac:dyDescent="0.2">
      <c r="B41" s="1121"/>
      <c r="C41" s="1222"/>
      <c r="D41" s="310"/>
      <c r="E41" s="310"/>
      <c r="F41" s="26" t="s">
        <v>12733</v>
      </c>
      <c r="G41" s="2440" t="s">
        <v>749</v>
      </c>
      <c r="H41" s="2441"/>
      <c r="I41" s="2441"/>
      <c r="J41" s="2441"/>
      <c r="K41" s="3060">
        <f>SUM(TradingAcc_OtherDirectAmount)</f>
        <v>0</v>
      </c>
      <c r="L41" s="3061"/>
      <c r="M41" s="704"/>
      <c r="N41" s="704"/>
      <c r="O41" s="704"/>
      <c r="P41" s="2439"/>
      <c r="Q41" s="1168"/>
    </row>
    <row r="42" spans="2:17" x14ac:dyDescent="0.2">
      <c r="B42" s="1121"/>
      <c r="C42" s="3056">
        <v>10</v>
      </c>
      <c r="D42" s="3053" t="s">
        <v>443</v>
      </c>
      <c r="E42" s="3053"/>
      <c r="F42" s="3053"/>
      <c r="G42" s="3053"/>
      <c r="H42" s="3053"/>
      <c r="I42" s="3053"/>
      <c r="J42" s="3053"/>
      <c r="K42" s="3053"/>
      <c r="L42" s="3053"/>
      <c r="M42" s="704"/>
      <c r="N42" s="704"/>
      <c r="O42" s="704"/>
      <c r="P42" s="1037"/>
      <c r="Q42" s="1122"/>
    </row>
    <row r="43" spans="2:17" x14ac:dyDescent="0.2">
      <c r="B43" s="1121"/>
      <c r="C43" s="3067"/>
      <c r="D43" s="1230" t="s">
        <v>287</v>
      </c>
      <c r="E43" s="3069" t="s">
        <v>9192</v>
      </c>
      <c r="F43" s="3070"/>
      <c r="G43" s="3070"/>
      <c r="H43" s="3070"/>
      <c r="I43" s="3070"/>
      <c r="J43" s="3071"/>
      <c r="K43" s="3046"/>
      <c r="L43" s="3046"/>
      <c r="M43" s="704"/>
      <c r="N43" s="704"/>
      <c r="O43" s="704"/>
      <c r="P43" s="1037"/>
      <c r="Q43" s="1122"/>
    </row>
    <row r="44" spans="2:17" x14ac:dyDescent="0.2">
      <c r="B44" s="1121"/>
      <c r="C44" s="3067"/>
      <c r="D44" s="1230" t="s">
        <v>290</v>
      </c>
      <c r="E44" s="3069" t="s">
        <v>9193</v>
      </c>
      <c r="F44" s="3070"/>
      <c r="G44" s="3070"/>
      <c r="H44" s="3070"/>
      <c r="I44" s="3070"/>
      <c r="J44" s="3071"/>
      <c r="K44" s="3046"/>
      <c r="L44" s="3046"/>
      <c r="M44" s="704"/>
      <c r="N44" s="704"/>
      <c r="O44" s="704"/>
      <c r="P44" s="1037"/>
      <c r="Q44" s="1122"/>
    </row>
    <row r="45" spans="2:17" x14ac:dyDescent="0.2">
      <c r="B45" s="1121"/>
      <c r="C45" s="3067"/>
      <c r="D45" s="1230" t="s">
        <v>293</v>
      </c>
      <c r="E45" s="3069" t="s">
        <v>9194</v>
      </c>
      <c r="F45" s="3070"/>
      <c r="G45" s="3070"/>
      <c r="H45" s="3070"/>
      <c r="I45" s="3070"/>
      <c r="J45" s="3071"/>
      <c r="K45" s="3046"/>
      <c r="L45" s="3046"/>
      <c r="M45" s="704"/>
      <c r="N45" s="704"/>
      <c r="O45" s="704"/>
      <c r="P45" s="1037"/>
      <c r="Q45" s="1122"/>
    </row>
    <row r="46" spans="2:17" x14ac:dyDescent="0.2">
      <c r="B46" s="1121"/>
      <c r="C46" s="3067"/>
      <c r="D46" s="1230" t="s">
        <v>296</v>
      </c>
      <c r="E46" s="3069" t="s">
        <v>9195</v>
      </c>
      <c r="F46" s="3070"/>
      <c r="G46" s="3070"/>
      <c r="H46" s="3070"/>
      <c r="I46" s="3070"/>
      <c r="J46" s="3071"/>
      <c r="K46" s="3046"/>
      <c r="L46" s="3046"/>
      <c r="M46" s="704"/>
      <c r="N46" s="704"/>
      <c r="O46" s="704"/>
      <c r="P46" s="1037"/>
      <c r="Q46" s="1122"/>
    </row>
    <row r="47" spans="2:17" x14ac:dyDescent="0.2">
      <c r="B47" s="1121"/>
      <c r="C47" s="3067"/>
      <c r="D47" s="1230" t="s">
        <v>299</v>
      </c>
      <c r="E47" s="3069" t="s">
        <v>9185</v>
      </c>
      <c r="F47" s="3070"/>
      <c r="G47" s="3070"/>
      <c r="H47" s="3070"/>
      <c r="I47" s="3070"/>
      <c r="J47" s="3071"/>
      <c r="K47" s="3046"/>
      <c r="L47" s="3046"/>
      <c r="M47" s="704"/>
      <c r="N47" s="704"/>
      <c r="O47" s="704"/>
      <c r="P47" s="1037"/>
      <c r="Q47" s="1122"/>
    </row>
    <row r="48" spans="2:17" x14ac:dyDescent="0.2">
      <c r="B48" s="1121"/>
      <c r="C48" s="3067"/>
      <c r="D48" s="1230" t="s">
        <v>430</v>
      </c>
      <c r="E48" s="3069" t="s">
        <v>422</v>
      </c>
      <c r="F48" s="3070"/>
      <c r="G48" s="3070"/>
      <c r="H48" s="3070"/>
      <c r="I48" s="3070"/>
      <c r="J48" s="3071"/>
      <c r="K48" s="3046"/>
      <c r="L48" s="3046"/>
      <c r="M48" s="704"/>
      <c r="N48" s="704"/>
      <c r="O48" s="704"/>
      <c r="P48" s="1037"/>
      <c r="Q48" s="1122"/>
    </row>
    <row r="49" spans="2:17" x14ac:dyDescent="0.2">
      <c r="B49" s="1121"/>
      <c r="C49" s="3067"/>
      <c r="D49" s="1230" t="s">
        <v>432</v>
      </c>
      <c r="E49" s="3069" t="s">
        <v>8248</v>
      </c>
      <c r="F49" s="3070"/>
      <c r="G49" s="3070"/>
      <c r="H49" s="3070"/>
      <c r="I49" s="3070"/>
      <c r="J49" s="3071"/>
      <c r="K49" s="3046"/>
      <c r="L49" s="3046"/>
      <c r="M49" s="704"/>
      <c r="N49" s="704"/>
      <c r="O49" s="704"/>
      <c r="P49" s="1037"/>
      <c r="Q49" s="1122"/>
    </row>
    <row r="50" spans="2:17" x14ac:dyDescent="0.2">
      <c r="B50" s="1121"/>
      <c r="C50" s="3067"/>
      <c r="D50" s="1230" t="s">
        <v>434</v>
      </c>
      <c r="E50" s="3069" t="s">
        <v>8249</v>
      </c>
      <c r="F50" s="3070"/>
      <c r="G50" s="3070"/>
      <c r="H50" s="3070"/>
      <c r="I50" s="3070"/>
      <c r="J50" s="3071"/>
      <c r="K50" s="3046"/>
      <c r="L50" s="3046"/>
      <c r="M50" s="704"/>
      <c r="N50" s="704"/>
      <c r="O50" s="704"/>
      <c r="P50" s="1037"/>
      <c r="Q50" s="1122"/>
    </row>
    <row r="51" spans="2:17" x14ac:dyDescent="0.2">
      <c r="B51" s="1121"/>
      <c r="C51" s="3067"/>
      <c r="D51" s="1230" t="s">
        <v>435</v>
      </c>
      <c r="E51" s="3069" t="s">
        <v>8250</v>
      </c>
      <c r="F51" s="3070"/>
      <c r="G51" s="3070"/>
      <c r="H51" s="3070"/>
      <c r="I51" s="3070"/>
      <c r="J51" s="3071"/>
      <c r="K51" s="3046"/>
      <c r="L51" s="3046"/>
      <c r="M51" s="704"/>
      <c r="N51" s="704"/>
      <c r="O51" s="704"/>
      <c r="P51" s="1037"/>
      <c r="Q51" s="1122"/>
    </row>
    <row r="52" spans="2:17" x14ac:dyDescent="0.2">
      <c r="B52" s="1121"/>
      <c r="C52" s="3067"/>
      <c r="D52" s="1230" t="s">
        <v>437</v>
      </c>
      <c r="E52" s="3069" t="s">
        <v>8251</v>
      </c>
      <c r="F52" s="3070"/>
      <c r="G52" s="3070"/>
      <c r="H52" s="3070"/>
      <c r="I52" s="3070"/>
      <c r="J52" s="3071"/>
      <c r="K52" s="3046"/>
      <c r="L52" s="3046"/>
      <c r="M52" s="704"/>
      <c r="N52" s="704"/>
      <c r="O52" s="704"/>
      <c r="P52" s="1037"/>
      <c r="Q52" s="1122"/>
    </row>
    <row r="53" spans="2:17" x14ac:dyDescent="0.2">
      <c r="B53" s="1121"/>
      <c r="C53" s="3067"/>
      <c r="D53" s="1230" t="s">
        <v>439</v>
      </c>
      <c r="E53" s="3069" t="s">
        <v>9196</v>
      </c>
      <c r="F53" s="3070"/>
      <c r="G53" s="3070"/>
      <c r="H53" s="3070"/>
      <c r="I53" s="3070"/>
      <c r="J53" s="3071"/>
      <c r="K53" s="3046"/>
      <c r="L53" s="3046"/>
      <c r="M53" s="704"/>
      <c r="N53" s="1229"/>
      <c r="O53" s="1229"/>
      <c r="P53" s="1036"/>
      <c r="Q53" s="1122"/>
    </row>
    <row r="54" spans="2:17" x14ac:dyDescent="0.2">
      <c r="B54" s="1121"/>
      <c r="C54" s="3067"/>
      <c r="D54" s="1115" t="s">
        <v>462</v>
      </c>
      <c r="E54" s="3053" t="s">
        <v>9197</v>
      </c>
      <c r="F54" s="3053"/>
      <c r="G54" s="3053"/>
      <c r="H54" s="3053"/>
      <c r="I54" s="3053"/>
      <c r="J54" s="3053"/>
      <c r="K54" s="3053"/>
      <c r="L54" s="3053"/>
      <c r="M54" s="1115" t="s">
        <v>9201</v>
      </c>
      <c r="N54" s="3060">
        <f>SUM(TradingAcc_CustomDuty,TradingAcc_CounterVeilingDuty,TradingAcc_SpecialAdditionalDuty,TradingAcc_UnionExciseDuty,TradingAcc_DutiesServiceTax,TradingAcc_DutiesVatOrSalesTax,TradingAcc_DutiesCGST,TradingAcc_DutiesSGST,TradingAcc_DutiesIGST,TradingAcc_DutiesUTGST,TradingAcc_DutiesAnyOtherTax)</f>
        <v>0</v>
      </c>
      <c r="O54" s="3061"/>
      <c r="P54" s="3062"/>
      <c r="Q54" s="1122"/>
    </row>
    <row r="55" spans="2:17" x14ac:dyDescent="0.2">
      <c r="B55" s="1121"/>
      <c r="C55" s="1115">
        <v>11</v>
      </c>
      <c r="D55" s="3053" t="s">
        <v>9198</v>
      </c>
      <c r="E55" s="3053"/>
      <c r="F55" s="3053"/>
      <c r="G55" s="3053"/>
      <c r="H55" s="3053"/>
      <c r="I55" s="3053"/>
      <c r="J55" s="3053"/>
      <c r="K55" s="3053"/>
      <c r="L55" s="3053"/>
      <c r="M55" s="1115">
        <v>11</v>
      </c>
      <c r="N55" s="3060">
        <f>ManuFactureAcc_CostOfGoodsProduced</f>
        <v>0</v>
      </c>
      <c r="O55" s="3061"/>
      <c r="P55" s="3062"/>
      <c r="Q55" s="1122"/>
    </row>
    <row r="56" spans="2:17" x14ac:dyDescent="0.2">
      <c r="B56" s="1121"/>
      <c r="C56" s="1115">
        <v>12</v>
      </c>
      <c r="D56" s="3068" t="s">
        <v>13003</v>
      </c>
      <c r="E56" s="3053"/>
      <c r="F56" s="3053"/>
      <c r="G56" s="3053"/>
      <c r="H56" s="3053"/>
      <c r="I56" s="3053"/>
      <c r="J56" s="3053"/>
      <c r="K56" s="3053"/>
      <c r="L56" s="3053"/>
      <c r="M56" s="1115">
        <v>12</v>
      </c>
      <c r="N56" s="3060">
        <f>TradingAcc_TotalOfCreditsToTradingAccount-TradingAcc_OpeningStockOfFinishedGoods-TradingAcc_Purchases-TradingAcc_TotalDirectExpenses-TradingAcc_TotalDuties-TradingAcc_CostOfGoods</f>
        <v>0</v>
      </c>
      <c r="O56" s="3061"/>
      <c r="P56" s="3062"/>
      <c r="Q56" s="1122"/>
    </row>
    <row r="57" spans="2:17" ht="13.5" thickBot="1" x14ac:dyDescent="0.25">
      <c r="B57" s="1141"/>
      <c r="C57" s="1144"/>
      <c r="D57" s="1144"/>
      <c r="E57" s="1144"/>
      <c r="F57" s="1144"/>
      <c r="G57" s="1144"/>
      <c r="H57" s="1144"/>
      <c r="I57" s="1144"/>
      <c r="J57" s="1144"/>
      <c r="K57" s="1144"/>
      <c r="L57" s="1144"/>
      <c r="M57" s="1144"/>
      <c r="N57" s="1144"/>
      <c r="O57" s="1144"/>
      <c r="P57" s="1144"/>
      <c r="Q57" s="1156"/>
    </row>
    <row r="58" spans="2:17" x14ac:dyDescent="0.2"/>
    <row r="59" spans="2:17" x14ac:dyDescent="0.2"/>
    <row r="211" customFormat="1" ht="15" hidden="1" x14ac:dyDescent="0.25"/>
    <row r="212" customFormat="1" ht="15" hidden="1" x14ac:dyDescent="0.25"/>
    <row r="213" customFormat="1" ht="15" hidden="1" x14ac:dyDescent="0.25"/>
    <row r="214" customFormat="1" ht="15" hidden="1" x14ac:dyDescent="0.25"/>
    <row r="215" customFormat="1" ht="15" hidden="1" x14ac:dyDescent="0.25"/>
    <row r="216" customFormat="1" ht="15" hidden="1" x14ac:dyDescent="0.25"/>
    <row r="217" customFormat="1" ht="15" hidden="1" x14ac:dyDescent="0.25"/>
    <row r="218" customFormat="1" ht="15" hidden="1" x14ac:dyDescent="0.25"/>
    <row r="219" customFormat="1" ht="15" hidden="1" x14ac:dyDescent="0.25"/>
    <row r="220" customFormat="1" ht="15" hidden="1" x14ac:dyDescent="0.25"/>
    <row r="221" customFormat="1" ht="15" hidden="1" x14ac:dyDescent="0.25"/>
    <row r="222" customFormat="1" ht="15" hidden="1" x14ac:dyDescent="0.25"/>
    <row r="223" customFormat="1" ht="15" hidden="1" x14ac:dyDescent="0.25"/>
    <row r="224" customFormat="1" ht="15" hidden="1" x14ac:dyDescent="0.25"/>
    <row r="225" customFormat="1" ht="15" hidden="1" x14ac:dyDescent="0.25"/>
    <row r="226" customFormat="1" ht="15" hidden="1" x14ac:dyDescent="0.25"/>
    <row r="227" customFormat="1" ht="15" hidden="1" x14ac:dyDescent="0.25"/>
    <row r="228" customFormat="1" ht="15" hidden="1" x14ac:dyDescent="0.25"/>
    <row r="229" customFormat="1" ht="15" hidden="1" x14ac:dyDescent="0.25"/>
    <row r="230" customFormat="1" ht="15" hidden="1" x14ac:dyDescent="0.25"/>
    <row r="231" customFormat="1" ht="15" hidden="1" x14ac:dyDescent="0.25"/>
    <row r="232" customFormat="1" ht="15" hidden="1" x14ac:dyDescent="0.25"/>
    <row r="233" customFormat="1" ht="15" hidden="1" x14ac:dyDescent="0.25"/>
    <row r="234" customFormat="1" ht="15" hidden="1" x14ac:dyDescent="0.25"/>
    <row r="235" customFormat="1" ht="15" hidden="1" x14ac:dyDescent="0.25"/>
    <row r="236" customFormat="1" ht="15" hidden="1" x14ac:dyDescent="0.25"/>
    <row r="237" customFormat="1" ht="15" hidden="1" x14ac:dyDescent="0.25"/>
    <row r="238" customFormat="1" ht="15" hidden="1" x14ac:dyDescent="0.25"/>
    <row r="239" customFormat="1" ht="15" hidden="1" x14ac:dyDescent="0.25"/>
    <row r="240" customFormat="1" ht="15" hidden="1" x14ac:dyDescent="0.25"/>
    <row r="241" customFormat="1" ht="15" hidden="1" x14ac:dyDescent="0.25"/>
    <row r="242" customFormat="1" ht="15" hidden="1" x14ac:dyDescent="0.25"/>
    <row r="243" customFormat="1" ht="15" hidden="1" x14ac:dyDescent="0.25"/>
    <row r="244" customFormat="1" ht="15" hidden="1" x14ac:dyDescent="0.25"/>
    <row r="245" customFormat="1" ht="15" hidden="1" x14ac:dyDescent="0.25"/>
    <row r="246" customFormat="1" ht="15" hidden="1" x14ac:dyDescent="0.25"/>
    <row r="247" customFormat="1" ht="15" hidden="1" x14ac:dyDescent="0.25"/>
    <row r="248" customFormat="1" ht="15" hidden="1" x14ac:dyDescent="0.25"/>
    <row r="249" customFormat="1" ht="15" hidden="1" x14ac:dyDescent="0.25"/>
    <row r="250" customFormat="1" ht="15" hidden="1" x14ac:dyDescent="0.25"/>
    <row r="251" customFormat="1" ht="15" hidden="1" x14ac:dyDescent="0.25"/>
    <row r="252" customFormat="1" ht="15" hidden="1" x14ac:dyDescent="0.25"/>
    <row r="253" customFormat="1" ht="15" hidden="1" x14ac:dyDescent="0.25"/>
    <row r="254" customFormat="1" ht="15" hidden="1" x14ac:dyDescent="0.25"/>
    <row r="255" customFormat="1" ht="15" hidden="1" x14ac:dyDescent="0.25"/>
    <row r="256" customFormat="1" ht="15" hidden="1" x14ac:dyDescent="0.25"/>
    <row r="257" customFormat="1" ht="15" hidden="1" x14ac:dyDescent="0.25"/>
    <row r="258" customFormat="1" ht="15" hidden="1" x14ac:dyDescent="0.25"/>
    <row r="259" customFormat="1" ht="15" hidden="1" x14ac:dyDescent="0.25"/>
    <row r="260" customFormat="1" ht="15" hidden="1" x14ac:dyDescent="0.25"/>
    <row r="261" customFormat="1" ht="15" hidden="1" x14ac:dyDescent="0.25"/>
    <row r="262" customFormat="1" ht="15" hidden="1" x14ac:dyDescent="0.25"/>
    <row r="263" customFormat="1" ht="15" hidden="1" x14ac:dyDescent="0.25"/>
    <row r="264" customFormat="1" ht="15" hidden="1" x14ac:dyDescent="0.25"/>
    <row r="265" customFormat="1" ht="15" hidden="1" x14ac:dyDescent="0.25"/>
    <row r="266" customFormat="1" ht="15" hidden="1" x14ac:dyDescent="0.25"/>
    <row r="267" customFormat="1" ht="15" hidden="1" x14ac:dyDescent="0.25"/>
    <row r="268" customFormat="1" ht="15" hidden="1" x14ac:dyDescent="0.25"/>
    <row r="269" customFormat="1" ht="15" hidden="1" x14ac:dyDescent="0.25"/>
    <row r="270" customFormat="1" ht="15" hidden="1" x14ac:dyDescent="0.25"/>
    <row r="271" customFormat="1" ht="15" hidden="1" x14ac:dyDescent="0.25"/>
    <row r="272" customFormat="1" ht="15" hidden="1" x14ac:dyDescent="0.25"/>
    <row r="273" customFormat="1" ht="15" hidden="1" x14ac:dyDescent="0.25"/>
    <row r="274" customFormat="1" ht="15" hidden="1" x14ac:dyDescent="0.25"/>
    <row r="275" customFormat="1" ht="15" hidden="1" x14ac:dyDescent="0.25"/>
    <row r="276" customFormat="1" ht="15" hidden="1" x14ac:dyDescent="0.25"/>
    <row r="277" customFormat="1" ht="15" hidden="1" x14ac:dyDescent="0.25"/>
    <row r="278" customFormat="1" ht="15" hidden="1" x14ac:dyDescent="0.25"/>
    <row r="279" customFormat="1" ht="15" hidden="1" x14ac:dyDescent="0.25"/>
    <row r="280" customFormat="1" ht="15" hidden="1" x14ac:dyDescent="0.25"/>
    <row r="281" customFormat="1" ht="15" hidden="1" x14ac:dyDescent="0.25"/>
    <row r="282" customFormat="1" ht="15" hidden="1" x14ac:dyDescent="0.25"/>
    <row r="283" customFormat="1" ht="15" hidden="1" x14ac:dyDescent="0.25"/>
    <row r="284" customFormat="1" ht="15" hidden="1" x14ac:dyDescent="0.25"/>
    <row r="285" customFormat="1" ht="15" hidden="1" x14ac:dyDescent="0.25"/>
    <row r="286" customFormat="1" ht="15" hidden="1" x14ac:dyDescent="0.25"/>
    <row r="287" customFormat="1" ht="15" hidden="1" x14ac:dyDescent="0.25"/>
    <row r="288" customFormat="1" ht="15" hidden="1" x14ac:dyDescent="0.25"/>
    <row r="289" customFormat="1" ht="15" hidden="1" x14ac:dyDescent="0.25"/>
    <row r="290" customFormat="1" ht="15" hidden="1" x14ac:dyDescent="0.25"/>
    <row r="291" customFormat="1" ht="15" hidden="1" x14ac:dyDescent="0.25"/>
    <row r="292" customFormat="1" ht="15" hidden="1" x14ac:dyDescent="0.25"/>
    <row r="293" customFormat="1" ht="15" hidden="1" x14ac:dyDescent="0.25"/>
    <row r="294" customFormat="1" ht="15" hidden="1" x14ac:dyDescent="0.25"/>
    <row r="295" customFormat="1" ht="15" hidden="1" x14ac:dyDescent="0.25"/>
    <row r="296" customFormat="1" ht="15" hidden="1" x14ac:dyDescent="0.25"/>
    <row r="297" customFormat="1" ht="15" hidden="1" x14ac:dyDescent="0.25"/>
    <row r="298" customFormat="1" ht="15" hidden="1" x14ac:dyDescent="0.25"/>
    <row r="299" customFormat="1" ht="15" hidden="1" x14ac:dyDescent="0.25"/>
    <row r="300" customFormat="1" ht="15" hidden="1" x14ac:dyDescent="0.25"/>
    <row r="301" customFormat="1" ht="15" hidden="1" x14ac:dyDescent="0.25"/>
    <row r="302" customFormat="1" ht="15" hidden="1" x14ac:dyDescent="0.25"/>
    <row r="303" customFormat="1" ht="15" hidden="1" x14ac:dyDescent="0.25"/>
    <row r="304" customFormat="1" ht="15" hidden="1" x14ac:dyDescent="0.25"/>
    <row r="305" customFormat="1" ht="15" hidden="1" x14ac:dyDescent="0.25"/>
    <row r="306" customFormat="1" ht="15" hidden="1" x14ac:dyDescent="0.25"/>
    <row r="307" customFormat="1" ht="15" hidden="1" x14ac:dyDescent="0.25"/>
    <row r="308" customFormat="1" ht="15" hidden="1" x14ac:dyDescent="0.25"/>
    <row r="309" customFormat="1" ht="15" hidden="1" x14ac:dyDescent="0.25"/>
    <row r="310" customFormat="1" ht="15" hidden="1" x14ac:dyDescent="0.25"/>
    <row r="311" customFormat="1" ht="15" hidden="1" x14ac:dyDescent="0.25"/>
    <row r="312" customFormat="1" ht="15" hidden="1" x14ac:dyDescent="0.25"/>
    <row r="313" customFormat="1" ht="15" hidden="1" x14ac:dyDescent="0.25"/>
    <row r="314" customFormat="1" ht="15" hidden="1" x14ac:dyDescent="0.25"/>
    <row r="315" customFormat="1" ht="15" hidden="1" x14ac:dyDescent="0.25"/>
    <row r="316" customFormat="1" ht="15" hidden="1" x14ac:dyDescent="0.25"/>
    <row r="317" customFormat="1" ht="15" hidden="1" x14ac:dyDescent="0.25"/>
    <row r="318" customFormat="1" ht="15" hidden="1" x14ac:dyDescent="0.25"/>
    <row r="319" customFormat="1" ht="15" hidden="1" x14ac:dyDescent="0.25"/>
    <row r="320" customFormat="1" ht="15" hidden="1" x14ac:dyDescent="0.25"/>
    <row r="321" customFormat="1" ht="15" hidden="1" x14ac:dyDescent="0.25"/>
    <row r="322" customFormat="1" ht="15" hidden="1" x14ac:dyDescent="0.25"/>
    <row r="323" customFormat="1" ht="15" hidden="1" x14ac:dyDescent="0.25"/>
    <row r="324" customFormat="1" ht="15" hidden="1" x14ac:dyDescent="0.25"/>
    <row r="325" customFormat="1" ht="15" hidden="1" x14ac:dyDescent="0.25"/>
    <row r="326" customFormat="1" ht="15" hidden="1" x14ac:dyDescent="0.25"/>
    <row r="327" customFormat="1" ht="15" hidden="1" x14ac:dyDescent="0.25"/>
    <row r="328" customFormat="1" ht="15" hidden="1" x14ac:dyDescent="0.25"/>
    <row r="329" customFormat="1" ht="15" hidden="1" x14ac:dyDescent="0.25"/>
    <row r="330" customFormat="1" ht="15" hidden="1" x14ac:dyDescent="0.25"/>
    <row r="331" customFormat="1" ht="15" hidden="1" x14ac:dyDescent="0.25"/>
    <row r="332" customFormat="1" ht="15" hidden="1" x14ac:dyDescent="0.25"/>
    <row r="333" customFormat="1" ht="15" hidden="1" x14ac:dyDescent="0.25"/>
    <row r="334" customFormat="1" ht="15" hidden="1" x14ac:dyDescent="0.25"/>
    <row r="335" customFormat="1" ht="15" hidden="1" x14ac:dyDescent="0.25"/>
    <row r="336" customFormat="1" ht="15" hidden="1" x14ac:dyDescent="0.25"/>
    <row r="337" customFormat="1" ht="15" hidden="1" x14ac:dyDescent="0.25"/>
    <row r="338" customFormat="1" ht="15" hidden="1" x14ac:dyDescent="0.25"/>
    <row r="339" customFormat="1" ht="15" hidden="1" x14ac:dyDescent="0.25"/>
    <row r="340" customFormat="1" ht="15" hidden="1" x14ac:dyDescent="0.25"/>
    <row r="341" customFormat="1" ht="15" hidden="1" x14ac:dyDescent="0.25"/>
    <row r="342" customFormat="1" ht="15" hidden="1" x14ac:dyDescent="0.25"/>
    <row r="343" customFormat="1" ht="15" hidden="1" x14ac:dyDescent="0.25"/>
    <row r="344" customFormat="1" ht="15" hidden="1" x14ac:dyDescent="0.25"/>
    <row r="345" customFormat="1" ht="15" hidden="1" x14ac:dyDescent="0.25"/>
    <row r="346" customFormat="1" ht="15" hidden="1" x14ac:dyDescent="0.25"/>
    <row r="347" customFormat="1" ht="15" hidden="1" x14ac:dyDescent="0.25"/>
    <row r="348" customFormat="1" ht="15" hidden="1" x14ac:dyDescent="0.25"/>
    <row r="349" customFormat="1" ht="15" hidden="1" x14ac:dyDescent="0.25"/>
    <row r="350" customFormat="1" ht="15" hidden="1" x14ac:dyDescent="0.25"/>
    <row r="351" customFormat="1" ht="15" hidden="1" x14ac:dyDescent="0.25"/>
    <row r="352" customFormat="1" ht="15" hidden="1" x14ac:dyDescent="0.25"/>
    <row r="353" customFormat="1" ht="15" hidden="1" x14ac:dyDescent="0.25"/>
    <row r="354" customFormat="1" ht="15" hidden="1" x14ac:dyDescent="0.25"/>
    <row r="355" customFormat="1" ht="15" hidden="1" x14ac:dyDescent="0.25"/>
    <row r="356" customFormat="1" ht="15" hidden="1" x14ac:dyDescent="0.25"/>
    <row r="357" customFormat="1" ht="15" hidden="1" x14ac:dyDescent="0.25"/>
    <row r="358" customFormat="1" ht="15" hidden="1" x14ac:dyDescent="0.25"/>
    <row r="359" customFormat="1" ht="15" hidden="1" x14ac:dyDescent="0.25"/>
    <row r="360" customFormat="1" ht="15" hidden="1" x14ac:dyDescent="0.25"/>
    <row r="361" customFormat="1" ht="15" hidden="1" x14ac:dyDescent="0.25"/>
    <row r="362" customFormat="1" ht="15" hidden="1" x14ac:dyDescent="0.25"/>
    <row r="363" customFormat="1" ht="15" hidden="1" x14ac:dyDescent="0.25"/>
    <row r="364" customFormat="1" ht="15" hidden="1" x14ac:dyDescent="0.25"/>
    <row r="365" customFormat="1" ht="15" hidden="1" x14ac:dyDescent="0.25"/>
    <row r="366" customFormat="1" ht="15" hidden="1" x14ac:dyDescent="0.25"/>
    <row r="367" customFormat="1" ht="15" hidden="1" x14ac:dyDescent="0.25"/>
    <row r="368" customFormat="1" ht="15" hidden="1" x14ac:dyDescent="0.25"/>
    <row r="369" customFormat="1" ht="15" hidden="1" x14ac:dyDescent="0.25"/>
    <row r="370" customFormat="1" ht="15" hidden="1" x14ac:dyDescent="0.25"/>
    <row r="371" customFormat="1" ht="15" hidden="1" x14ac:dyDescent="0.25"/>
    <row r="372" customFormat="1" ht="15" hidden="1" x14ac:dyDescent="0.25"/>
    <row r="373" customFormat="1" ht="15" hidden="1" x14ac:dyDescent="0.25"/>
    <row r="374" customFormat="1" ht="15" hidden="1" x14ac:dyDescent="0.25"/>
    <row r="375" customFormat="1" ht="15" hidden="1" x14ac:dyDescent="0.25"/>
    <row r="376" customFormat="1" ht="15" hidden="1" x14ac:dyDescent="0.25"/>
    <row r="377" customFormat="1" ht="15" hidden="1" x14ac:dyDescent="0.25"/>
    <row r="378" customFormat="1" ht="15" hidden="1" x14ac:dyDescent="0.25"/>
    <row r="379" customFormat="1" ht="15" hidden="1" x14ac:dyDescent="0.25"/>
    <row r="380" customFormat="1" ht="15" hidden="1" x14ac:dyDescent="0.25"/>
    <row r="381" customFormat="1" ht="15" hidden="1" x14ac:dyDescent="0.25"/>
    <row r="382" customFormat="1" ht="15" hidden="1" x14ac:dyDescent="0.25"/>
    <row r="383" customFormat="1" ht="15" hidden="1" x14ac:dyDescent="0.25"/>
    <row r="384" customFormat="1" ht="15" hidden="1" x14ac:dyDescent="0.25"/>
    <row r="385" customFormat="1" ht="15" hidden="1" x14ac:dyDescent="0.25"/>
    <row r="386" customFormat="1" ht="15" hidden="1" x14ac:dyDescent="0.25"/>
    <row r="387" customFormat="1" ht="15" hidden="1" x14ac:dyDescent="0.25"/>
    <row r="388" customFormat="1" ht="15" hidden="1" x14ac:dyDescent="0.25"/>
    <row r="389" customFormat="1" ht="15" hidden="1" x14ac:dyDescent="0.25"/>
    <row r="390" customFormat="1" ht="15" hidden="1" x14ac:dyDescent="0.25"/>
    <row r="391" customFormat="1" ht="15" hidden="1" x14ac:dyDescent="0.25"/>
    <row r="392" customFormat="1" ht="15" hidden="1" x14ac:dyDescent="0.25"/>
    <row r="393" customFormat="1" ht="15" hidden="1" x14ac:dyDescent="0.25"/>
    <row r="394" customFormat="1" ht="15" hidden="1" x14ac:dyDescent="0.25"/>
    <row r="395" customFormat="1" ht="15" hidden="1" x14ac:dyDescent="0.25"/>
    <row r="396" customFormat="1" ht="15" hidden="1" x14ac:dyDescent="0.25"/>
    <row r="397" customFormat="1" ht="15" hidden="1" x14ac:dyDescent="0.25"/>
    <row r="398" customFormat="1" ht="15" hidden="1" x14ac:dyDescent="0.25"/>
    <row r="399" customFormat="1" ht="15" hidden="1" x14ac:dyDescent="0.25"/>
    <row r="400" customFormat="1" ht="15" hidden="1" x14ac:dyDescent="0.25"/>
    <row r="401" customFormat="1" ht="15" hidden="1" x14ac:dyDescent="0.25"/>
    <row r="402" customFormat="1" ht="15" hidden="1" x14ac:dyDescent="0.25"/>
    <row r="403" customFormat="1" ht="15" hidden="1" x14ac:dyDescent="0.25"/>
    <row r="404" customFormat="1" ht="15" hidden="1" x14ac:dyDescent="0.25"/>
    <row r="405" customFormat="1" ht="15" hidden="1" x14ac:dyDescent="0.25"/>
    <row r="406" customFormat="1" ht="15" hidden="1" x14ac:dyDescent="0.25"/>
    <row r="407" customFormat="1" ht="15" hidden="1" x14ac:dyDescent="0.25"/>
    <row r="408" customFormat="1" ht="15" hidden="1" x14ac:dyDescent="0.25"/>
    <row r="409" customFormat="1" ht="15" hidden="1" x14ac:dyDescent="0.25"/>
    <row r="410" customFormat="1" ht="15" hidden="1" x14ac:dyDescent="0.25"/>
    <row r="411" customFormat="1" ht="15" hidden="1" x14ac:dyDescent="0.25"/>
    <row r="412" customFormat="1" ht="15" hidden="1" x14ac:dyDescent="0.25"/>
    <row r="413" customFormat="1" ht="15" hidden="1" x14ac:dyDescent="0.25"/>
    <row r="414" customFormat="1" ht="15" hidden="1" x14ac:dyDescent="0.25"/>
    <row r="415" customFormat="1" ht="15" hidden="1" x14ac:dyDescent="0.25"/>
    <row r="416" customFormat="1" ht="15" hidden="1" x14ac:dyDescent="0.25"/>
    <row r="417" customFormat="1" ht="15" hidden="1" x14ac:dyDescent="0.25"/>
    <row r="418" customFormat="1" ht="15" hidden="1" x14ac:dyDescent="0.25"/>
    <row r="419" customFormat="1" ht="15" hidden="1" x14ac:dyDescent="0.25"/>
    <row r="420" customFormat="1" ht="15" hidden="1" x14ac:dyDescent="0.25"/>
    <row r="421" customFormat="1" ht="15" hidden="1" x14ac:dyDescent="0.25"/>
    <row r="422" customFormat="1" ht="15" hidden="1" x14ac:dyDescent="0.25"/>
    <row r="423" customFormat="1" ht="15" hidden="1" x14ac:dyDescent="0.25"/>
    <row r="424" customFormat="1" ht="15" hidden="1" x14ac:dyDescent="0.25"/>
    <row r="425" customFormat="1" ht="15" hidden="1" x14ac:dyDescent="0.25"/>
    <row r="426" customFormat="1" ht="15" hidden="1" x14ac:dyDescent="0.25"/>
    <row r="427" customFormat="1" ht="15" hidden="1" x14ac:dyDescent="0.25"/>
    <row r="428" customFormat="1" ht="15" hidden="1" x14ac:dyDescent="0.25"/>
    <row r="429" customFormat="1" ht="15" hidden="1" x14ac:dyDescent="0.25"/>
    <row r="430" customFormat="1" ht="15" hidden="1" x14ac:dyDescent="0.25"/>
    <row r="431" customFormat="1" ht="15" hidden="1" x14ac:dyDescent="0.25"/>
    <row r="432" customFormat="1" ht="15" hidden="1" x14ac:dyDescent="0.25"/>
    <row r="433" customFormat="1" ht="15" hidden="1" x14ac:dyDescent="0.25"/>
    <row r="434" customFormat="1" ht="15" hidden="1" x14ac:dyDescent="0.25"/>
    <row r="435" customFormat="1" ht="15" hidden="1" x14ac:dyDescent="0.25"/>
    <row r="436" customFormat="1" ht="15" hidden="1" x14ac:dyDescent="0.25"/>
    <row r="437" customFormat="1" ht="15" hidden="1" x14ac:dyDescent="0.25"/>
    <row r="438" customFormat="1" ht="15" hidden="1" x14ac:dyDescent="0.25"/>
    <row r="439" customFormat="1" ht="15" hidden="1" x14ac:dyDescent="0.25"/>
    <row r="440" customFormat="1" ht="15" hidden="1" x14ac:dyDescent="0.25"/>
    <row r="441" customFormat="1" ht="15" hidden="1" x14ac:dyDescent="0.25"/>
    <row r="442" customFormat="1" ht="15" hidden="1" x14ac:dyDescent="0.25"/>
    <row r="443" customFormat="1" ht="15" hidden="1" x14ac:dyDescent="0.25"/>
    <row r="444" customFormat="1" ht="15" hidden="1" x14ac:dyDescent="0.25"/>
    <row r="445" customFormat="1" ht="15" hidden="1" x14ac:dyDescent="0.25"/>
    <row r="446" customFormat="1" ht="15" hidden="1" x14ac:dyDescent="0.25"/>
    <row r="447" customFormat="1" ht="15" hidden="1" x14ac:dyDescent="0.25"/>
    <row r="448" customFormat="1" ht="15" hidden="1" x14ac:dyDescent="0.25"/>
    <row r="449" customFormat="1" ht="15" hidden="1" x14ac:dyDescent="0.25"/>
    <row r="450" customFormat="1" ht="15" hidden="1" x14ac:dyDescent="0.25"/>
    <row r="451" customFormat="1" ht="15" hidden="1" x14ac:dyDescent="0.25"/>
    <row r="452" customFormat="1" ht="15" hidden="1" x14ac:dyDescent="0.25"/>
    <row r="453" customFormat="1" ht="15" hidden="1" x14ac:dyDescent="0.25"/>
    <row r="454" customFormat="1" ht="15" hidden="1" x14ac:dyDescent="0.25"/>
    <row r="455" customFormat="1" ht="15" hidden="1" x14ac:dyDescent="0.25"/>
    <row r="456" customFormat="1" ht="15" hidden="1" x14ac:dyDescent="0.25"/>
    <row r="457" customFormat="1" ht="15" hidden="1" x14ac:dyDescent="0.25"/>
    <row r="458" customFormat="1" ht="15" hidden="1" x14ac:dyDescent="0.25"/>
    <row r="459" customFormat="1" ht="15" hidden="1" x14ac:dyDescent="0.25"/>
    <row r="460" customFormat="1" ht="15" hidden="1" x14ac:dyDescent="0.25"/>
    <row r="461" customFormat="1" ht="15" hidden="1" x14ac:dyDescent="0.25"/>
    <row r="462" customFormat="1" ht="15" hidden="1" x14ac:dyDescent="0.25"/>
    <row r="463" customFormat="1" ht="15" hidden="1" x14ac:dyDescent="0.25"/>
    <row r="464" customFormat="1" ht="15" hidden="1" x14ac:dyDescent="0.25"/>
    <row r="465" customFormat="1" ht="15" hidden="1" x14ac:dyDescent="0.25"/>
    <row r="466" customFormat="1" ht="15" hidden="1" x14ac:dyDescent="0.25"/>
    <row r="467" customFormat="1" ht="15" hidden="1" x14ac:dyDescent="0.25"/>
    <row r="468" customFormat="1" ht="15" hidden="1" x14ac:dyDescent="0.25"/>
    <row r="469" customFormat="1" ht="15" hidden="1" x14ac:dyDescent="0.25"/>
    <row r="470" customFormat="1" ht="15" hidden="1" x14ac:dyDescent="0.25"/>
    <row r="471" customFormat="1" ht="15" hidden="1" x14ac:dyDescent="0.25"/>
    <row r="472" customFormat="1" ht="15" hidden="1" x14ac:dyDescent="0.25"/>
    <row r="473" customFormat="1" ht="15" hidden="1" x14ac:dyDescent="0.25"/>
    <row r="474" customFormat="1" ht="15" hidden="1" x14ac:dyDescent="0.25"/>
    <row r="475" customFormat="1" ht="15" hidden="1" x14ac:dyDescent="0.25"/>
    <row r="476" customFormat="1" ht="15" hidden="1" x14ac:dyDescent="0.25"/>
    <row r="477" customFormat="1" ht="15" hidden="1" x14ac:dyDescent="0.25"/>
    <row r="478" customFormat="1" ht="15" hidden="1" x14ac:dyDescent="0.25"/>
    <row r="479" customFormat="1" ht="15" hidden="1" x14ac:dyDescent="0.25"/>
    <row r="480" customFormat="1" ht="15" hidden="1" x14ac:dyDescent="0.25"/>
    <row r="481" customFormat="1" ht="15" hidden="1" x14ac:dyDescent="0.25"/>
    <row r="482" customFormat="1" ht="15" hidden="1" x14ac:dyDescent="0.25"/>
    <row r="483" customFormat="1" ht="15" hidden="1" x14ac:dyDescent="0.25"/>
    <row r="484" customFormat="1" ht="15" hidden="1" x14ac:dyDescent="0.25"/>
    <row r="485" customFormat="1" ht="15" hidden="1" x14ac:dyDescent="0.25"/>
    <row r="486" customFormat="1" ht="15" hidden="1" x14ac:dyDescent="0.25"/>
    <row r="487" customFormat="1" ht="15" hidden="1" x14ac:dyDescent="0.25"/>
    <row r="488" customFormat="1" ht="15" hidden="1" x14ac:dyDescent="0.25"/>
    <row r="489" customFormat="1" ht="15" hidden="1" x14ac:dyDescent="0.25"/>
    <row r="490" customFormat="1" ht="15" hidden="1" x14ac:dyDescent="0.25"/>
    <row r="491" customFormat="1" ht="15" hidden="1" x14ac:dyDescent="0.25"/>
    <row r="492" customFormat="1" ht="15" hidden="1" x14ac:dyDescent="0.25"/>
    <row r="493" customFormat="1" ht="15" hidden="1" x14ac:dyDescent="0.25"/>
    <row r="494" customFormat="1" ht="15" hidden="1" x14ac:dyDescent="0.25"/>
    <row r="495" customFormat="1" ht="15" hidden="1" x14ac:dyDescent="0.25"/>
    <row r="496" customFormat="1" ht="15" hidden="1" x14ac:dyDescent="0.25"/>
    <row r="497" customFormat="1" ht="15" hidden="1" x14ac:dyDescent="0.25"/>
    <row r="498" customFormat="1" ht="15" hidden="1" x14ac:dyDescent="0.25"/>
    <row r="499" customFormat="1" ht="15" hidden="1" x14ac:dyDescent="0.25"/>
    <row r="500" customFormat="1" ht="15" hidden="1" x14ac:dyDescent="0.25"/>
    <row r="501" customFormat="1" ht="15" hidden="1" x14ac:dyDescent="0.25"/>
    <row r="502" customFormat="1" ht="15" hidden="1" x14ac:dyDescent="0.25"/>
    <row r="503" customFormat="1" ht="15" hidden="1" x14ac:dyDescent="0.25"/>
    <row r="504" customFormat="1" ht="15" hidden="1" x14ac:dyDescent="0.25"/>
    <row r="505" customFormat="1" ht="15" hidden="1" x14ac:dyDescent="0.25"/>
    <row r="506" customFormat="1" ht="15" hidden="1" x14ac:dyDescent="0.25"/>
    <row r="507" customFormat="1" ht="15" hidden="1" x14ac:dyDescent="0.25"/>
    <row r="508" customFormat="1" ht="15" hidden="1" x14ac:dyDescent="0.25"/>
    <row r="509" customFormat="1" ht="15" hidden="1" x14ac:dyDescent="0.25"/>
    <row r="510" customFormat="1" ht="15" hidden="1" x14ac:dyDescent="0.25"/>
    <row r="511" customFormat="1" ht="15" hidden="1" x14ac:dyDescent="0.25"/>
    <row r="512" customFormat="1" ht="15" hidden="1" x14ac:dyDescent="0.25"/>
    <row r="513" customFormat="1" ht="15" hidden="1" x14ac:dyDescent="0.25"/>
    <row r="514" customFormat="1" ht="15" hidden="1" x14ac:dyDescent="0.25"/>
    <row r="515" customFormat="1" ht="15" hidden="1" x14ac:dyDescent="0.25"/>
    <row r="516" customFormat="1" ht="15" hidden="1" x14ac:dyDescent="0.25"/>
    <row r="517" customFormat="1" ht="15" hidden="1" x14ac:dyDescent="0.25"/>
    <row r="518" customFormat="1" ht="15" hidden="1" x14ac:dyDescent="0.25"/>
    <row r="519" customFormat="1" ht="15" hidden="1" x14ac:dyDescent="0.25"/>
    <row r="520" customFormat="1" ht="15" hidden="1" x14ac:dyDescent="0.25"/>
    <row r="521" customFormat="1" ht="15" hidden="1" x14ac:dyDescent="0.25"/>
    <row r="522" customFormat="1" ht="15" hidden="1" x14ac:dyDescent="0.25"/>
    <row r="523" customFormat="1" ht="15" hidden="1" x14ac:dyDescent="0.25"/>
    <row r="524" customFormat="1" ht="15" hidden="1" x14ac:dyDescent="0.25"/>
    <row r="525" customFormat="1" ht="15" hidden="1" x14ac:dyDescent="0.25"/>
    <row r="526" customFormat="1" ht="15" hidden="1" x14ac:dyDescent="0.25"/>
    <row r="527" customFormat="1" ht="15" hidden="1" x14ac:dyDescent="0.25"/>
    <row r="528" customFormat="1" ht="15" hidden="1" x14ac:dyDescent="0.25"/>
    <row r="529" customFormat="1" ht="15" hidden="1" x14ac:dyDescent="0.25"/>
    <row r="530" customFormat="1" ht="15" hidden="1" x14ac:dyDescent="0.25"/>
    <row r="531" customFormat="1" ht="15" hidden="1" x14ac:dyDescent="0.25"/>
    <row r="532" customFormat="1" ht="15" hidden="1" x14ac:dyDescent="0.25"/>
    <row r="533" customFormat="1" ht="15" hidden="1" x14ac:dyDescent="0.25"/>
    <row r="534" customFormat="1" ht="15" hidden="1" x14ac:dyDescent="0.25"/>
    <row r="535" customFormat="1" ht="15" hidden="1" x14ac:dyDescent="0.25"/>
    <row r="536" customFormat="1" ht="15" hidden="1" x14ac:dyDescent="0.25"/>
    <row r="537" customFormat="1" ht="15" hidden="1" x14ac:dyDescent="0.25"/>
    <row r="538" customFormat="1" ht="15" hidden="1" x14ac:dyDescent="0.25"/>
    <row r="539" customFormat="1" ht="15" hidden="1" x14ac:dyDescent="0.25"/>
    <row r="540" customFormat="1" ht="15" hidden="1" x14ac:dyDescent="0.25"/>
    <row r="541" customFormat="1" ht="15" hidden="1" x14ac:dyDescent="0.25"/>
    <row r="542" customFormat="1" ht="15" hidden="1" x14ac:dyDescent="0.25"/>
    <row r="543" customFormat="1" ht="15" hidden="1" x14ac:dyDescent="0.25"/>
    <row r="544" customFormat="1" ht="15" hidden="1" x14ac:dyDescent="0.25"/>
    <row r="545" customFormat="1" ht="15" hidden="1" x14ac:dyDescent="0.25"/>
    <row r="546" customFormat="1" ht="15" hidden="1" x14ac:dyDescent="0.25"/>
    <row r="547" customFormat="1" ht="15" hidden="1" x14ac:dyDescent="0.25"/>
    <row r="548" customFormat="1" ht="15" hidden="1" x14ac:dyDescent="0.25"/>
    <row r="549" customFormat="1" ht="15" hidden="1" x14ac:dyDescent="0.25"/>
    <row r="550" customFormat="1" ht="15" hidden="1" x14ac:dyDescent="0.25"/>
    <row r="551" customFormat="1" ht="15" hidden="1" x14ac:dyDescent="0.25"/>
    <row r="552" customFormat="1" ht="15" hidden="1" x14ac:dyDescent="0.25"/>
    <row r="553" customFormat="1" ht="15" hidden="1" x14ac:dyDescent="0.25"/>
    <row r="554" customFormat="1" ht="15" hidden="1" x14ac:dyDescent="0.25"/>
    <row r="555" customFormat="1" ht="15" hidden="1" x14ac:dyDescent="0.25"/>
    <row r="556" customFormat="1" ht="15" hidden="1" x14ac:dyDescent="0.25"/>
    <row r="557" customFormat="1" ht="15" hidden="1" x14ac:dyDescent="0.25"/>
    <row r="558" customFormat="1" ht="15" hidden="1" x14ac:dyDescent="0.25"/>
    <row r="559" customFormat="1" ht="15" hidden="1" x14ac:dyDescent="0.25"/>
    <row r="560" customFormat="1" ht="15" hidden="1" x14ac:dyDescent="0.25"/>
    <row r="561" customFormat="1" ht="15" hidden="1" x14ac:dyDescent="0.25"/>
    <row r="562" customFormat="1" ht="15" hidden="1" x14ac:dyDescent="0.25"/>
    <row r="563" customFormat="1" ht="15" hidden="1" x14ac:dyDescent="0.25"/>
    <row r="564" customFormat="1" ht="15" hidden="1" x14ac:dyDescent="0.25"/>
    <row r="565" customFormat="1" ht="15" hidden="1" x14ac:dyDescent="0.25"/>
    <row r="566" customFormat="1" ht="15" hidden="1" x14ac:dyDescent="0.25"/>
    <row r="567" customFormat="1" ht="15" hidden="1" x14ac:dyDescent="0.25"/>
    <row r="568" customFormat="1" ht="15" hidden="1" x14ac:dyDescent="0.25"/>
    <row r="569" customFormat="1" ht="15" hidden="1" x14ac:dyDescent="0.25"/>
    <row r="570" customFormat="1" ht="15" hidden="1" x14ac:dyDescent="0.25"/>
    <row r="571" customFormat="1" ht="15" hidden="1" x14ac:dyDescent="0.25"/>
    <row r="572" customFormat="1" ht="15" hidden="1" x14ac:dyDescent="0.25"/>
    <row r="573" customFormat="1" ht="15" hidden="1" x14ac:dyDescent="0.25"/>
    <row r="574" customFormat="1" ht="15" hidden="1" x14ac:dyDescent="0.25"/>
    <row r="575" customFormat="1" ht="15" hidden="1" x14ac:dyDescent="0.25"/>
    <row r="576" customFormat="1" ht="15" hidden="1" x14ac:dyDescent="0.25"/>
    <row r="577" customFormat="1" ht="15" hidden="1" x14ac:dyDescent="0.25"/>
    <row r="578" customFormat="1" ht="15" hidden="1" x14ac:dyDescent="0.25"/>
    <row r="579" customFormat="1" ht="15" hidden="1" x14ac:dyDescent="0.25"/>
    <row r="580" customFormat="1" ht="15" hidden="1" x14ac:dyDescent="0.25"/>
    <row r="581" customFormat="1" ht="15" hidden="1" x14ac:dyDescent="0.25"/>
    <row r="582" customFormat="1" ht="15" hidden="1" x14ac:dyDescent="0.25"/>
    <row r="583" customFormat="1" ht="15" hidden="1" x14ac:dyDescent="0.25"/>
    <row r="584" customFormat="1" ht="15" hidden="1" x14ac:dyDescent="0.25"/>
    <row r="585" customFormat="1" ht="15" hidden="1" x14ac:dyDescent="0.25"/>
    <row r="586" customFormat="1" ht="15" hidden="1" x14ac:dyDescent="0.25"/>
    <row r="587" customFormat="1" ht="15" hidden="1" x14ac:dyDescent="0.25"/>
    <row r="588" customFormat="1" ht="15" hidden="1" x14ac:dyDescent="0.25"/>
    <row r="589" customFormat="1" ht="15" hidden="1" x14ac:dyDescent="0.25"/>
    <row r="590" customFormat="1" ht="15" hidden="1" x14ac:dyDescent="0.25"/>
    <row r="591" customFormat="1" ht="15" hidden="1" x14ac:dyDescent="0.25"/>
    <row r="592" customFormat="1" ht="15" hidden="1" x14ac:dyDescent="0.25"/>
    <row r="593" customFormat="1" ht="15" hidden="1" x14ac:dyDescent="0.25"/>
    <row r="594" customFormat="1" ht="15" hidden="1" x14ac:dyDescent="0.25"/>
    <row r="595" customFormat="1" ht="15" hidden="1" x14ac:dyDescent="0.25"/>
    <row r="596" customFormat="1" ht="15" hidden="1" x14ac:dyDescent="0.25"/>
    <row r="597" customFormat="1" ht="15" hidden="1" x14ac:dyDescent="0.25"/>
    <row r="598" customFormat="1" ht="15" hidden="1" x14ac:dyDescent="0.25"/>
    <row r="599" customFormat="1" ht="15" hidden="1" x14ac:dyDescent="0.25"/>
    <row r="600" customFormat="1" ht="15" hidden="1" x14ac:dyDescent="0.25"/>
    <row r="601" customFormat="1" ht="15" hidden="1" x14ac:dyDescent="0.25"/>
    <row r="602" customFormat="1" ht="15" hidden="1" x14ac:dyDescent="0.25"/>
    <row r="603" customFormat="1" ht="15" hidden="1" x14ac:dyDescent="0.25"/>
    <row r="604" customFormat="1" ht="15" hidden="1" x14ac:dyDescent="0.25"/>
    <row r="605" customFormat="1" ht="15" hidden="1" x14ac:dyDescent="0.25"/>
    <row r="606" customFormat="1" ht="15" hidden="1" x14ac:dyDescent="0.25"/>
    <row r="607" customFormat="1" ht="15" hidden="1" x14ac:dyDescent="0.25"/>
    <row r="608" customFormat="1" ht="15" hidden="1" x14ac:dyDescent="0.25"/>
    <row r="609" customFormat="1" ht="15" hidden="1" x14ac:dyDescent="0.25"/>
    <row r="610" customFormat="1" ht="15" hidden="1" x14ac:dyDescent="0.25"/>
    <row r="611" customFormat="1" ht="15" hidden="1" x14ac:dyDescent="0.25"/>
    <row r="612" customFormat="1" ht="15" hidden="1" x14ac:dyDescent="0.25"/>
    <row r="613" customFormat="1" ht="15" hidden="1" x14ac:dyDescent="0.25"/>
    <row r="614" customFormat="1" ht="15" hidden="1" x14ac:dyDescent="0.25"/>
    <row r="615" customFormat="1" ht="15" hidden="1" x14ac:dyDescent="0.25"/>
    <row r="616" customFormat="1" ht="15" hidden="1" x14ac:dyDescent="0.25"/>
    <row r="617" customFormat="1" ht="15" hidden="1" x14ac:dyDescent="0.25"/>
    <row r="618" customFormat="1" ht="15" hidden="1" x14ac:dyDescent="0.25"/>
    <row r="619" customFormat="1" ht="15" hidden="1" x14ac:dyDescent="0.25"/>
    <row r="620" customFormat="1" ht="15" hidden="1" x14ac:dyDescent="0.25"/>
    <row r="621" customFormat="1" ht="15" hidden="1" x14ac:dyDescent="0.25"/>
    <row r="622" customFormat="1" ht="15" hidden="1" x14ac:dyDescent="0.25"/>
    <row r="623" customFormat="1" ht="15" hidden="1" x14ac:dyDescent="0.25"/>
    <row r="624" customFormat="1" ht="15" hidden="1" x14ac:dyDescent="0.25"/>
    <row r="625" customFormat="1" ht="15" hidden="1" x14ac:dyDescent="0.25"/>
    <row r="626" customFormat="1" ht="15" hidden="1" x14ac:dyDescent="0.25"/>
    <row r="627" customFormat="1" ht="15" hidden="1" x14ac:dyDescent="0.25"/>
    <row r="628" customFormat="1" ht="15" hidden="1" x14ac:dyDescent="0.25"/>
    <row r="629" customFormat="1" ht="15" hidden="1" x14ac:dyDescent="0.25"/>
    <row r="630" customFormat="1" ht="15" hidden="1" x14ac:dyDescent="0.25"/>
    <row r="631" customFormat="1" ht="15" hidden="1" x14ac:dyDescent="0.25"/>
    <row r="632" customFormat="1" ht="15" hidden="1" x14ac:dyDescent="0.25"/>
    <row r="633" customFormat="1" ht="15" hidden="1" x14ac:dyDescent="0.25"/>
    <row r="634" customFormat="1" ht="15" hidden="1" x14ac:dyDescent="0.25"/>
    <row r="635" customFormat="1" ht="15" hidden="1" x14ac:dyDescent="0.25"/>
    <row r="636" customFormat="1" ht="15" hidden="1" x14ac:dyDescent="0.25"/>
    <row r="637" customFormat="1" ht="15" hidden="1" x14ac:dyDescent="0.25"/>
    <row r="638" customFormat="1" ht="15" hidden="1" x14ac:dyDescent="0.25"/>
    <row r="639" customFormat="1" ht="15" hidden="1" x14ac:dyDescent="0.25"/>
    <row r="640" customFormat="1" ht="15" hidden="1" x14ac:dyDescent="0.25"/>
    <row r="641" customFormat="1" ht="15" hidden="1" x14ac:dyDescent="0.25"/>
    <row r="642" customFormat="1" ht="15" hidden="1" x14ac:dyDescent="0.25"/>
    <row r="643" customFormat="1" ht="15" hidden="1" x14ac:dyDescent="0.25"/>
    <row r="644" customFormat="1" ht="15" hidden="1" x14ac:dyDescent="0.25"/>
    <row r="645" customFormat="1" ht="15" hidden="1" x14ac:dyDescent="0.25"/>
    <row r="646" customFormat="1" ht="15" hidden="1" x14ac:dyDescent="0.25"/>
    <row r="647" customFormat="1" ht="15" hidden="1" x14ac:dyDescent="0.25"/>
    <row r="648" customFormat="1" ht="15" hidden="1" x14ac:dyDescent="0.25"/>
    <row r="649" customFormat="1" ht="15" hidden="1" x14ac:dyDescent="0.25"/>
    <row r="650" customFormat="1" ht="15" hidden="1" x14ac:dyDescent="0.25"/>
    <row r="651" customFormat="1" ht="15" hidden="1" x14ac:dyDescent="0.25"/>
    <row r="652" customFormat="1" ht="15" hidden="1" x14ac:dyDescent="0.25"/>
    <row r="653" customFormat="1" ht="15" hidden="1" x14ac:dyDescent="0.25"/>
    <row r="654" customFormat="1" ht="15" hidden="1" x14ac:dyDescent="0.25"/>
    <row r="655" customFormat="1" ht="15" hidden="1" x14ac:dyDescent="0.25"/>
    <row r="656" customFormat="1" ht="15" hidden="1" x14ac:dyDescent="0.25"/>
    <row r="657" customFormat="1" ht="15" hidden="1" x14ac:dyDescent="0.25"/>
    <row r="658" customFormat="1" ht="15" hidden="1" x14ac:dyDescent="0.25"/>
    <row r="659" customFormat="1" ht="15" hidden="1" x14ac:dyDescent="0.25"/>
    <row r="660" customFormat="1" ht="15" hidden="1" x14ac:dyDescent="0.25"/>
    <row r="661" customFormat="1" ht="15" hidden="1" x14ac:dyDescent="0.25"/>
    <row r="662" customFormat="1" ht="15" hidden="1" x14ac:dyDescent="0.25"/>
    <row r="663" customFormat="1" ht="15" hidden="1" x14ac:dyDescent="0.25"/>
    <row r="664" customFormat="1" ht="15" hidden="1" x14ac:dyDescent="0.25"/>
    <row r="665" customFormat="1" ht="15" hidden="1" x14ac:dyDescent="0.25"/>
    <row r="666" customFormat="1" ht="15" hidden="1" x14ac:dyDescent="0.25"/>
    <row r="667" customFormat="1" ht="15" hidden="1" x14ac:dyDescent="0.25"/>
    <row r="668" customFormat="1" ht="15" hidden="1" x14ac:dyDescent="0.25"/>
    <row r="669" customFormat="1" ht="15" hidden="1" x14ac:dyDescent="0.25"/>
    <row r="670" customFormat="1" ht="15" hidden="1" x14ac:dyDescent="0.25"/>
    <row r="671" customFormat="1" ht="15" hidden="1" x14ac:dyDescent="0.25"/>
    <row r="672" customFormat="1" ht="15" hidden="1" x14ac:dyDescent="0.25"/>
    <row r="673" customFormat="1" ht="15" hidden="1" x14ac:dyDescent="0.25"/>
    <row r="674" customFormat="1" ht="15" hidden="1" x14ac:dyDescent="0.25"/>
    <row r="675" customFormat="1" ht="15" hidden="1" x14ac:dyDescent="0.25"/>
    <row r="676" customFormat="1" ht="15" hidden="1" x14ac:dyDescent="0.25"/>
    <row r="677" customFormat="1" ht="15" hidden="1" x14ac:dyDescent="0.25"/>
    <row r="678" customFormat="1" ht="15" hidden="1" x14ac:dyDescent="0.25"/>
    <row r="679" customFormat="1" ht="15" hidden="1" x14ac:dyDescent="0.25"/>
    <row r="680" customFormat="1" ht="15" hidden="1" x14ac:dyDescent="0.25"/>
    <row r="681" customFormat="1" ht="15" hidden="1" x14ac:dyDescent="0.25"/>
    <row r="682" customFormat="1" ht="15" hidden="1" x14ac:dyDescent="0.25"/>
    <row r="683" customFormat="1" ht="15" hidden="1" x14ac:dyDescent="0.25"/>
    <row r="684" customFormat="1" ht="15" hidden="1" x14ac:dyDescent="0.25"/>
    <row r="685" customFormat="1" ht="15" hidden="1" x14ac:dyDescent="0.25"/>
    <row r="686" customFormat="1" ht="15" hidden="1" x14ac:dyDescent="0.25"/>
    <row r="687" customFormat="1" ht="15" hidden="1" x14ac:dyDescent="0.25"/>
    <row r="688" customFormat="1" ht="15" hidden="1" x14ac:dyDescent="0.25"/>
    <row r="689" customFormat="1" ht="15" hidden="1" x14ac:dyDescent="0.25"/>
    <row r="690" customFormat="1" ht="15" hidden="1" x14ac:dyDescent="0.25"/>
    <row r="691" customFormat="1" ht="15" hidden="1" x14ac:dyDescent="0.25"/>
    <row r="692" customFormat="1" ht="15" hidden="1" x14ac:dyDescent="0.25"/>
    <row r="693" customFormat="1" ht="15" hidden="1" x14ac:dyDescent="0.25"/>
    <row r="694" customFormat="1" ht="15" hidden="1" x14ac:dyDescent="0.25"/>
    <row r="695" customFormat="1" ht="15" hidden="1" x14ac:dyDescent="0.25"/>
    <row r="696" customFormat="1" ht="15" hidden="1" x14ac:dyDescent="0.25"/>
    <row r="697" customFormat="1" ht="15" hidden="1" x14ac:dyDescent="0.25"/>
    <row r="698" customFormat="1" ht="15" hidden="1" x14ac:dyDescent="0.25"/>
    <row r="699" customFormat="1" ht="15" hidden="1" x14ac:dyDescent="0.25"/>
    <row r="700" customFormat="1" ht="15" hidden="1" x14ac:dyDescent="0.25"/>
    <row r="701" customFormat="1" ht="15" hidden="1" x14ac:dyDescent="0.25"/>
    <row r="702" customFormat="1" ht="15" hidden="1" x14ac:dyDescent="0.25"/>
    <row r="703" customFormat="1" ht="15" hidden="1" x14ac:dyDescent="0.25"/>
    <row r="704" customFormat="1" ht="15" hidden="1" x14ac:dyDescent="0.25"/>
    <row r="705" customFormat="1" ht="15" hidden="1" x14ac:dyDescent="0.25"/>
    <row r="706" customFormat="1" ht="15" hidden="1" x14ac:dyDescent="0.25"/>
    <row r="707" customFormat="1" ht="15" hidden="1" x14ac:dyDescent="0.25"/>
    <row r="708" customFormat="1" ht="15" hidden="1" x14ac:dyDescent="0.25"/>
    <row r="709" customFormat="1" ht="15" hidden="1" x14ac:dyDescent="0.25"/>
    <row r="710" customFormat="1" ht="15" hidden="1" x14ac:dyDescent="0.25"/>
    <row r="711" customFormat="1" ht="15" hidden="1" x14ac:dyDescent="0.25"/>
    <row r="712" customFormat="1" ht="15" hidden="1" x14ac:dyDescent="0.25"/>
    <row r="713" customFormat="1" ht="15" hidden="1" x14ac:dyDescent="0.25"/>
    <row r="714" customFormat="1" ht="15" hidden="1" x14ac:dyDescent="0.25"/>
    <row r="715" customFormat="1" ht="15" hidden="1" x14ac:dyDescent="0.25"/>
    <row r="716" customFormat="1" ht="15" hidden="1" x14ac:dyDescent="0.25"/>
    <row r="717" customFormat="1" ht="15" hidden="1" x14ac:dyDescent="0.25"/>
    <row r="718" customFormat="1" ht="15" hidden="1" x14ac:dyDescent="0.25"/>
    <row r="719" customFormat="1" ht="15" hidden="1" x14ac:dyDescent="0.25"/>
    <row r="720" customFormat="1" ht="15" hidden="1" x14ac:dyDescent="0.25"/>
    <row r="721" customFormat="1" ht="15" hidden="1" x14ac:dyDescent="0.25"/>
    <row r="722" customFormat="1" ht="15" hidden="1" x14ac:dyDescent="0.25"/>
    <row r="723" customFormat="1" ht="15" hidden="1" x14ac:dyDescent="0.25"/>
    <row r="724" customFormat="1" ht="15" hidden="1" x14ac:dyDescent="0.25"/>
    <row r="725" customFormat="1" ht="15" hidden="1" x14ac:dyDescent="0.25"/>
    <row r="726" customFormat="1" ht="15" hidden="1" x14ac:dyDescent="0.25"/>
    <row r="727" customFormat="1" ht="15" hidden="1" x14ac:dyDescent="0.25"/>
    <row r="728" customFormat="1" ht="15" hidden="1" x14ac:dyDescent="0.25"/>
    <row r="729" customFormat="1" ht="15" hidden="1" x14ac:dyDescent="0.25"/>
    <row r="730" customFormat="1" ht="15" hidden="1" x14ac:dyDescent="0.25"/>
    <row r="731" customFormat="1" ht="15" hidden="1" x14ac:dyDescent="0.25"/>
    <row r="732" customFormat="1" ht="15" hidden="1" x14ac:dyDescent="0.25"/>
    <row r="733" customFormat="1" ht="15" hidden="1" x14ac:dyDescent="0.25"/>
    <row r="734" customFormat="1" ht="15" hidden="1" x14ac:dyDescent="0.25"/>
    <row r="735" customFormat="1" ht="15" hidden="1" x14ac:dyDescent="0.25"/>
    <row r="736" customFormat="1" ht="15" hidden="1" x14ac:dyDescent="0.25"/>
    <row r="737" customFormat="1" ht="15" hidden="1" x14ac:dyDescent="0.25"/>
    <row r="738" customFormat="1" ht="15" hidden="1" x14ac:dyDescent="0.25"/>
    <row r="739" customFormat="1" ht="15" hidden="1" x14ac:dyDescent="0.25"/>
    <row r="740" customFormat="1" ht="15" hidden="1" x14ac:dyDescent="0.25"/>
    <row r="741" customFormat="1" ht="15" hidden="1" x14ac:dyDescent="0.25"/>
    <row r="742" customFormat="1" ht="15" hidden="1" x14ac:dyDescent="0.25"/>
    <row r="743" customFormat="1" ht="15" hidden="1" x14ac:dyDescent="0.25"/>
    <row r="744" customFormat="1" ht="15" hidden="1" x14ac:dyDescent="0.25"/>
    <row r="745" customFormat="1" ht="15" hidden="1" x14ac:dyDescent="0.25"/>
    <row r="746" customFormat="1" ht="15" hidden="1" x14ac:dyDescent="0.25"/>
    <row r="747" customFormat="1" ht="15" hidden="1" x14ac:dyDescent="0.25"/>
    <row r="748" customFormat="1" ht="15" hidden="1" x14ac:dyDescent="0.25"/>
    <row r="749" customFormat="1" ht="15" hidden="1" x14ac:dyDescent="0.25"/>
    <row r="750" customFormat="1" ht="15" hidden="1" x14ac:dyDescent="0.25"/>
    <row r="751" customFormat="1" ht="15" hidden="1" x14ac:dyDescent="0.25"/>
    <row r="752" customFormat="1" ht="15" hidden="1" x14ac:dyDescent="0.25"/>
    <row r="753" customFormat="1" ht="15" hidden="1" x14ac:dyDescent="0.25"/>
    <row r="754" customFormat="1" ht="15" hidden="1" x14ac:dyDescent="0.25"/>
    <row r="755" customFormat="1" ht="15" hidden="1" x14ac:dyDescent="0.25"/>
    <row r="756" customFormat="1" ht="15" hidden="1" x14ac:dyDescent="0.25"/>
    <row r="757" customFormat="1" ht="15" hidden="1" x14ac:dyDescent="0.25"/>
    <row r="758" customFormat="1" ht="15" hidden="1" x14ac:dyDescent="0.25"/>
    <row r="759" customFormat="1" ht="15" hidden="1" x14ac:dyDescent="0.25"/>
    <row r="760" customFormat="1" ht="15" hidden="1" x14ac:dyDescent="0.25"/>
    <row r="761" customFormat="1" ht="15" hidden="1" x14ac:dyDescent="0.25"/>
    <row r="762" customFormat="1" ht="15" hidden="1" x14ac:dyDescent="0.25"/>
    <row r="763" customFormat="1" ht="15" hidden="1" x14ac:dyDescent="0.25"/>
    <row r="764" customFormat="1" ht="15" hidden="1" x14ac:dyDescent="0.25"/>
    <row r="765" customFormat="1" ht="15" hidden="1" x14ac:dyDescent="0.25"/>
    <row r="766" customFormat="1" ht="15" hidden="1" x14ac:dyDescent="0.25"/>
    <row r="767" customFormat="1" ht="15" hidden="1" x14ac:dyDescent="0.25"/>
    <row r="768" customFormat="1" ht="15" hidden="1" x14ac:dyDescent="0.25"/>
    <row r="769" customFormat="1" ht="15" hidden="1" x14ac:dyDescent="0.25"/>
    <row r="770" customFormat="1" ht="15" hidden="1" x14ac:dyDescent="0.25"/>
    <row r="771" customFormat="1" ht="15" hidden="1" x14ac:dyDescent="0.25"/>
    <row r="772" customFormat="1" ht="15" hidden="1" x14ac:dyDescent="0.25"/>
    <row r="773" customFormat="1" ht="15" hidden="1" x14ac:dyDescent="0.25"/>
    <row r="774" customFormat="1" ht="15" hidden="1" x14ac:dyDescent="0.25"/>
    <row r="775" customFormat="1" ht="15" hidden="1" x14ac:dyDescent="0.25"/>
    <row r="776" customFormat="1" ht="15" hidden="1" x14ac:dyDescent="0.25"/>
    <row r="777" customFormat="1" ht="15" hidden="1" x14ac:dyDescent="0.25"/>
    <row r="778" customFormat="1" ht="15" hidden="1" x14ac:dyDescent="0.25"/>
    <row r="779" customFormat="1" ht="15" hidden="1" x14ac:dyDescent="0.25"/>
    <row r="780" customFormat="1" ht="15" hidden="1" x14ac:dyDescent="0.25"/>
    <row r="781" customFormat="1" ht="15" hidden="1" x14ac:dyDescent="0.25"/>
    <row r="782" customFormat="1" ht="15" hidden="1" x14ac:dyDescent="0.25"/>
    <row r="783" customFormat="1" ht="15" hidden="1" x14ac:dyDescent="0.25"/>
    <row r="784" customFormat="1" ht="15" hidden="1" x14ac:dyDescent="0.25"/>
    <row r="785" customFormat="1" ht="15" hidden="1" x14ac:dyDescent="0.25"/>
    <row r="786" customFormat="1" ht="15" hidden="1" x14ac:dyDescent="0.25"/>
    <row r="787" customFormat="1" ht="15" hidden="1" x14ac:dyDescent="0.25"/>
    <row r="788" customFormat="1" ht="15" hidden="1" x14ac:dyDescent="0.25"/>
    <row r="789" customFormat="1" ht="15" hidden="1" x14ac:dyDescent="0.25"/>
    <row r="790" customFormat="1" ht="15" hidden="1" x14ac:dyDescent="0.25"/>
    <row r="791" customFormat="1" ht="15" hidden="1" x14ac:dyDescent="0.25"/>
    <row r="792" customFormat="1" ht="15" hidden="1" x14ac:dyDescent="0.25"/>
    <row r="793" customFormat="1" ht="15" hidden="1" x14ac:dyDescent="0.25"/>
    <row r="794" customFormat="1" ht="15" hidden="1" x14ac:dyDescent="0.25"/>
    <row r="795" customFormat="1" ht="15" hidden="1" x14ac:dyDescent="0.25"/>
    <row r="796" customFormat="1" ht="15" hidden="1" x14ac:dyDescent="0.25"/>
    <row r="797" customFormat="1" ht="15" hidden="1" x14ac:dyDescent="0.25"/>
    <row r="798" customFormat="1" ht="15" hidden="1" x14ac:dyDescent="0.25"/>
    <row r="799" customFormat="1" ht="15" hidden="1" x14ac:dyDescent="0.25"/>
    <row r="800" customFormat="1" ht="15" hidden="1" x14ac:dyDescent="0.25"/>
    <row r="801" customFormat="1" ht="15" hidden="1" x14ac:dyDescent="0.25"/>
    <row r="802" customFormat="1" ht="15" hidden="1" x14ac:dyDescent="0.25"/>
    <row r="803" customFormat="1" ht="15" hidden="1" x14ac:dyDescent="0.25"/>
    <row r="804" customFormat="1" ht="15" hidden="1" x14ac:dyDescent="0.25"/>
    <row r="805" customFormat="1" ht="15" hidden="1" x14ac:dyDescent="0.25"/>
    <row r="806" customFormat="1" ht="15" hidden="1" x14ac:dyDescent="0.25"/>
    <row r="807" customFormat="1" ht="15" hidden="1" x14ac:dyDescent="0.25"/>
    <row r="808" customFormat="1" ht="15" hidden="1" x14ac:dyDescent="0.25"/>
    <row r="809" customFormat="1" ht="15" hidden="1" x14ac:dyDescent="0.25"/>
    <row r="810" customFormat="1" ht="15" hidden="1" x14ac:dyDescent="0.25"/>
    <row r="811" customFormat="1" ht="15" hidden="1" x14ac:dyDescent="0.25"/>
    <row r="812" customFormat="1" ht="15" hidden="1" x14ac:dyDescent="0.25"/>
    <row r="813" customFormat="1" ht="15" hidden="1" x14ac:dyDescent="0.25"/>
    <row r="814" customFormat="1" ht="15" hidden="1" x14ac:dyDescent="0.25"/>
    <row r="815" customFormat="1" ht="15" hidden="1" x14ac:dyDescent="0.25"/>
    <row r="816" customFormat="1" ht="15" hidden="1" x14ac:dyDescent="0.25"/>
    <row r="817" customFormat="1" ht="15" hidden="1" x14ac:dyDescent="0.25"/>
    <row r="818" customFormat="1" ht="15" hidden="1" x14ac:dyDescent="0.25"/>
    <row r="819" customFormat="1" ht="15" hidden="1" x14ac:dyDescent="0.25"/>
    <row r="820" customFormat="1" ht="15" hidden="1" x14ac:dyDescent="0.25"/>
    <row r="821" customFormat="1" ht="15" hidden="1" x14ac:dyDescent="0.25"/>
    <row r="822" customFormat="1" ht="15" hidden="1" x14ac:dyDescent="0.25"/>
    <row r="823" customFormat="1" ht="15" hidden="1" x14ac:dyDescent="0.25"/>
    <row r="824" customFormat="1" ht="15" hidden="1" x14ac:dyDescent="0.25"/>
    <row r="825" customFormat="1" ht="15" hidden="1" x14ac:dyDescent="0.25"/>
    <row r="826" customFormat="1" ht="15" hidden="1" x14ac:dyDescent="0.25"/>
    <row r="827" customFormat="1" ht="15" hidden="1" x14ac:dyDescent="0.25"/>
    <row r="828" customFormat="1" ht="15" hidden="1" x14ac:dyDescent="0.25"/>
    <row r="829" customFormat="1" ht="15" hidden="1" x14ac:dyDescent="0.25"/>
    <row r="830" customFormat="1" ht="15" hidden="1" x14ac:dyDescent="0.25"/>
    <row r="831" customFormat="1" ht="15" hidden="1" x14ac:dyDescent="0.25"/>
    <row r="832" customFormat="1" ht="15" hidden="1" x14ac:dyDescent="0.25"/>
    <row r="833" customFormat="1" ht="15" hidden="1" x14ac:dyDescent="0.25"/>
    <row r="834" customFormat="1" ht="15" hidden="1" x14ac:dyDescent="0.25"/>
    <row r="835" customFormat="1" ht="15" hidden="1" x14ac:dyDescent="0.25"/>
    <row r="836" customFormat="1" ht="15" hidden="1" x14ac:dyDescent="0.25"/>
    <row r="837" customFormat="1" ht="15" hidden="1" x14ac:dyDescent="0.25"/>
    <row r="838" customFormat="1" ht="15" hidden="1" x14ac:dyDescent="0.25"/>
    <row r="839" customFormat="1" ht="15" hidden="1" x14ac:dyDescent="0.25"/>
    <row r="840" customFormat="1" ht="15" hidden="1" x14ac:dyDescent="0.25"/>
    <row r="841" customFormat="1" ht="15" hidden="1" x14ac:dyDescent="0.25"/>
    <row r="842" customFormat="1" ht="15" hidden="1" x14ac:dyDescent="0.25"/>
    <row r="843" customFormat="1" ht="15" hidden="1" x14ac:dyDescent="0.25"/>
    <row r="844" customFormat="1" ht="15" hidden="1" x14ac:dyDescent="0.25"/>
    <row r="845" customFormat="1" ht="15" hidden="1" x14ac:dyDescent="0.25"/>
    <row r="846" customFormat="1" ht="15" hidden="1" x14ac:dyDescent="0.25"/>
    <row r="847" customFormat="1" ht="15" hidden="1" x14ac:dyDescent="0.25"/>
    <row r="848" customFormat="1" ht="15" hidden="1" x14ac:dyDescent="0.25"/>
    <row r="849" customFormat="1" ht="15" hidden="1" x14ac:dyDescent="0.25"/>
    <row r="850" customFormat="1" ht="15" hidden="1" x14ac:dyDescent="0.25"/>
    <row r="851" customFormat="1" ht="15" hidden="1" x14ac:dyDescent="0.25"/>
    <row r="852" customFormat="1" ht="15" hidden="1" x14ac:dyDescent="0.25"/>
    <row r="853" customFormat="1" ht="15" hidden="1" x14ac:dyDescent="0.25"/>
    <row r="854" customFormat="1" ht="15" hidden="1" x14ac:dyDescent="0.25"/>
    <row r="855" customFormat="1" ht="15" hidden="1" x14ac:dyDescent="0.25"/>
    <row r="856" customFormat="1" ht="15" hidden="1" x14ac:dyDescent="0.25"/>
    <row r="857" customFormat="1" ht="15" hidden="1" x14ac:dyDescent="0.25"/>
    <row r="858" customFormat="1" ht="15" hidden="1" x14ac:dyDescent="0.25"/>
    <row r="859" customFormat="1" ht="15" hidden="1" x14ac:dyDescent="0.25"/>
    <row r="860" customFormat="1" ht="15" hidden="1" x14ac:dyDescent="0.25"/>
    <row r="861" customFormat="1" ht="15" hidden="1" x14ac:dyDescent="0.25"/>
    <row r="862" customFormat="1" ht="15" hidden="1" x14ac:dyDescent="0.25"/>
    <row r="863" customFormat="1" ht="15" hidden="1" x14ac:dyDescent="0.25"/>
    <row r="864" customFormat="1" ht="15" hidden="1" x14ac:dyDescent="0.25"/>
    <row r="865" customFormat="1" ht="15" hidden="1" x14ac:dyDescent="0.25"/>
    <row r="866" customFormat="1" ht="15" hidden="1" x14ac:dyDescent="0.25"/>
    <row r="867" customFormat="1" ht="15" hidden="1" x14ac:dyDescent="0.25"/>
    <row r="868" customFormat="1" ht="15" hidden="1" x14ac:dyDescent="0.25"/>
    <row r="869" customFormat="1" ht="15" hidden="1" x14ac:dyDescent="0.25"/>
    <row r="870" customFormat="1" ht="15" hidden="1" x14ac:dyDescent="0.25"/>
    <row r="871" customFormat="1" ht="15" hidden="1" x14ac:dyDescent="0.25"/>
    <row r="872" customFormat="1" ht="15" hidden="1" x14ac:dyDescent="0.25"/>
    <row r="873" customFormat="1" ht="15" hidden="1" x14ac:dyDescent="0.25"/>
    <row r="874" customFormat="1" ht="15" hidden="1" x14ac:dyDescent="0.25"/>
    <row r="875" customFormat="1" ht="15" hidden="1" x14ac:dyDescent="0.25"/>
    <row r="876" customFormat="1" ht="15" hidden="1" x14ac:dyDescent="0.25"/>
    <row r="877" customFormat="1" ht="15" hidden="1" x14ac:dyDescent="0.25"/>
    <row r="878" customFormat="1" ht="15" hidden="1" x14ac:dyDescent="0.25"/>
    <row r="879" customFormat="1" ht="15" hidden="1" x14ac:dyDescent="0.25"/>
    <row r="880" customFormat="1" ht="15" hidden="1" x14ac:dyDescent="0.25"/>
    <row r="881" customFormat="1" ht="15" hidden="1" x14ac:dyDescent="0.25"/>
    <row r="882" customFormat="1" ht="15" hidden="1" x14ac:dyDescent="0.25"/>
    <row r="883" customFormat="1" ht="15" hidden="1" x14ac:dyDescent="0.25"/>
    <row r="884" customFormat="1" ht="15" hidden="1" x14ac:dyDescent="0.25"/>
    <row r="885" customFormat="1" ht="15" hidden="1" x14ac:dyDescent="0.25"/>
    <row r="886" customFormat="1" ht="15" hidden="1" x14ac:dyDescent="0.25"/>
    <row r="887" customFormat="1" ht="15" hidden="1" x14ac:dyDescent="0.25"/>
    <row r="888" customFormat="1" ht="15" hidden="1" x14ac:dyDescent="0.25"/>
    <row r="889" customFormat="1" ht="15" hidden="1" x14ac:dyDescent="0.25"/>
    <row r="890" customFormat="1" ht="15" hidden="1" x14ac:dyDescent="0.25"/>
    <row r="891" customFormat="1" ht="15" hidden="1" x14ac:dyDescent="0.25"/>
    <row r="892" customFormat="1" ht="15" hidden="1" x14ac:dyDescent="0.25"/>
    <row r="893" customFormat="1" ht="15" hidden="1" x14ac:dyDescent="0.25"/>
    <row r="894" customFormat="1" ht="15" hidden="1" x14ac:dyDescent="0.25"/>
    <row r="895" customFormat="1" ht="15" hidden="1" x14ac:dyDescent="0.25"/>
    <row r="896" customFormat="1" ht="15" hidden="1" x14ac:dyDescent="0.25"/>
    <row r="897" customFormat="1" ht="15" hidden="1" x14ac:dyDescent="0.25"/>
    <row r="898" customFormat="1" ht="15" hidden="1" x14ac:dyDescent="0.25"/>
    <row r="899" customFormat="1" ht="15" hidden="1" x14ac:dyDescent="0.25"/>
    <row r="900" customFormat="1" ht="15" hidden="1" x14ac:dyDescent="0.25"/>
    <row r="901" customFormat="1" ht="15" hidden="1" x14ac:dyDescent="0.25"/>
    <row r="902" customFormat="1" ht="15" hidden="1" x14ac:dyDescent="0.25"/>
    <row r="903" customFormat="1" ht="15" hidden="1" x14ac:dyDescent="0.25"/>
    <row r="904" customFormat="1" ht="15" hidden="1" x14ac:dyDescent="0.25"/>
    <row r="905" customFormat="1" ht="15" hidden="1" x14ac:dyDescent="0.25"/>
    <row r="906" customFormat="1" ht="15" hidden="1" x14ac:dyDescent="0.25"/>
    <row r="907" customFormat="1" ht="15" hidden="1" x14ac:dyDescent="0.25"/>
    <row r="908" customFormat="1" ht="15" hidden="1" x14ac:dyDescent="0.25"/>
    <row r="909" customFormat="1" ht="15" hidden="1" x14ac:dyDescent="0.25"/>
    <row r="910" customFormat="1" ht="15" hidden="1" x14ac:dyDescent="0.25"/>
    <row r="911" customFormat="1" ht="15" hidden="1" x14ac:dyDescent="0.25"/>
    <row r="912" customFormat="1" ht="15" hidden="1" x14ac:dyDescent="0.25"/>
    <row r="913" customFormat="1" ht="15" hidden="1" x14ac:dyDescent="0.25"/>
    <row r="914" customFormat="1" ht="15" hidden="1" x14ac:dyDescent="0.25"/>
    <row r="915" customFormat="1" ht="15" hidden="1" x14ac:dyDescent="0.25"/>
    <row r="916" customFormat="1" ht="15" hidden="1" x14ac:dyDescent="0.25"/>
    <row r="917" customFormat="1" ht="15" hidden="1" x14ac:dyDescent="0.25"/>
    <row r="918" customFormat="1" ht="15" hidden="1" x14ac:dyDescent="0.25"/>
    <row r="919" customFormat="1" ht="15" hidden="1" x14ac:dyDescent="0.25"/>
    <row r="920" customFormat="1" ht="15" hidden="1" x14ac:dyDescent="0.25"/>
    <row r="921" customFormat="1" ht="15" hidden="1" x14ac:dyDescent="0.25"/>
    <row r="922" customFormat="1" ht="15" hidden="1" x14ac:dyDescent="0.25"/>
    <row r="923" customFormat="1" ht="15" hidden="1" x14ac:dyDescent="0.25"/>
    <row r="924" customFormat="1" ht="15" hidden="1" x14ac:dyDescent="0.25"/>
    <row r="925" customFormat="1" ht="15" hidden="1" x14ac:dyDescent="0.25"/>
    <row r="926" customFormat="1" ht="15" hidden="1" x14ac:dyDescent="0.25"/>
    <row r="927" customFormat="1" ht="15" hidden="1" x14ac:dyDescent="0.25"/>
    <row r="928" customFormat="1" ht="15" hidden="1" x14ac:dyDescent="0.25"/>
    <row r="929" customFormat="1" ht="15" hidden="1" x14ac:dyDescent="0.25"/>
    <row r="930" customFormat="1" ht="15" hidden="1" x14ac:dyDescent="0.25"/>
    <row r="931" customFormat="1" ht="15" hidden="1" x14ac:dyDescent="0.25"/>
    <row r="932" customFormat="1" ht="15" hidden="1" x14ac:dyDescent="0.25"/>
    <row r="933" customFormat="1" ht="15" hidden="1" x14ac:dyDescent="0.25"/>
    <row r="934" customFormat="1" ht="15" hidden="1" x14ac:dyDescent="0.25"/>
    <row r="935" customFormat="1" ht="15" hidden="1" x14ac:dyDescent="0.25"/>
    <row r="936" customFormat="1" ht="15" hidden="1" x14ac:dyDescent="0.25"/>
    <row r="937" customFormat="1" ht="15" hidden="1" x14ac:dyDescent="0.25"/>
    <row r="938" customFormat="1" ht="15" hidden="1" x14ac:dyDescent="0.25"/>
    <row r="939" customFormat="1" ht="15" hidden="1" x14ac:dyDescent="0.25"/>
    <row r="940" customFormat="1" ht="15" hidden="1" x14ac:dyDescent="0.25"/>
    <row r="941" customFormat="1" ht="15" hidden="1" x14ac:dyDescent="0.25"/>
    <row r="942" customFormat="1" ht="15" hidden="1" x14ac:dyDescent="0.25"/>
    <row r="943" customFormat="1" ht="15" hidden="1" x14ac:dyDescent="0.25"/>
    <row r="944" customFormat="1" ht="15" hidden="1" x14ac:dyDescent="0.25"/>
    <row r="945" customFormat="1" ht="15" hidden="1" x14ac:dyDescent="0.25"/>
    <row r="946" customFormat="1" ht="15" hidden="1" x14ac:dyDescent="0.25"/>
    <row r="947" customFormat="1" ht="15" hidden="1" x14ac:dyDescent="0.25"/>
    <row r="948" customFormat="1" ht="15" hidden="1" x14ac:dyDescent="0.25"/>
    <row r="949" customFormat="1" ht="15" hidden="1" x14ac:dyDescent="0.25"/>
    <row r="950" customFormat="1" ht="15" hidden="1" x14ac:dyDescent="0.25"/>
    <row r="951" customFormat="1" ht="15" hidden="1" x14ac:dyDescent="0.25"/>
    <row r="952" customFormat="1" ht="15" hidden="1" x14ac:dyDescent="0.25"/>
    <row r="953" customFormat="1" ht="15" hidden="1" x14ac:dyDescent="0.25"/>
    <row r="954" customFormat="1" ht="15" hidden="1" x14ac:dyDescent="0.25"/>
    <row r="955" customFormat="1" ht="15" hidden="1" x14ac:dyDescent="0.25"/>
    <row r="956" customFormat="1" ht="15" hidden="1" x14ac:dyDescent="0.25"/>
    <row r="957" customFormat="1" ht="15" hidden="1" x14ac:dyDescent="0.25"/>
    <row r="958" customFormat="1" ht="15" hidden="1" x14ac:dyDescent="0.25"/>
    <row r="959" customFormat="1" ht="15" hidden="1" x14ac:dyDescent="0.25"/>
    <row r="960" customFormat="1" ht="15" hidden="1" x14ac:dyDescent="0.25"/>
    <row r="961" customFormat="1" ht="15" hidden="1" x14ac:dyDescent="0.25"/>
    <row r="962" customFormat="1" ht="15" hidden="1" x14ac:dyDescent="0.25"/>
    <row r="963" customFormat="1" ht="15" hidden="1" x14ac:dyDescent="0.25"/>
    <row r="964" customFormat="1" ht="15" hidden="1" x14ac:dyDescent="0.25"/>
    <row r="965" customFormat="1" ht="15" hidden="1" x14ac:dyDescent="0.25"/>
    <row r="966" customFormat="1" ht="15" hidden="1" x14ac:dyDescent="0.25"/>
    <row r="967" customFormat="1" ht="15" hidden="1" x14ac:dyDescent="0.25"/>
    <row r="968" customFormat="1" ht="15" hidden="1" x14ac:dyDescent="0.25"/>
    <row r="969" customFormat="1" ht="15" hidden="1" x14ac:dyDescent="0.25"/>
    <row r="970" customFormat="1" ht="15" hidden="1" x14ac:dyDescent="0.25"/>
    <row r="971" customFormat="1" ht="15" hidden="1" x14ac:dyDescent="0.25"/>
    <row r="972" customFormat="1" ht="15" hidden="1" x14ac:dyDescent="0.25"/>
    <row r="973" customFormat="1" ht="15" hidden="1" x14ac:dyDescent="0.25"/>
    <row r="974" customFormat="1" ht="15" hidden="1" x14ac:dyDescent="0.25"/>
    <row r="975" customFormat="1" ht="15" hidden="1" x14ac:dyDescent="0.25"/>
    <row r="976" customFormat="1" ht="15" hidden="1" x14ac:dyDescent="0.25"/>
    <row r="977" customFormat="1" ht="15" hidden="1" x14ac:dyDescent="0.25"/>
    <row r="978" customFormat="1" ht="15" hidden="1" x14ac:dyDescent="0.25"/>
    <row r="979" customFormat="1" ht="15" hidden="1" x14ac:dyDescent="0.25"/>
    <row r="980" customFormat="1" ht="15" hidden="1" x14ac:dyDescent="0.25"/>
    <row r="981" customFormat="1" ht="15" hidden="1" x14ac:dyDescent="0.25"/>
    <row r="982" customFormat="1" ht="15" hidden="1" x14ac:dyDescent="0.25"/>
    <row r="983" customFormat="1" ht="15" hidden="1" x14ac:dyDescent="0.25"/>
    <row r="984" customFormat="1" ht="15" hidden="1" x14ac:dyDescent="0.25"/>
    <row r="985" customFormat="1" ht="15" hidden="1" x14ac:dyDescent="0.25"/>
    <row r="986" customFormat="1" ht="15" hidden="1" x14ac:dyDescent="0.25"/>
    <row r="987" customFormat="1" ht="15" hidden="1" x14ac:dyDescent="0.25"/>
    <row r="988" customFormat="1" ht="15" hidden="1" x14ac:dyDescent="0.25"/>
    <row r="989" customFormat="1" ht="15" hidden="1" x14ac:dyDescent="0.25"/>
    <row r="990" customFormat="1" ht="15" hidden="1" x14ac:dyDescent="0.25"/>
    <row r="991" customFormat="1" ht="15" hidden="1" x14ac:dyDescent="0.25"/>
    <row r="992" customFormat="1" ht="15" hidden="1" x14ac:dyDescent="0.25"/>
    <row r="993" customFormat="1" ht="15" hidden="1" x14ac:dyDescent="0.25"/>
    <row r="994" customFormat="1" ht="15" hidden="1" x14ac:dyDescent="0.25"/>
    <row r="995" customFormat="1" ht="15" hidden="1" x14ac:dyDescent="0.25"/>
    <row r="996" customFormat="1" ht="15" hidden="1" x14ac:dyDescent="0.25"/>
    <row r="997" customFormat="1" ht="15" hidden="1" x14ac:dyDescent="0.25"/>
    <row r="998" customFormat="1" ht="15" hidden="1" x14ac:dyDescent="0.25"/>
    <row r="999" customFormat="1" ht="15" hidden="1" x14ac:dyDescent="0.25"/>
  </sheetData>
  <sheetProtection algorithmName="SHA-512" hashValue="RbnMLPlLxZ9lmBZjpf/oxlNtKC6puFfMP2OWtam2S8xbjdyk9uTHtx8a6htkYDckHkhLPK/7sMNA6mSdzMDECg==" saltValue="pSOsFTbJfyyZwPKAT65j+A==" spinCount="100000" sheet="1" objects="1" scenarios="1"/>
  <dataConsolidate/>
  <mergeCells count="85">
    <mergeCell ref="D32:L32"/>
    <mergeCell ref="N16:P16"/>
    <mergeCell ref="E16:L16"/>
    <mergeCell ref="K14:L14"/>
    <mergeCell ref="N28:P28"/>
    <mergeCell ref="D28:L28"/>
    <mergeCell ref="F15:L15"/>
    <mergeCell ref="N15:P15"/>
    <mergeCell ref="K18:L18"/>
    <mergeCell ref="N26:P26"/>
    <mergeCell ref="K23:L23"/>
    <mergeCell ref="E27:L27"/>
    <mergeCell ref="F20:J20"/>
    <mergeCell ref="F21:J21"/>
    <mergeCell ref="F22:J22"/>
    <mergeCell ref="K22:L22"/>
    <mergeCell ref="C3:F3"/>
    <mergeCell ref="G3:P3"/>
    <mergeCell ref="D4:L4"/>
    <mergeCell ref="F8:L8"/>
    <mergeCell ref="F12:H13"/>
    <mergeCell ref="F6:J6"/>
    <mergeCell ref="F7:J7"/>
    <mergeCell ref="E5:L5"/>
    <mergeCell ref="K6:L6"/>
    <mergeCell ref="K7:L7"/>
    <mergeCell ref="K25:L25"/>
    <mergeCell ref="F25:J25"/>
    <mergeCell ref="K24:L24"/>
    <mergeCell ref="D17:D26"/>
    <mergeCell ref="F26:L26"/>
    <mergeCell ref="F18:J18"/>
    <mergeCell ref="E17:L17"/>
    <mergeCell ref="F19:J19"/>
    <mergeCell ref="K19:L19"/>
    <mergeCell ref="K20:L20"/>
    <mergeCell ref="F23:J23"/>
    <mergeCell ref="F24:J24"/>
    <mergeCell ref="K21:L21"/>
    <mergeCell ref="N27:P27"/>
    <mergeCell ref="E43:J43"/>
    <mergeCell ref="E44:J44"/>
    <mergeCell ref="K33:L33"/>
    <mergeCell ref="E34:J34"/>
    <mergeCell ref="K41:L41"/>
    <mergeCell ref="N29:P29"/>
    <mergeCell ref="N32:P32"/>
    <mergeCell ref="D29:L29"/>
    <mergeCell ref="N31:P31"/>
    <mergeCell ref="N30:P30"/>
    <mergeCell ref="D30:L30"/>
    <mergeCell ref="D31:L31"/>
    <mergeCell ref="E35:J35"/>
    <mergeCell ref="E33:J33"/>
    <mergeCell ref="K35:L35"/>
    <mergeCell ref="N56:P56"/>
    <mergeCell ref="D55:L55"/>
    <mergeCell ref="N55:P55"/>
    <mergeCell ref="N54:P54"/>
    <mergeCell ref="K52:L52"/>
    <mergeCell ref="E54:L54"/>
    <mergeCell ref="D56:L56"/>
    <mergeCell ref="K53:L53"/>
    <mergeCell ref="E52:J52"/>
    <mergeCell ref="E45:J45"/>
    <mergeCell ref="E46:J46"/>
    <mergeCell ref="K34:L34"/>
    <mergeCell ref="F39:H40"/>
    <mergeCell ref="C42:C54"/>
    <mergeCell ref="D42:L42"/>
    <mergeCell ref="E53:J53"/>
    <mergeCell ref="E48:J48"/>
    <mergeCell ref="K45:L45"/>
    <mergeCell ref="E49:J49"/>
    <mergeCell ref="E50:J50"/>
    <mergeCell ref="E51:J51"/>
    <mergeCell ref="K48:L48"/>
    <mergeCell ref="K46:L46"/>
    <mergeCell ref="K43:L43"/>
    <mergeCell ref="K44:L44"/>
    <mergeCell ref="K49:L49"/>
    <mergeCell ref="K50:L50"/>
    <mergeCell ref="E47:J47"/>
    <mergeCell ref="K51:L51"/>
    <mergeCell ref="K47:L47"/>
  </mergeCells>
  <dataValidations count="5">
    <dataValidation type="whole" allowBlank="1" showInputMessage="1" showErrorMessage="1" sqref="N55:P56 K14:L14">
      <formula1>-99999999999999</formula1>
      <formula2>99999999999999</formula2>
    </dataValidation>
    <dataValidation type="whole" allowBlank="1" showInputMessage="1" showErrorMessage="1" sqref="N54:P54 N32:P32 N29:P29 N26:P27 N15:P15">
      <formula1>0</formula1>
      <formula2>99999999999999</formula2>
    </dataValidation>
    <dataValidation type="textLength" operator="lessThanOrEqual" allowBlank="1" showInputMessage="1" showErrorMessage="1" errorTitle="Nature" error="Nature cannot exceed 125 characters" sqref="G10:G11">
      <formula1>125</formula1>
    </dataValidation>
    <dataValidation type="textLength" operator="lessThanOrEqual" allowBlank="1" showInputMessage="1" showErrorMessage="1" errorTitle="Nature of direct expenses" error="Nature of direct expenses cannot exceed 125 characters" sqref="G37:G38">
      <formula1>125</formula1>
    </dataValidation>
    <dataValidation type="whole" allowBlank="1" showInputMessage="1" showErrorMessage="1" errorTitle="Amount" error="Amount entered should be Numeric,Non negative and no decimal upto 14 digits" sqref="K6:L7 H10:H11 K43:L53 K18:L25 K33:L34 H37:H38">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97633" r:id="rId5" name="Button 1">
              <controlPr defaultSize="0" print="0" autoFill="0" autoPict="0" macro="[0]!AddRows_TradingAcc1">
                <anchor moveWithCells="1">
                  <from>
                    <xdr:col>5</xdr:col>
                    <xdr:colOff>0</xdr:colOff>
                    <xdr:row>11</xdr:row>
                    <xdr:rowOff>38100</xdr:rowOff>
                  </from>
                  <to>
                    <xdr:col>6</xdr:col>
                    <xdr:colOff>1009650</xdr:colOff>
                    <xdr:row>12</xdr:row>
                    <xdr:rowOff>95250</xdr:rowOff>
                  </to>
                </anchor>
              </controlPr>
            </control>
          </mc:Choice>
        </mc:AlternateContent>
        <mc:AlternateContent xmlns:mc="http://schemas.openxmlformats.org/markup-compatibility/2006">
          <mc:Choice Requires="x14">
            <control shapeId="197635" r:id="rId6" name="Button 3">
              <controlPr defaultSize="0" print="0" autoFill="0" autoPict="0" macro="[0]!AddRows_TradingAcc2">
                <anchor moveWithCells="1">
                  <from>
                    <xdr:col>5</xdr:col>
                    <xdr:colOff>0</xdr:colOff>
                    <xdr:row>38</xdr:row>
                    <xdr:rowOff>38100</xdr:rowOff>
                  </from>
                  <to>
                    <xdr:col>6</xdr:col>
                    <xdr:colOff>1009650</xdr:colOff>
                    <xdr:row>39</xdr:row>
                    <xdr:rowOff>133350</xdr:rowOff>
                  </to>
                </anchor>
              </controlPr>
            </control>
          </mc:Choice>
        </mc:AlternateContent>
        <mc:AlternateContent xmlns:mc="http://schemas.openxmlformats.org/markup-compatibility/2006">
          <mc:Choice Requires="x14">
            <control shapeId="197636" r:id="rId7" name="Button 4">
              <controlPr defaultSize="0" print="0" autoFill="0" autoPict="0" macro="[0]!CmdValidate_TradingAccount_Click">
                <anchor>
                  <from>
                    <xdr:col>17</xdr:col>
                    <xdr:colOff>76200</xdr:colOff>
                    <xdr:row>2</xdr:row>
                    <xdr:rowOff>228600</xdr:rowOff>
                  </from>
                  <to>
                    <xdr:col>17</xdr:col>
                    <xdr:colOff>1447800</xdr:colOff>
                    <xdr:row>4</xdr:row>
                    <xdr:rowOff>0</xdr:rowOff>
                  </to>
                </anchor>
              </controlPr>
            </control>
          </mc:Choice>
        </mc:AlternateContent>
        <mc:AlternateContent xmlns:mc="http://schemas.openxmlformats.org/markup-compatibility/2006">
          <mc:Choice Requires="x14">
            <control shapeId="197637" r:id="rId8" name="Button 5">
              <controlPr defaultSize="0" print="0" autoFill="0" autoPict="0" macro="[0]!Prev_Sheet">
                <anchor>
                  <from>
                    <xdr:col>17</xdr:col>
                    <xdr:colOff>76200</xdr:colOff>
                    <xdr:row>6</xdr:row>
                    <xdr:rowOff>19050</xdr:rowOff>
                  </from>
                  <to>
                    <xdr:col>17</xdr:col>
                    <xdr:colOff>1447800</xdr:colOff>
                    <xdr:row>7</xdr:row>
                    <xdr:rowOff>133350</xdr:rowOff>
                  </to>
                </anchor>
              </controlPr>
            </control>
          </mc:Choice>
        </mc:AlternateContent>
        <mc:AlternateContent xmlns:mc="http://schemas.openxmlformats.org/markup-compatibility/2006">
          <mc:Choice Requires="x14">
            <control shapeId="197638" r:id="rId9" name="Button 6">
              <controlPr defaultSize="0" print="0" autoFill="0" autoPict="0" macro="[0]!Img_Home_Click">
                <anchor>
                  <from>
                    <xdr:col>17</xdr:col>
                    <xdr:colOff>76200</xdr:colOff>
                    <xdr:row>1</xdr:row>
                    <xdr:rowOff>95250</xdr:rowOff>
                  </from>
                  <to>
                    <xdr:col>17</xdr:col>
                    <xdr:colOff>1447800</xdr:colOff>
                    <xdr:row>2</xdr:row>
                    <xdr:rowOff>209550</xdr:rowOff>
                  </to>
                </anchor>
              </controlPr>
            </control>
          </mc:Choice>
        </mc:AlternateContent>
        <mc:AlternateContent xmlns:mc="http://schemas.openxmlformats.org/markup-compatibility/2006">
          <mc:Choice Requires="x14">
            <control shapeId="197639" r:id="rId10" name="Button 7">
              <controlPr defaultSize="0" print="0" autoFill="0" autoPict="0" macro="[0]!Instruction_Sheet">
                <anchor>
                  <from>
                    <xdr:col>17</xdr:col>
                    <xdr:colOff>76200</xdr:colOff>
                    <xdr:row>11</xdr:row>
                    <xdr:rowOff>133350</xdr:rowOff>
                  </from>
                  <to>
                    <xdr:col>17</xdr:col>
                    <xdr:colOff>1447800</xdr:colOff>
                    <xdr:row>13</xdr:row>
                    <xdr:rowOff>0</xdr:rowOff>
                  </to>
                </anchor>
              </controlPr>
            </control>
          </mc:Choice>
        </mc:AlternateContent>
        <mc:AlternateContent xmlns:mc="http://schemas.openxmlformats.org/markup-compatibility/2006">
          <mc:Choice Requires="x14">
            <control shapeId="197640" r:id="rId11" name="Button 8">
              <controlPr defaultSize="0" print="0" autoFill="0" autoPict="0" macro="[0]!WorksheetsPrint">
                <anchor>
                  <from>
                    <xdr:col>17</xdr:col>
                    <xdr:colOff>76200</xdr:colOff>
                    <xdr:row>9</xdr:row>
                    <xdr:rowOff>142875</xdr:rowOff>
                  </from>
                  <to>
                    <xdr:col>17</xdr:col>
                    <xdr:colOff>1447800</xdr:colOff>
                    <xdr:row>11</xdr:row>
                    <xdr:rowOff>95250</xdr:rowOff>
                  </to>
                </anchor>
              </controlPr>
            </control>
          </mc:Choice>
        </mc:AlternateContent>
        <mc:AlternateContent xmlns:mc="http://schemas.openxmlformats.org/markup-compatibility/2006">
          <mc:Choice Requires="x14">
            <control shapeId="197641" r:id="rId12" name="Button 9">
              <controlPr defaultSize="0" print="0" autoFill="0" autoPict="0" macro="[0]!GenerateJSON.GenerateJSON">
                <anchor>
                  <from>
                    <xdr:col>17</xdr:col>
                    <xdr:colOff>76200</xdr:colOff>
                    <xdr:row>8</xdr:row>
                    <xdr:rowOff>0</xdr:rowOff>
                  </from>
                  <to>
                    <xdr:col>17</xdr:col>
                    <xdr:colOff>1447800</xdr:colOff>
                    <xdr:row>9</xdr:row>
                    <xdr:rowOff>104775</xdr:rowOff>
                  </to>
                </anchor>
              </controlPr>
            </control>
          </mc:Choice>
        </mc:AlternateContent>
        <mc:AlternateContent xmlns:mc="http://schemas.openxmlformats.org/markup-compatibility/2006">
          <mc:Choice Requires="x14">
            <control shapeId="197642" r:id="rId13" name="Button 10">
              <controlPr defaultSize="0" print="0" autoFill="0" autoPict="0" macro="[0]!Next_Sheet">
                <anchor>
                  <from>
                    <xdr:col>17</xdr:col>
                    <xdr:colOff>76200</xdr:colOff>
                    <xdr:row>4</xdr:row>
                    <xdr:rowOff>28575</xdr:rowOff>
                  </from>
                  <to>
                    <xdr:col>17</xdr:col>
                    <xdr:colOff>1447800</xdr:colOff>
                    <xdr:row>5</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U1000"/>
  <sheetViews>
    <sheetView showGridLines="0" showRowColHeaders="0" zoomScaleNormal="100" workbookViewId="0">
      <selection activeCell="O114" sqref="O114"/>
    </sheetView>
  </sheetViews>
  <sheetFormatPr defaultColWidth="0" defaultRowHeight="20.25" customHeight="1" zeroHeight="1" x14ac:dyDescent="0.2"/>
  <cols>
    <col min="1" max="1" width="3.5703125" style="113" customWidth="1"/>
    <col min="2" max="2" width="4.140625" style="113" customWidth="1"/>
    <col min="3" max="3" width="9.140625" style="113" customWidth="1"/>
    <col min="4" max="4" width="6" style="113" customWidth="1"/>
    <col min="5" max="5" width="6.42578125" style="113" customWidth="1"/>
    <col min="6" max="6" width="7.5703125" style="113" customWidth="1"/>
    <col min="7" max="7" width="9.140625" style="113" customWidth="1"/>
    <col min="8" max="8" width="34.85546875" style="113" customWidth="1"/>
    <col min="9" max="9" width="16.85546875" style="113" bestFit="1" customWidth="1"/>
    <col min="10" max="10" width="15.140625" style="113" customWidth="1"/>
    <col min="11" max="11" width="13.5703125" style="113" customWidth="1"/>
    <col min="12" max="12" width="15.42578125" style="113" customWidth="1"/>
    <col min="13" max="13" width="14.28515625" style="117" customWidth="1"/>
    <col min="14" max="14" width="12.85546875" style="113" customWidth="1"/>
    <col min="15" max="15" width="12.5703125" style="113" customWidth="1"/>
    <col min="16" max="16" width="14.140625" style="113" customWidth="1"/>
    <col min="17" max="17" width="12.7109375" style="113" customWidth="1"/>
    <col min="18" max="18" width="9.140625" style="113" customWidth="1"/>
    <col min="19" max="19" width="4.5703125" style="113" customWidth="1"/>
    <col min="20" max="255" width="9.140625" style="113" hidden="1" customWidth="1"/>
    <col min="256" max="16384" width="4.5703125" style="113" hidden="1"/>
  </cols>
  <sheetData>
    <row r="1" spans="2:18" ht="13.5" thickBot="1" x14ac:dyDescent="0.25"/>
    <row r="2" spans="2:18" ht="12.75" x14ac:dyDescent="0.2">
      <c r="B2" s="1130"/>
      <c r="C2" s="1131"/>
      <c r="D2" s="1131"/>
      <c r="E2" s="1131"/>
      <c r="F2" s="1131"/>
      <c r="G2" s="1131"/>
      <c r="H2" s="1131"/>
      <c r="I2" s="1131"/>
      <c r="J2" s="1131"/>
      <c r="K2" s="1131"/>
      <c r="L2" s="1131"/>
      <c r="M2" s="1183"/>
      <c r="N2" s="1131"/>
      <c r="O2" s="1131"/>
      <c r="P2" s="1131"/>
      <c r="Q2" s="1131"/>
      <c r="R2" s="1132"/>
    </row>
    <row r="3" spans="2:18" ht="30" customHeight="1" x14ac:dyDescent="0.2">
      <c r="B3" s="1121"/>
      <c r="C3" s="3154" t="s">
        <v>9411</v>
      </c>
      <c r="D3" s="3155"/>
      <c r="E3" s="3155"/>
      <c r="F3" s="2999" t="s">
        <v>13052</v>
      </c>
      <c r="G3" s="2999"/>
      <c r="H3" s="2999"/>
      <c r="I3" s="2999"/>
      <c r="J3" s="2999"/>
      <c r="K3" s="2999"/>
      <c r="L3" s="2999"/>
      <c r="M3" s="354"/>
      <c r="N3" s="310"/>
      <c r="O3" s="310"/>
      <c r="P3" s="310"/>
      <c r="Q3" s="310"/>
      <c r="R3" s="1122"/>
    </row>
    <row r="4" spans="2:18" ht="12.75" x14ac:dyDescent="0.2">
      <c r="B4" s="1121"/>
      <c r="C4" s="248"/>
      <c r="D4" s="28">
        <v>13</v>
      </c>
      <c r="E4" s="3119" t="s">
        <v>9735</v>
      </c>
      <c r="F4" s="3119"/>
      <c r="G4" s="3119"/>
      <c r="H4" s="3119"/>
      <c r="I4" s="3119"/>
      <c r="J4" s="3120"/>
      <c r="K4" s="10">
        <v>13</v>
      </c>
      <c r="L4" s="1391">
        <f>TradingAcc_GrossProfitOrLoss</f>
        <v>0</v>
      </c>
      <c r="M4" s="354"/>
      <c r="N4" s="310"/>
      <c r="O4" s="310"/>
      <c r="P4" s="310"/>
      <c r="Q4" s="310"/>
      <c r="R4" s="1122"/>
    </row>
    <row r="5" spans="2:18" ht="12.75" customHeight="1" x14ac:dyDescent="0.2">
      <c r="B5" s="1121"/>
      <c r="C5" s="3013"/>
      <c r="D5" s="28">
        <v>14</v>
      </c>
      <c r="E5" s="3017" t="s">
        <v>424</v>
      </c>
      <c r="F5" s="3015"/>
      <c r="G5" s="3015"/>
      <c r="H5" s="3015"/>
      <c r="I5" s="3015"/>
      <c r="J5" s="3016"/>
      <c r="K5" s="184"/>
      <c r="L5" s="1035"/>
      <c r="M5" s="354"/>
      <c r="N5" s="310"/>
      <c r="O5" s="310"/>
      <c r="P5" s="310"/>
      <c r="Q5" s="310"/>
      <c r="R5" s="1122"/>
    </row>
    <row r="6" spans="2:18" ht="13.5" customHeight="1" x14ac:dyDescent="0.2">
      <c r="B6" s="1121"/>
      <c r="C6" s="3013"/>
      <c r="D6" s="195"/>
      <c r="E6" s="1388" t="s">
        <v>287</v>
      </c>
      <c r="F6" s="3109" t="s">
        <v>425</v>
      </c>
      <c r="G6" s="3119"/>
      <c r="H6" s="3120"/>
      <c r="I6" s="218" t="s">
        <v>287</v>
      </c>
      <c r="J6" s="1389"/>
      <c r="K6" s="409"/>
      <c r="L6" s="1037"/>
      <c r="M6" s="354"/>
      <c r="N6" s="310"/>
      <c r="O6" s="310"/>
      <c r="P6" s="310"/>
      <c r="Q6" s="310"/>
      <c r="R6" s="1122"/>
    </row>
    <row r="7" spans="2:18" ht="12.75" customHeight="1" x14ac:dyDescent="0.2">
      <c r="B7" s="1121"/>
      <c r="C7" s="3013"/>
      <c r="D7" s="198"/>
      <c r="E7" s="206" t="s">
        <v>290</v>
      </c>
      <c r="F7" s="3109" t="s">
        <v>426</v>
      </c>
      <c r="G7" s="3119"/>
      <c r="H7" s="3120"/>
      <c r="I7" s="215" t="s">
        <v>290</v>
      </c>
      <c r="J7" s="1390"/>
      <c r="K7" s="409"/>
      <c r="L7" s="1037"/>
      <c r="M7" s="354"/>
      <c r="N7" s="310"/>
      <c r="O7" s="310"/>
      <c r="P7" s="310"/>
      <c r="Q7" s="310"/>
      <c r="R7" s="1122"/>
    </row>
    <row r="8" spans="2:18" ht="13.5" customHeight="1" x14ac:dyDescent="0.2">
      <c r="B8" s="1121"/>
      <c r="C8" s="3013"/>
      <c r="D8" s="198"/>
      <c r="E8" s="205" t="s">
        <v>293</v>
      </c>
      <c r="F8" s="3109" t="s">
        <v>427</v>
      </c>
      <c r="G8" s="3119"/>
      <c r="H8" s="3120"/>
      <c r="I8" s="214" t="s">
        <v>293</v>
      </c>
      <c r="J8" s="1390"/>
      <c r="K8" s="409"/>
      <c r="L8" s="1037"/>
      <c r="M8" s="354"/>
      <c r="N8" s="310"/>
      <c r="O8" s="310"/>
      <c r="P8" s="310"/>
      <c r="Q8" s="310"/>
      <c r="R8" s="1122"/>
    </row>
    <row r="9" spans="2:18" ht="12.75" customHeight="1" x14ac:dyDescent="0.2">
      <c r="B9" s="1121"/>
      <c r="C9" s="3013"/>
      <c r="D9" s="198"/>
      <c r="E9" s="205" t="s">
        <v>296</v>
      </c>
      <c r="F9" s="3109" t="s">
        <v>428</v>
      </c>
      <c r="G9" s="3119"/>
      <c r="H9" s="3120"/>
      <c r="I9" s="214" t="s">
        <v>296</v>
      </c>
      <c r="J9" s="1390"/>
      <c r="K9" s="409"/>
      <c r="L9" s="1037"/>
      <c r="M9" s="354"/>
      <c r="N9" s="310"/>
      <c r="O9" s="310"/>
      <c r="P9" s="310"/>
      <c r="Q9" s="310"/>
      <c r="R9" s="1122"/>
    </row>
    <row r="10" spans="2:18" ht="13.5" customHeight="1" x14ac:dyDescent="0.2">
      <c r="B10" s="1121"/>
      <c r="C10" s="3013"/>
      <c r="D10" s="198"/>
      <c r="E10" s="206" t="s">
        <v>299</v>
      </c>
      <c r="F10" s="1386" t="s">
        <v>429</v>
      </c>
      <c r="G10" s="1386"/>
      <c r="H10" s="1386"/>
      <c r="I10" s="215" t="s">
        <v>299</v>
      </c>
      <c r="J10" s="1390"/>
      <c r="K10" s="409"/>
      <c r="L10" s="1037"/>
      <c r="M10" s="354"/>
      <c r="N10" s="310"/>
      <c r="O10" s="310"/>
      <c r="P10" s="310"/>
      <c r="Q10" s="310"/>
      <c r="R10" s="1122"/>
    </row>
    <row r="11" spans="2:18" ht="30.75" customHeight="1" x14ac:dyDescent="0.2">
      <c r="B11" s="1121"/>
      <c r="C11" s="3013"/>
      <c r="D11" s="222"/>
      <c r="E11" s="206" t="s">
        <v>430</v>
      </c>
      <c r="F11" s="3124" t="s">
        <v>431</v>
      </c>
      <c r="G11" s="3125"/>
      <c r="H11" s="3125"/>
      <c r="I11" s="215" t="s">
        <v>430</v>
      </c>
      <c r="J11" s="1390"/>
      <c r="K11" s="409"/>
      <c r="L11" s="1037"/>
      <c r="M11" s="354"/>
      <c r="N11" s="310"/>
      <c r="O11" s="310"/>
      <c r="P11" s="310"/>
      <c r="Q11" s="310"/>
      <c r="R11" s="1122"/>
    </row>
    <row r="12" spans="2:18" ht="12.75" customHeight="1" x14ac:dyDescent="0.2">
      <c r="B12" s="1121"/>
      <c r="C12" s="3013"/>
      <c r="D12" s="198"/>
      <c r="E12" s="206" t="s">
        <v>432</v>
      </c>
      <c r="F12" s="1387" t="s">
        <v>433</v>
      </c>
      <c r="G12" s="1387"/>
      <c r="H12" s="1387"/>
      <c r="I12" s="215" t="s">
        <v>432</v>
      </c>
      <c r="J12" s="1390"/>
      <c r="K12" s="409"/>
      <c r="L12" s="1037"/>
      <c r="M12" s="354"/>
      <c r="N12" s="310"/>
      <c r="O12" s="310"/>
      <c r="P12" s="310"/>
      <c r="Q12" s="310"/>
      <c r="R12" s="1122"/>
    </row>
    <row r="13" spans="2:18" ht="13.5" customHeight="1" x14ac:dyDescent="0.2">
      <c r="B13" s="1121"/>
      <c r="C13" s="3013"/>
      <c r="D13" s="198"/>
      <c r="E13" s="206" t="s">
        <v>434</v>
      </c>
      <c r="F13" s="1387" t="s">
        <v>9324</v>
      </c>
      <c r="G13" s="1387"/>
      <c r="H13" s="1387"/>
      <c r="I13" s="215" t="s">
        <v>434</v>
      </c>
      <c r="J13" s="1390"/>
      <c r="K13" s="409"/>
      <c r="L13" s="1037"/>
      <c r="M13" s="354"/>
      <c r="N13" s="310"/>
      <c r="O13" s="310"/>
      <c r="P13" s="310"/>
      <c r="Q13" s="310"/>
      <c r="R13" s="1122"/>
    </row>
    <row r="14" spans="2:18" ht="27" customHeight="1" x14ac:dyDescent="0.2">
      <c r="B14" s="1121"/>
      <c r="C14" s="3013"/>
      <c r="D14" s="198"/>
      <c r="E14" s="206" t="s">
        <v>435</v>
      </c>
      <c r="F14" s="3121" t="s">
        <v>9325</v>
      </c>
      <c r="G14" s="3122"/>
      <c r="H14" s="3123"/>
      <c r="I14" s="495" t="s">
        <v>435</v>
      </c>
      <c r="J14" s="1390"/>
      <c r="K14" s="409"/>
      <c r="L14" s="1037"/>
      <c r="M14" s="354"/>
      <c r="N14" s="310"/>
      <c r="O14" s="310"/>
      <c r="P14" s="310"/>
      <c r="Q14" s="310"/>
      <c r="R14" s="1122"/>
    </row>
    <row r="15" spans="2:18" ht="13.5" customHeight="1" x14ac:dyDescent="0.2">
      <c r="B15" s="1121"/>
      <c r="C15" s="3013"/>
      <c r="D15" s="198"/>
      <c r="E15" s="206" t="s">
        <v>437</v>
      </c>
      <c r="F15" s="3109" t="s">
        <v>436</v>
      </c>
      <c r="G15" s="3119"/>
      <c r="H15" s="3120"/>
      <c r="I15" s="215" t="s">
        <v>437</v>
      </c>
      <c r="J15" s="1390"/>
      <c r="K15" s="409"/>
      <c r="L15" s="1037"/>
      <c r="M15" s="354"/>
      <c r="N15" s="310"/>
      <c r="O15" s="310"/>
      <c r="P15" s="310"/>
      <c r="Q15" s="310"/>
      <c r="R15" s="1122"/>
    </row>
    <row r="16" spans="2:18" ht="14.25" customHeight="1" x14ac:dyDescent="0.2">
      <c r="B16" s="1121"/>
      <c r="C16" s="3013"/>
      <c r="D16" s="198"/>
      <c r="E16" s="804" t="s">
        <v>439</v>
      </c>
      <c r="F16" s="3109" t="s">
        <v>438</v>
      </c>
      <c r="G16" s="3119"/>
      <c r="H16" s="3119"/>
      <c r="I16" s="3119"/>
      <c r="J16" s="3120"/>
      <c r="K16" s="409"/>
      <c r="L16" s="1037"/>
      <c r="M16" s="354"/>
      <c r="N16" s="310"/>
      <c r="O16" s="310"/>
      <c r="P16" s="310"/>
      <c r="Q16" s="310"/>
      <c r="R16" s="1122"/>
    </row>
    <row r="17" spans="2:18" ht="15.75" customHeight="1" x14ac:dyDescent="0.2">
      <c r="B17" s="1121"/>
      <c r="C17" s="1082"/>
      <c r="D17" s="213"/>
      <c r="E17" s="224"/>
      <c r="F17" s="207"/>
      <c r="G17" s="805" t="s">
        <v>1056</v>
      </c>
      <c r="H17" s="8" t="s">
        <v>414</v>
      </c>
      <c r="I17" s="734"/>
      <c r="J17" s="8" t="s">
        <v>415</v>
      </c>
      <c r="K17" s="409"/>
      <c r="L17" s="1037"/>
      <c r="M17" s="354"/>
      <c r="N17" s="310"/>
      <c r="O17" s="310"/>
      <c r="P17" s="310"/>
      <c r="Q17" s="310"/>
      <c r="R17" s="1122"/>
    </row>
    <row r="18" spans="2:18" ht="12.75" x14ac:dyDescent="0.2">
      <c r="B18" s="1121"/>
      <c r="C18" s="1082"/>
      <c r="D18" s="213"/>
      <c r="E18" s="213"/>
      <c r="F18" s="207"/>
      <c r="G18" s="206">
        <v>1</v>
      </c>
      <c r="H18" s="358" t="s">
        <v>23</v>
      </c>
      <c r="I18" s="996"/>
      <c r="J18" s="801"/>
      <c r="K18" s="409"/>
      <c r="L18" s="1037"/>
      <c r="M18" s="354"/>
      <c r="N18" s="310"/>
      <c r="O18" s="310"/>
      <c r="P18" s="310"/>
      <c r="Q18" s="310"/>
      <c r="R18" s="1122"/>
    </row>
    <row r="19" spans="2:18" ht="12.75" x14ac:dyDescent="0.2">
      <c r="B19" s="1121"/>
      <c r="C19" s="1082"/>
      <c r="D19" s="213"/>
      <c r="E19" s="213"/>
      <c r="F19" s="207"/>
      <c r="G19" s="206">
        <f>G18+1</f>
        <v>2</v>
      </c>
      <c r="H19" s="358" t="s">
        <v>23</v>
      </c>
      <c r="I19" s="996"/>
      <c r="J19" s="801"/>
      <c r="K19" s="409"/>
      <c r="L19" s="1037"/>
      <c r="M19" s="354"/>
      <c r="N19" s="310"/>
      <c r="O19" s="310"/>
      <c r="P19" s="310"/>
      <c r="Q19" s="310"/>
      <c r="R19" s="1122"/>
    </row>
    <row r="20" spans="2:18" ht="12.75" x14ac:dyDescent="0.2">
      <c r="B20" s="1121"/>
      <c r="C20" s="1082"/>
      <c r="D20" s="213"/>
      <c r="E20" s="213"/>
      <c r="F20" s="207"/>
      <c r="G20" s="206">
        <f>G19+1</f>
        <v>3</v>
      </c>
      <c r="H20" s="358" t="s">
        <v>23</v>
      </c>
      <c r="I20" s="996"/>
      <c r="J20" s="801"/>
      <c r="K20" s="409"/>
      <c r="L20" s="1037"/>
      <c r="M20" s="354"/>
      <c r="N20" s="310"/>
      <c r="O20" s="310"/>
      <c r="P20" s="310"/>
      <c r="Q20" s="310"/>
      <c r="R20" s="1122"/>
    </row>
    <row r="21" spans="2:18" ht="12.75" x14ac:dyDescent="0.2">
      <c r="B21" s="1121"/>
      <c r="C21" s="1082"/>
      <c r="D21" s="213"/>
      <c r="E21" s="213"/>
      <c r="F21" s="207"/>
      <c r="G21" s="206">
        <f>G20+1</f>
        <v>4</v>
      </c>
      <c r="H21" s="358" t="s">
        <v>23</v>
      </c>
      <c r="I21" s="996"/>
      <c r="J21" s="801"/>
      <c r="K21" s="409"/>
      <c r="L21" s="1037"/>
      <c r="M21" s="354"/>
      <c r="N21" s="310"/>
      <c r="O21" s="310"/>
      <c r="P21" s="310"/>
      <c r="Q21" s="310"/>
      <c r="R21" s="1122"/>
    </row>
    <row r="22" spans="2:18" ht="13.5" customHeight="1" x14ac:dyDescent="0.2">
      <c r="B22" s="1121"/>
      <c r="C22" s="1082"/>
      <c r="D22" s="213"/>
      <c r="E22" s="213"/>
      <c r="F22" s="207"/>
      <c r="G22" s="1085"/>
      <c r="H22" s="1393" t="s">
        <v>749</v>
      </c>
      <c r="I22" s="27"/>
      <c r="J22" s="1392">
        <f>SUM(Nature_Amt2)</f>
        <v>0</v>
      </c>
      <c r="K22" s="409"/>
      <c r="L22" s="1037"/>
      <c r="M22" s="354"/>
      <c r="N22" s="310"/>
      <c r="O22" s="310"/>
      <c r="P22" s="310"/>
      <c r="Q22" s="310"/>
      <c r="R22" s="1122"/>
    </row>
    <row r="23" spans="2:18" ht="33" customHeight="1" x14ac:dyDescent="0.2">
      <c r="B23" s="1121"/>
      <c r="C23" s="1082"/>
      <c r="D23" s="213"/>
      <c r="E23" s="200"/>
      <c r="F23" s="3157"/>
      <c r="G23" s="3158"/>
      <c r="H23" s="3158"/>
      <c r="I23" s="3158"/>
      <c r="J23" s="3158"/>
      <c r="K23" s="411"/>
      <c r="L23" s="1036"/>
      <c r="M23" s="354"/>
      <c r="N23" s="310"/>
      <c r="O23" s="310"/>
      <c r="P23" s="310"/>
      <c r="Q23" s="310"/>
      <c r="R23" s="1122"/>
    </row>
    <row r="24" spans="2:18" ht="27.75" customHeight="1" x14ac:dyDescent="0.2">
      <c r="B24" s="1121"/>
      <c r="C24" s="1082"/>
      <c r="D24" s="200"/>
      <c r="E24" s="1394" t="s">
        <v>462</v>
      </c>
      <c r="F24" s="3004" t="s">
        <v>9736</v>
      </c>
      <c r="G24" s="3005"/>
      <c r="H24" s="3008"/>
      <c r="I24" s="229"/>
      <c r="J24" s="227"/>
      <c r="K24" s="229" t="s">
        <v>9326</v>
      </c>
      <c r="L24" s="1395">
        <f>SUM(J6,J7,J8,J9,J10,J11,J12,J13,J14,J15,J22)</f>
        <v>0</v>
      </c>
      <c r="M24" s="354"/>
      <c r="N24" s="310"/>
      <c r="O24" s="310"/>
      <c r="P24" s="310"/>
      <c r="Q24" s="310"/>
      <c r="R24" s="1122"/>
    </row>
    <row r="25" spans="2:18" ht="14.25" customHeight="1" x14ac:dyDescent="0.2">
      <c r="B25" s="1121"/>
      <c r="C25" s="1082"/>
      <c r="D25" s="494">
        <v>15</v>
      </c>
      <c r="E25" s="3109" t="s">
        <v>9327</v>
      </c>
      <c r="F25" s="3119"/>
      <c r="G25" s="3119"/>
      <c r="H25" s="3119"/>
      <c r="I25" s="3119"/>
      <c r="J25" s="3120"/>
      <c r="K25" s="229">
        <v>15</v>
      </c>
      <c r="L25" s="1395">
        <f>SUM(PL_GrossProfitLoss,PL.TotOthIncome)</f>
        <v>0</v>
      </c>
      <c r="M25" s="354"/>
      <c r="N25" s="310"/>
      <c r="O25" s="310"/>
      <c r="P25" s="310"/>
      <c r="Q25" s="310"/>
      <c r="R25" s="1122"/>
    </row>
    <row r="26" spans="2:18" ht="13.5" customHeight="1" x14ac:dyDescent="0.2">
      <c r="B26" s="1121"/>
      <c r="C26" s="3156"/>
      <c r="D26" s="257">
        <v>16</v>
      </c>
      <c r="E26" s="3097" t="s">
        <v>9328</v>
      </c>
      <c r="F26" s="3098"/>
      <c r="G26" s="3098"/>
      <c r="H26" s="3098"/>
      <c r="I26" s="3098"/>
      <c r="J26" s="3098"/>
      <c r="K26" s="231">
        <v>16</v>
      </c>
      <c r="L26" s="801"/>
      <c r="M26" s="354"/>
      <c r="N26" s="310"/>
      <c r="O26" s="310"/>
      <c r="P26" s="310"/>
      <c r="Q26" s="310"/>
      <c r="R26" s="1122"/>
    </row>
    <row r="27" spans="2:18" ht="13.5" customHeight="1" x14ac:dyDescent="0.2">
      <c r="B27" s="1121"/>
      <c r="C27" s="3156"/>
      <c r="D27" s="257">
        <v>17</v>
      </c>
      <c r="E27" s="3017" t="s">
        <v>446</v>
      </c>
      <c r="F27" s="3129"/>
      <c r="G27" s="3129"/>
      <c r="H27" s="3129"/>
      <c r="I27" s="3129"/>
      <c r="J27" s="3130"/>
      <c r="K27" s="231">
        <v>17</v>
      </c>
      <c r="L27" s="801"/>
      <c r="M27" s="354"/>
      <c r="N27" s="310"/>
      <c r="O27" s="310"/>
      <c r="P27" s="310"/>
      <c r="Q27" s="310"/>
      <c r="R27" s="1122"/>
    </row>
    <row r="28" spans="2:18" ht="15" customHeight="1" x14ac:dyDescent="0.2">
      <c r="B28" s="1121"/>
      <c r="C28" s="3156"/>
      <c r="D28" s="257">
        <v>18</v>
      </c>
      <c r="E28" s="3097" t="s">
        <v>447</v>
      </c>
      <c r="F28" s="3098"/>
      <c r="G28" s="3098"/>
      <c r="H28" s="3098"/>
      <c r="I28" s="3098"/>
      <c r="J28" s="3098"/>
      <c r="K28" s="231">
        <v>18</v>
      </c>
      <c r="L28" s="801"/>
      <c r="M28" s="354"/>
      <c r="N28" s="310"/>
      <c r="O28" s="310"/>
      <c r="P28" s="310"/>
      <c r="Q28" s="310"/>
      <c r="R28" s="1122"/>
    </row>
    <row r="29" spans="2:18" ht="14.25" customHeight="1" x14ac:dyDescent="0.2">
      <c r="B29" s="1121"/>
      <c r="C29" s="3156"/>
      <c r="D29" s="257">
        <v>19</v>
      </c>
      <c r="E29" s="3097" t="s">
        <v>448</v>
      </c>
      <c r="F29" s="3098"/>
      <c r="G29" s="3098"/>
      <c r="H29" s="3098"/>
      <c r="I29" s="3098"/>
      <c r="J29" s="3098"/>
      <c r="K29" s="231">
        <v>19</v>
      </c>
      <c r="L29" s="801"/>
      <c r="M29" s="354"/>
      <c r="N29" s="310"/>
      <c r="O29" s="310"/>
      <c r="P29" s="310"/>
      <c r="Q29" s="310"/>
      <c r="R29" s="1122"/>
    </row>
    <row r="30" spans="2:18" ht="15.75" customHeight="1" x14ac:dyDescent="0.2">
      <c r="B30" s="1121"/>
      <c r="C30" s="3156"/>
      <c r="D30" s="257">
        <v>20</v>
      </c>
      <c r="E30" s="3097" t="s">
        <v>449</v>
      </c>
      <c r="F30" s="3098"/>
      <c r="G30" s="3098"/>
      <c r="H30" s="3098"/>
      <c r="I30" s="3098"/>
      <c r="J30" s="3098"/>
      <c r="K30" s="231">
        <v>20</v>
      </c>
      <c r="L30" s="801"/>
      <c r="M30" s="354"/>
      <c r="N30" s="310"/>
      <c r="O30" s="310"/>
      <c r="P30" s="310"/>
      <c r="Q30" s="310"/>
      <c r="R30" s="1122"/>
    </row>
    <row r="31" spans="2:18" ht="15.75" customHeight="1" x14ac:dyDescent="0.2">
      <c r="B31" s="1121"/>
      <c r="C31" s="3156"/>
      <c r="D31" s="257">
        <v>21</v>
      </c>
      <c r="E31" s="3097" t="s">
        <v>450</v>
      </c>
      <c r="F31" s="3098"/>
      <c r="G31" s="3098"/>
      <c r="H31" s="3098"/>
      <c r="I31" s="3098"/>
      <c r="J31" s="3098"/>
      <c r="K31" s="231">
        <v>21</v>
      </c>
      <c r="L31" s="801"/>
      <c r="M31" s="354"/>
      <c r="N31" s="310"/>
      <c r="O31" s="310"/>
      <c r="P31" s="310"/>
      <c r="Q31" s="310"/>
      <c r="R31" s="1122"/>
    </row>
    <row r="32" spans="2:18" ht="15.75" customHeight="1" x14ac:dyDescent="0.2">
      <c r="B32" s="1121"/>
      <c r="C32" s="3156"/>
      <c r="D32" s="257">
        <v>22</v>
      </c>
      <c r="E32" s="3108" t="s">
        <v>451</v>
      </c>
      <c r="F32" s="3133"/>
      <c r="G32" s="3133"/>
      <c r="H32" s="3133"/>
      <c r="I32" s="3133"/>
      <c r="J32" s="3134"/>
      <c r="K32" s="217"/>
      <c r="L32" s="233"/>
      <c r="M32" s="354"/>
      <c r="N32" s="310"/>
      <c r="O32" s="310"/>
      <c r="P32" s="310"/>
      <c r="Q32" s="310"/>
      <c r="R32" s="1122"/>
    </row>
    <row r="33" spans="2:18" ht="13.5" customHeight="1" x14ac:dyDescent="0.2">
      <c r="B33" s="1121"/>
      <c r="C33" s="3156"/>
      <c r="D33" s="195"/>
      <c r="E33" s="206" t="s">
        <v>287</v>
      </c>
      <c r="F33" s="3097" t="s">
        <v>452</v>
      </c>
      <c r="G33" s="3132"/>
      <c r="H33" s="3132"/>
      <c r="I33" s="8" t="s">
        <v>9329</v>
      </c>
      <c r="J33" s="801"/>
      <c r="K33" s="3080"/>
      <c r="L33" s="3105"/>
      <c r="M33" s="354"/>
      <c r="N33" s="310"/>
      <c r="O33" s="310"/>
      <c r="P33" s="310"/>
      <c r="Q33" s="310"/>
      <c r="R33" s="1122"/>
    </row>
    <row r="34" spans="2:18" ht="12.75" customHeight="1" x14ac:dyDescent="0.2">
      <c r="B34" s="1121"/>
      <c r="C34" s="3156"/>
      <c r="D34" s="198"/>
      <c r="E34" s="206" t="s">
        <v>290</v>
      </c>
      <c r="F34" s="3097" t="s">
        <v>453</v>
      </c>
      <c r="G34" s="3132"/>
      <c r="H34" s="3132"/>
      <c r="I34" s="8" t="s">
        <v>9330</v>
      </c>
      <c r="J34" s="801"/>
      <c r="K34" s="3135"/>
      <c r="L34" s="3136"/>
      <c r="M34" s="354"/>
      <c r="N34" s="310"/>
      <c r="O34" s="310"/>
      <c r="P34" s="310"/>
      <c r="Q34" s="310"/>
      <c r="R34" s="1122"/>
    </row>
    <row r="35" spans="2:18" ht="13.5" customHeight="1" x14ac:dyDescent="0.2">
      <c r="B35" s="1121"/>
      <c r="C35" s="3156"/>
      <c r="D35" s="198"/>
      <c r="E35" s="206" t="s">
        <v>293</v>
      </c>
      <c r="F35" s="3097" t="s">
        <v>454</v>
      </c>
      <c r="G35" s="3132"/>
      <c r="H35" s="3132"/>
      <c r="I35" s="8" t="s">
        <v>480</v>
      </c>
      <c r="J35" s="801"/>
      <c r="K35" s="3135"/>
      <c r="L35" s="3136"/>
      <c r="M35" s="354"/>
      <c r="N35" s="310"/>
      <c r="O35" s="310"/>
      <c r="P35" s="310"/>
      <c r="Q35" s="310"/>
      <c r="R35" s="1122"/>
    </row>
    <row r="36" spans="2:18" ht="12.75" customHeight="1" x14ac:dyDescent="0.2">
      <c r="B36" s="1121"/>
      <c r="C36" s="3156"/>
      <c r="D36" s="198"/>
      <c r="E36" s="206" t="s">
        <v>296</v>
      </c>
      <c r="F36" s="3097" t="s">
        <v>455</v>
      </c>
      <c r="G36" s="3132"/>
      <c r="H36" s="3132"/>
      <c r="I36" s="8" t="s">
        <v>9331</v>
      </c>
      <c r="J36" s="801"/>
      <c r="K36" s="3135"/>
      <c r="L36" s="3136"/>
      <c r="M36" s="354"/>
      <c r="N36" s="310"/>
      <c r="O36" s="310"/>
      <c r="P36" s="310"/>
      <c r="Q36" s="310"/>
      <c r="R36" s="1122"/>
    </row>
    <row r="37" spans="2:18" ht="13.5" customHeight="1" x14ac:dyDescent="0.2">
      <c r="B37" s="1121"/>
      <c r="C37" s="3156"/>
      <c r="D37" s="198"/>
      <c r="E37" s="206" t="s">
        <v>299</v>
      </c>
      <c r="F37" s="3097" t="s">
        <v>456</v>
      </c>
      <c r="G37" s="3132"/>
      <c r="H37" s="3132"/>
      <c r="I37" s="8" t="s">
        <v>9332</v>
      </c>
      <c r="J37" s="801"/>
      <c r="K37" s="3135"/>
      <c r="L37" s="3136"/>
      <c r="M37" s="354"/>
      <c r="N37" s="310"/>
      <c r="O37" s="310"/>
      <c r="P37" s="310"/>
      <c r="Q37" s="310"/>
      <c r="R37" s="1122"/>
    </row>
    <row r="38" spans="2:18" ht="16.5" customHeight="1" x14ac:dyDescent="0.2">
      <c r="B38" s="1121"/>
      <c r="C38" s="3156"/>
      <c r="D38" s="198"/>
      <c r="E38" s="206" t="s">
        <v>430</v>
      </c>
      <c r="F38" s="3097" t="s">
        <v>457</v>
      </c>
      <c r="G38" s="3132"/>
      <c r="H38" s="3132"/>
      <c r="I38" s="8" t="s">
        <v>9333</v>
      </c>
      <c r="J38" s="801"/>
      <c r="K38" s="3135"/>
      <c r="L38" s="3136"/>
      <c r="M38" s="354"/>
      <c r="N38" s="310"/>
      <c r="O38" s="310"/>
      <c r="P38" s="310"/>
      <c r="Q38" s="310"/>
      <c r="R38" s="1122"/>
    </row>
    <row r="39" spans="2:18" ht="15.75" customHeight="1" x14ac:dyDescent="0.2">
      <c r="B39" s="1121"/>
      <c r="C39" s="3156"/>
      <c r="D39" s="198"/>
      <c r="E39" s="206" t="s">
        <v>432</v>
      </c>
      <c r="F39" s="3097" t="s">
        <v>458</v>
      </c>
      <c r="G39" s="3132"/>
      <c r="H39" s="3132"/>
      <c r="I39" s="8" t="s">
        <v>9334</v>
      </c>
      <c r="J39" s="801"/>
      <c r="K39" s="3135"/>
      <c r="L39" s="3136"/>
      <c r="M39" s="354"/>
      <c r="N39" s="310"/>
      <c r="O39" s="310"/>
      <c r="P39" s="310"/>
      <c r="Q39" s="310"/>
      <c r="R39" s="1122"/>
    </row>
    <row r="40" spans="2:18" ht="16.5" customHeight="1" x14ac:dyDescent="0.2">
      <c r="B40" s="1121"/>
      <c r="C40" s="3156"/>
      <c r="D40" s="198"/>
      <c r="E40" s="206" t="s">
        <v>434</v>
      </c>
      <c r="F40" s="3097" t="s">
        <v>459</v>
      </c>
      <c r="G40" s="3132"/>
      <c r="H40" s="3132"/>
      <c r="I40" s="8" t="s">
        <v>9335</v>
      </c>
      <c r="J40" s="801"/>
      <c r="K40" s="3135"/>
      <c r="L40" s="3136"/>
      <c r="M40" s="354"/>
      <c r="N40" s="310"/>
      <c r="O40" s="310"/>
      <c r="P40" s="310"/>
      <c r="Q40" s="310"/>
      <c r="R40" s="1122"/>
    </row>
    <row r="41" spans="2:18" ht="15.75" customHeight="1" x14ac:dyDescent="0.2">
      <c r="B41" s="1121"/>
      <c r="C41" s="3156"/>
      <c r="D41" s="198"/>
      <c r="E41" s="206" t="s">
        <v>435</v>
      </c>
      <c r="F41" s="3097" t="s">
        <v>460</v>
      </c>
      <c r="G41" s="3132"/>
      <c r="H41" s="3132"/>
      <c r="I41" s="8" t="s">
        <v>9336</v>
      </c>
      <c r="J41" s="801"/>
      <c r="K41" s="3135"/>
      <c r="L41" s="3136"/>
      <c r="M41" s="354"/>
      <c r="N41" s="310"/>
      <c r="O41" s="310"/>
      <c r="P41" s="310"/>
      <c r="Q41" s="310"/>
      <c r="R41" s="1122"/>
    </row>
    <row r="42" spans="2:18" ht="26.25" customHeight="1" x14ac:dyDescent="0.2">
      <c r="B42" s="1121"/>
      <c r="C42" s="3156"/>
      <c r="D42" s="153"/>
      <c r="E42" s="206" t="s">
        <v>437</v>
      </c>
      <c r="F42" s="2999" t="s">
        <v>461</v>
      </c>
      <c r="G42" s="2999"/>
      <c r="H42" s="2999"/>
      <c r="I42" s="28" t="s">
        <v>9337</v>
      </c>
      <c r="J42" s="801"/>
      <c r="K42" s="3106"/>
      <c r="L42" s="3107"/>
      <c r="M42" s="354"/>
      <c r="N42" s="310"/>
      <c r="O42" s="310"/>
      <c r="P42" s="310"/>
      <c r="Q42" s="310"/>
      <c r="R42" s="1122"/>
    </row>
    <row r="43" spans="2:18" ht="28.5" customHeight="1" x14ac:dyDescent="0.2">
      <c r="B43" s="1121"/>
      <c r="C43" s="3156"/>
      <c r="D43" s="198"/>
      <c r="E43" s="258" t="s">
        <v>439</v>
      </c>
      <c r="F43" s="3009" t="s">
        <v>9339</v>
      </c>
      <c r="G43" s="3152"/>
      <c r="H43" s="3152"/>
      <c r="I43" s="3152"/>
      <c r="J43" s="3153"/>
      <c r="K43" s="234" t="s">
        <v>9338</v>
      </c>
      <c r="L43" s="1396">
        <f>SUM(J33:J42)</f>
        <v>0</v>
      </c>
      <c r="M43" s="354"/>
      <c r="N43" s="310"/>
      <c r="O43" s="310"/>
      <c r="P43" s="310"/>
      <c r="Q43" s="310"/>
      <c r="R43" s="1122"/>
    </row>
    <row r="44" spans="2:18" ht="27" customHeight="1" x14ac:dyDescent="0.2">
      <c r="B44" s="1121"/>
      <c r="C44" s="3156"/>
      <c r="D44" s="198"/>
      <c r="E44" s="206" t="s">
        <v>462</v>
      </c>
      <c r="F44" s="2999" t="s">
        <v>9340</v>
      </c>
      <c r="G44" s="3132"/>
      <c r="H44" s="3132"/>
      <c r="I44" s="28" t="s">
        <v>463</v>
      </c>
      <c r="J44" s="1397"/>
      <c r="K44" s="3080"/>
      <c r="L44" s="3105"/>
      <c r="M44" s="354"/>
      <c r="N44" s="310"/>
      <c r="O44" s="310"/>
      <c r="P44" s="310"/>
      <c r="Q44" s="310"/>
      <c r="R44" s="1122"/>
    </row>
    <row r="45" spans="2:18" ht="16.5" customHeight="1" x14ac:dyDescent="0.2">
      <c r="B45" s="1121"/>
      <c r="C45" s="3156"/>
      <c r="D45" s="200"/>
      <c r="E45" s="204"/>
      <c r="F45" s="2999" t="s">
        <v>464</v>
      </c>
      <c r="G45" s="2999"/>
      <c r="H45" s="2999"/>
      <c r="I45" s="28" t="s">
        <v>465</v>
      </c>
      <c r="J45" s="2621"/>
      <c r="K45" s="3135"/>
      <c r="L45" s="3136"/>
      <c r="M45" s="354"/>
      <c r="N45" s="310"/>
      <c r="O45" s="310"/>
      <c r="P45" s="310"/>
      <c r="Q45" s="310"/>
      <c r="R45" s="1122"/>
    </row>
    <row r="46" spans="2:18" ht="17.25" customHeight="1" x14ac:dyDescent="0.2">
      <c r="B46" s="1121"/>
      <c r="C46" s="3156"/>
      <c r="D46" s="241">
        <v>23</v>
      </c>
      <c r="E46" s="3095" t="s">
        <v>466</v>
      </c>
      <c r="F46" s="3096"/>
      <c r="G46" s="3096"/>
      <c r="H46" s="3096"/>
      <c r="I46" s="3096"/>
      <c r="J46" s="3151"/>
      <c r="K46" s="3135"/>
      <c r="L46" s="3136"/>
      <c r="M46" s="354"/>
      <c r="N46" s="310"/>
      <c r="O46" s="310"/>
      <c r="P46" s="310"/>
      <c r="Q46" s="310"/>
      <c r="R46" s="1122"/>
    </row>
    <row r="47" spans="2:18" ht="16.5" customHeight="1" x14ac:dyDescent="0.2">
      <c r="B47" s="1121"/>
      <c r="C47" s="3156"/>
      <c r="D47" s="195"/>
      <c r="E47" s="206" t="s">
        <v>287</v>
      </c>
      <c r="F47" s="3017" t="s">
        <v>467</v>
      </c>
      <c r="G47" s="3015"/>
      <c r="H47" s="3016"/>
      <c r="I47" s="8" t="s">
        <v>9341</v>
      </c>
      <c r="J47" s="1390"/>
      <c r="K47" s="3135"/>
      <c r="L47" s="3136"/>
      <c r="M47" s="354"/>
      <c r="N47" s="310"/>
      <c r="O47" s="310"/>
      <c r="P47" s="310"/>
      <c r="Q47" s="310"/>
      <c r="R47" s="1122"/>
    </row>
    <row r="48" spans="2:18" ht="15" customHeight="1" x14ac:dyDescent="0.2">
      <c r="B48" s="1121"/>
      <c r="C48" s="3156"/>
      <c r="D48" s="198"/>
      <c r="E48" s="206" t="s">
        <v>290</v>
      </c>
      <c r="F48" s="3017" t="s">
        <v>468</v>
      </c>
      <c r="G48" s="3015"/>
      <c r="H48" s="3016"/>
      <c r="I48" s="8" t="s">
        <v>9342</v>
      </c>
      <c r="J48" s="1390"/>
      <c r="K48" s="3135"/>
      <c r="L48" s="3136"/>
      <c r="M48" s="354"/>
      <c r="N48" s="310"/>
      <c r="O48" s="310"/>
      <c r="P48" s="310"/>
      <c r="Q48" s="310"/>
      <c r="R48" s="1122"/>
    </row>
    <row r="49" spans="2:23" ht="17.25" customHeight="1" x14ac:dyDescent="0.2">
      <c r="B49" s="1121"/>
      <c r="C49" s="3156"/>
      <c r="D49" s="198"/>
      <c r="E49" s="206" t="s">
        <v>293</v>
      </c>
      <c r="F49" s="3017" t="s">
        <v>469</v>
      </c>
      <c r="G49" s="3015"/>
      <c r="H49" s="3016"/>
      <c r="I49" s="8" t="s">
        <v>8771</v>
      </c>
      <c r="J49" s="1390"/>
      <c r="K49" s="3135"/>
      <c r="L49" s="3136"/>
      <c r="M49" s="354"/>
      <c r="N49" s="310"/>
      <c r="O49" s="310"/>
      <c r="P49" s="310"/>
      <c r="Q49" s="310"/>
      <c r="R49" s="1122"/>
    </row>
    <row r="50" spans="2:23" ht="27" customHeight="1" x14ac:dyDescent="0.2">
      <c r="B50" s="1121"/>
      <c r="C50" s="3156"/>
      <c r="D50" s="198"/>
      <c r="E50" s="206" t="s">
        <v>296</v>
      </c>
      <c r="F50" s="2993" t="s">
        <v>470</v>
      </c>
      <c r="G50" s="2994"/>
      <c r="H50" s="2995"/>
      <c r="I50" s="8" t="s">
        <v>9343</v>
      </c>
      <c r="J50" s="1390"/>
      <c r="K50" s="3106"/>
      <c r="L50" s="3107"/>
      <c r="M50" s="354"/>
      <c r="N50" s="310"/>
      <c r="O50" s="310"/>
      <c r="Q50" s="310"/>
      <c r="R50" s="1122"/>
    </row>
    <row r="51" spans="2:23" ht="15" customHeight="1" x14ac:dyDescent="0.2">
      <c r="B51" s="1121"/>
      <c r="C51" s="3156"/>
      <c r="D51" s="200"/>
      <c r="E51" s="258" t="s">
        <v>299</v>
      </c>
      <c r="F51" s="3126" t="s">
        <v>9344</v>
      </c>
      <c r="G51" s="3127"/>
      <c r="H51" s="3128"/>
      <c r="I51" s="10"/>
      <c r="J51" s="14"/>
      <c r="K51" s="229" t="s">
        <v>9345</v>
      </c>
      <c r="L51" s="1395">
        <f>SUM(J47:J50)</f>
        <v>0</v>
      </c>
      <c r="M51" s="354"/>
      <c r="N51" s="310"/>
      <c r="O51" s="310"/>
      <c r="P51" s="310"/>
      <c r="Q51" s="310"/>
      <c r="R51" s="1122"/>
      <c r="W51" s="666">
        <f>SUM(L26:L31,PL.TotEmployeeComp,J44:J45,L51:L57,PL.CommissionExpdr,PLRY.Total,PLPC.Total,L70:L80,PL.AuditFee,PL.OtherExpenses)</f>
        <v>0</v>
      </c>
    </row>
    <row r="52" spans="2:23" ht="14.25" customHeight="1" x14ac:dyDescent="0.2">
      <c r="B52" s="1121"/>
      <c r="C52" s="3156"/>
      <c r="D52" s="257">
        <v>24</v>
      </c>
      <c r="E52" s="3097" t="s">
        <v>471</v>
      </c>
      <c r="F52" s="3098"/>
      <c r="G52" s="3098"/>
      <c r="H52" s="3098"/>
      <c r="I52" s="3098"/>
      <c r="J52" s="3098"/>
      <c r="K52" s="257">
        <v>24</v>
      </c>
      <c r="L52" s="801"/>
      <c r="M52" s="354"/>
      <c r="N52" s="310"/>
      <c r="O52" s="310"/>
      <c r="P52" s="310"/>
      <c r="Q52" s="310"/>
      <c r="R52" s="1122"/>
    </row>
    <row r="53" spans="2:23" ht="15" customHeight="1" x14ac:dyDescent="0.2">
      <c r="B53" s="1121"/>
      <c r="C53" s="3156"/>
      <c r="D53" s="8">
        <v>25</v>
      </c>
      <c r="E53" s="3097" t="s">
        <v>472</v>
      </c>
      <c r="F53" s="3098"/>
      <c r="G53" s="3098"/>
      <c r="H53" s="3098"/>
      <c r="I53" s="3098"/>
      <c r="J53" s="3098"/>
      <c r="K53" s="8">
        <v>25</v>
      </c>
      <c r="L53" s="801"/>
      <c r="M53" s="354"/>
      <c r="N53" s="310"/>
      <c r="O53" s="310"/>
      <c r="P53" s="310"/>
      <c r="Q53" s="310"/>
      <c r="R53" s="1122"/>
    </row>
    <row r="54" spans="2:23" ht="15.75" customHeight="1" x14ac:dyDescent="0.2">
      <c r="B54" s="1121"/>
      <c r="C54" s="3156"/>
      <c r="D54" s="8">
        <v>26</v>
      </c>
      <c r="E54" s="3097" t="s">
        <v>473</v>
      </c>
      <c r="F54" s="3098"/>
      <c r="G54" s="3098"/>
      <c r="H54" s="3098"/>
      <c r="I54" s="3098"/>
      <c r="J54" s="3098"/>
      <c r="K54" s="8">
        <v>26</v>
      </c>
      <c r="L54" s="801"/>
      <c r="M54" s="354"/>
      <c r="N54" s="310"/>
      <c r="O54" s="310"/>
      <c r="P54" s="310"/>
      <c r="Q54" s="310"/>
      <c r="R54" s="1122"/>
    </row>
    <row r="55" spans="2:23" ht="15" customHeight="1" x14ac:dyDescent="0.2">
      <c r="B55" s="1121"/>
      <c r="C55" s="3156"/>
      <c r="D55" s="8">
        <v>27</v>
      </c>
      <c r="E55" s="3097" t="s">
        <v>474</v>
      </c>
      <c r="F55" s="3098"/>
      <c r="G55" s="3098"/>
      <c r="H55" s="3098"/>
      <c r="I55" s="3098"/>
      <c r="J55" s="3098"/>
      <c r="K55" s="8">
        <v>27</v>
      </c>
      <c r="L55" s="801"/>
      <c r="M55" s="354"/>
      <c r="N55" s="310"/>
      <c r="O55" s="310"/>
      <c r="P55" s="310"/>
      <c r="Q55" s="310"/>
      <c r="R55" s="1122"/>
    </row>
    <row r="56" spans="2:23" ht="15" customHeight="1" x14ac:dyDescent="0.2">
      <c r="B56" s="1121"/>
      <c r="C56" s="3156"/>
      <c r="D56" s="8">
        <v>28</v>
      </c>
      <c r="E56" s="3017" t="s">
        <v>475</v>
      </c>
      <c r="F56" s="3015"/>
      <c r="G56" s="3015"/>
      <c r="H56" s="3015"/>
      <c r="I56" s="3015"/>
      <c r="J56" s="3016"/>
      <c r="K56" s="8">
        <v>28</v>
      </c>
      <c r="L56" s="801"/>
      <c r="M56" s="354"/>
      <c r="N56" s="310"/>
      <c r="O56" s="310"/>
      <c r="P56" s="310"/>
      <c r="Q56" s="310"/>
      <c r="R56" s="1122"/>
    </row>
    <row r="57" spans="2:23" ht="14.25" customHeight="1" x14ac:dyDescent="0.2">
      <c r="B57" s="1121"/>
      <c r="C57" s="3156"/>
      <c r="D57" s="8">
        <v>29</v>
      </c>
      <c r="E57" s="3097" t="s">
        <v>476</v>
      </c>
      <c r="F57" s="3097"/>
      <c r="G57" s="3097"/>
      <c r="H57" s="3097"/>
      <c r="I57" s="3097"/>
      <c r="J57" s="3097"/>
      <c r="K57" s="8">
        <v>29</v>
      </c>
      <c r="L57" s="801"/>
      <c r="M57" s="354"/>
      <c r="N57" s="310"/>
      <c r="O57" s="310"/>
      <c r="P57" s="310"/>
      <c r="Q57" s="310"/>
      <c r="R57" s="1122"/>
    </row>
    <row r="58" spans="2:23" ht="14.25" customHeight="1" x14ac:dyDescent="0.2">
      <c r="B58" s="1121"/>
      <c r="C58" s="3156"/>
      <c r="D58" s="201">
        <v>30</v>
      </c>
      <c r="E58" s="3109" t="s">
        <v>426</v>
      </c>
      <c r="F58" s="3119"/>
      <c r="G58" s="3119"/>
      <c r="H58" s="3119"/>
      <c r="I58" s="3119"/>
      <c r="J58" s="3119"/>
      <c r="K58" s="3119"/>
      <c r="L58" s="3120"/>
      <c r="M58" s="354"/>
      <c r="N58" s="310"/>
      <c r="O58" s="310"/>
      <c r="P58" s="310"/>
      <c r="Q58" s="310"/>
      <c r="R58" s="1122"/>
    </row>
    <row r="59" spans="2:23" ht="39" customHeight="1" x14ac:dyDescent="0.2">
      <c r="B59" s="1121"/>
      <c r="C59" s="3156"/>
      <c r="D59" s="195"/>
      <c r="E59" s="206" t="s">
        <v>287</v>
      </c>
      <c r="F59" s="2993" t="s">
        <v>477</v>
      </c>
      <c r="G59" s="3015"/>
      <c r="H59" s="3016"/>
      <c r="I59" s="8" t="s">
        <v>287</v>
      </c>
      <c r="J59" s="801"/>
      <c r="K59" s="3080"/>
      <c r="L59" s="3105"/>
      <c r="M59" s="354"/>
      <c r="N59" s="310"/>
      <c r="O59" s="310"/>
      <c r="P59" s="310"/>
      <c r="Q59" s="310"/>
      <c r="R59" s="1122"/>
    </row>
    <row r="60" spans="2:23" ht="15.75" customHeight="1" x14ac:dyDescent="0.2">
      <c r="B60" s="1121"/>
      <c r="C60" s="3156"/>
      <c r="D60" s="198"/>
      <c r="E60" s="206" t="s">
        <v>290</v>
      </c>
      <c r="F60" s="3017" t="s">
        <v>478</v>
      </c>
      <c r="G60" s="3015"/>
      <c r="H60" s="3016"/>
      <c r="I60" s="8" t="s">
        <v>290</v>
      </c>
      <c r="J60" s="801"/>
      <c r="K60" s="3106"/>
      <c r="L60" s="3107"/>
      <c r="M60" s="354"/>
      <c r="N60" s="310"/>
      <c r="O60" s="310"/>
      <c r="P60" s="310"/>
      <c r="Q60" s="310"/>
      <c r="R60" s="1122"/>
    </row>
    <row r="61" spans="2:23" ht="16.5" customHeight="1" x14ac:dyDescent="0.2">
      <c r="B61" s="1121"/>
      <c r="C61" s="3156"/>
      <c r="D61" s="200"/>
      <c r="E61" s="258" t="s">
        <v>293</v>
      </c>
      <c r="F61" s="3126" t="s">
        <v>479</v>
      </c>
      <c r="G61" s="3127"/>
      <c r="H61" s="3127"/>
      <c r="I61" s="3127"/>
      <c r="J61" s="3128"/>
      <c r="K61" s="27" t="s">
        <v>9346</v>
      </c>
      <c r="L61" s="1391">
        <f>SUM(J59:J60)</f>
        <v>0</v>
      </c>
      <c r="M61" s="354"/>
      <c r="N61" s="310"/>
      <c r="O61" s="310"/>
      <c r="P61" s="310"/>
      <c r="Q61" s="310"/>
      <c r="R61" s="1122"/>
    </row>
    <row r="62" spans="2:23" ht="13.5" customHeight="1" x14ac:dyDescent="0.2">
      <c r="B62" s="1121"/>
      <c r="C62" s="3156"/>
      <c r="D62" s="110">
        <v>31</v>
      </c>
      <c r="E62" s="3108" t="s">
        <v>481</v>
      </c>
      <c r="F62" s="3108"/>
      <c r="G62" s="3108"/>
      <c r="H62" s="3108"/>
      <c r="I62" s="3108"/>
      <c r="J62" s="3109"/>
      <c r="K62" s="49"/>
      <c r="L62" s="211"/>
      <c r="M62" s="354"/>
      <c r="N62" s="310"/>
      <c r="O62" s="310"/>
      <c r="P62" s="310"/>
      <c r="Q62" s="310"/>
      <c r="R62" s="1122"/>
    </row>
    <row r="63" spans="2:23" ht="39" customHeight="1" x14ac:dyDescent="0.2">
      <c r="B63" s="1121"/>
      <c r="C63" s="3156"/>
      <c r="D63" s="195"/>
      <c r="E63" s="206" t="s">
        <v>287</v>
      </c>
      <c r="F63" s="2993" t="s">
        <v>477</v>
      </c>
      <c r="G63" s="3015"/>
      <c r="H63" s="3016"/>
      <c r="I63" s="8" t="s">
        <v>287</v>
      </c>
      <c r="J63" s="801"/>
      <c r="K63" s="3080"/>
      <c r="L63" s="3105"/>
      <c r="M63" s="354"/>
      <c r="N63" s="310"/>
      <c r="O63" s="310"/>
      <c r="P63" s="310"/>
      <c r="Q63" s="310"/>
      <c r="R63" s="1122"/>
    </row>
    <row r="64" spans="2:23" ht="12.75" customHeight="1" x14ac:dyDescent="0.2">
      <c r="B64" s="1121"/>
      <c r="C64" s="3156"/>
      <c r="D64" s="198"/>
      <c r="E64" s="206" t="s">
        <v>290</v>
      </c>
      <c r="F64" s="3017" t="s">
        <v>478</v>
      </c>
      <c r="G64" s="3015"/>
      <c r="H64" s="3016"/>
      <c r="I64" s="8" t="s">
        <v>290</v>
      </c>
      <c r="J64" s="7"/>
      <c r="K64" s="3106"/>
      <c r="L64" s="3107"/>
      <c r="M64" s="354"/>
      <c r="N64" s="310"/>
      <c r="O64" s="310"/>
      <c r="P64" s="310"/>
      <c r="Q64" s="310"/>
      <c r="R64" s="1122"/>
    </row>
    <row r="65" spans="2:18" ht="12.75" customHeight="1" x14ac:dyDescent="0.2">
      <c r="B65" s="1121"/>
      <c r="C65" s="3156"/>
      <c r="D65" s="200"/>
      <c r="E65" s="258" t="s">
        <v>293</v>
      </c>
      <c r="F65" s="3126" t="s">
        <v>479</v>
      </c>
      <c r="G65" s="3127"/>
      <c r="H65" s="3127"/>
      <c r="I65" s="3127"/>
      <c r="J65" s="3128"/>
      <c r="K65" s="1398" t="s">
        <v>9347</v>
      </c>
      <c r="L65" s="1396">
        <f>SUM(J63:J64)</f>
        <v>0</v>
      </c>
      <c r="M65" s="354"/>
      <c r="N65" s="310"/>
      <c r="O65" s="310"/>
      <c r="P65" s="310"/>
      <c r="Q65" s="310"/>
      <c r="R65" s="1122"/>
    </row>
    <row r="66" spans="2:18" ht="15.75" customHeight="1" x14ac:dyDescent="0.2">
      <c r="B66" s="1121"/>
      <c r="C66" s="3156"/>
      <c r="D66" s="110">
        <v>32</v>
      </c>
      <c r="E66" s="3108" t="s">
        <v>482</v>
      </c>
      <c r="F66" s="3108"/>
      <c r="G66" s="3108"/>
      <c r="H66" s="3108"/>
      <c r="I66" s="3108"/>
      <c r="J66" s="3109"/>
      <c r="K66" s="49"/>
      <c r="L66" s="211"/>
      <c r="M66" s="354"/>
      <c r="N66" s="310"/>
      <c r="O66" s="310"/>
      <c r="P66" s="310"/>
      <c r="Q66" s="310"/>
      <c r="R66" s="1122"/>
    </row>
    <row r="67" spans="2:18" ht="41.25" customHeight="1" x14ac:dyDescent="0.2">
      <c r="B67" s="1121"/>
      <c r="C67" s="3156"/>
      <c r="D67" s="195"/>
      <c r="E67" s="206" t="s">
        <v>287</v>
      </c>
      <c r="F67" s="2993" t="s">
        <v>477</v>
      </c>
      <c r="G67" s="3015"/>
      <c r="H67" s="3016"/>
      <c r="I67" s="8" t="s">
        <v>287</v>
      </c>
      <c r="J67" s="801"/>
      <c r="K67" s="3080"/>
      <c r="L67" s="3136"/>
      <c r="M67" s="354"/>
      <c r="N67" s="310"/>
      <c r="O67" s="310"/>
      <c r="P67" s="310"/>
      <c r="Q67" s="310"/>
      <c r="R67" s="1122"/>
    </row>
    <row r="68" spans="2:18" ht="15" customHeight="1" x14ac:dyDescent="0.2">
      <c r="B68" s="1121"/>
      <c r="C68" s="3156"/>
      <c r="D68" s="198"/>
      <c r="E68" s="206" t="s">
        <v>290</v>
      </c>
      <c r="F68" s="3017" t="s">
        <v>478</v>
      </c>
      <c r="G68" s="3015"/>
      <c r="H68" s="3016"/>
      <c r="I68" s="8" t="s">
        <v>290</v>
      </c>
      <c r="J68" s="801"/>
      <c r="K68" s="3106"/>
      <c r="L68" s="3107"/>
      <c r="M68" s="354"/>
      <c r="N68" s="310"/>
      <c r="O68" s="310"/>
      <c r="P68" s="310"/>
      <c r="Q68" s="310"/>
      <c r="R68" s="1122"/>
    </row>
    <row r="69" spans="2:18" ht="12.75" customHeight="1" x14ac:dyDescent="0.2">
      <c r="B69" s="1121"/>
      <c r="C69" s="3156"/>
      <c r="D69" s="200"/>
      <c r="E69" s="258" t="s">
        <v>293</v>
      </c>
      <c r="F69" s="3126" t="s">
        <v>479</v>
      </c>
      <c r="G69" s="3127"/>
      <c r="H69" s="3127"/>
      <c r="I69" s="3127"/>
      <c r="J69" s="3128"/>
      <c r="K69" s="10" t="s">
        <v>9348</v>
      </c>
      <c r="L69" s="1391">
        <f>SUM(J67:J68)</f>
        <v>0</v>
      </c>
      <c r="M69" s="354"/>
      <c r="N69" s="310"/>
      <c r="O69" s="310"/>
      <c r="P69" s="310"/>
      <c r="Q69" s="310"/>
      <c r="R69" s="1122"/>
    </row>
    <row r="70" spans="2:18" ht="16.5" customHeight="1" x14ac:dyDescent="0.2">
      <c r="B70" s="1121"/>
      <c r="C70" s="3156"/>
      <c r="D70" s="231">
        <v>33</v>
      </c>
      <c r="E70" s="3095" t="s">
        <v>483</v>
      </c>
      <c r="F70" s="3096"/>
      <c r="G70" s="3096"/>
      <c r="H70" s="3096"/>
      <c r="I70" s="3096"/>
      <c r="J70" s="3096"/>
      <c r="K70" s="231">
        <v>33</v>
      </c>
      <c r="L70" s="801"/>
      <c r="M70" s="354"/>
      <c r="N70" s="310"/>
      <c r="O70" s="310"/>
      <c r="P70" s="310"/>
      <c r="Q70" s="310"/>
      <c r="R70" s="1122"/>
    </row>
    <row r="71" spans="2:18" ht="17.25" customHeight="1" x14ac:dyDescent="0.2">
      <c r="B71" s="1121"/>
      <c r="C71" s="3156"/>
      <c r="D71" s="6">
        <v>34</v>
      </c>
      <c r="E71" s="3095" t="s">
        <v>484</v>
      </c>
      <c r="F71" s="3096"/>
      <c r="G71" s="3096"/>
      <c r="H71" s="3096"/>
      <c r="I71" s="3096"/>
      <c r="J71" s="3096"/>
      <c r="K71" s="6">
        <v>34</v>
      </c>
      <c r="L71" s="801"/>
      <c r="M71" s="354"/>
      <c r="N71" s="310"/>
      <c r="O71" s="310"/>
      <c r="P71" s="310"/>
      <c r="Q71" s="310"/>
      <c r="R71" s="1122"/>
    </row>
    <row r="72" spans="2:18" ht="14.25" customHeight="1" x14ac:dyDescent="0.2">
      <c r="B72" s="1121"/>
      <c r="C72" s="3156"/>
      <c r="D72" s="6">
        <v>35</v>
      </c>
      <c r="E72" s="3095" t="s">
        <v>485</v>
      </c>
      <c r="F72" s="3096"/>
      <c r="G72" s="3096"/>
      <c r="H72" s="3096"/>
      <c r="I72" s="3096"/>
      <c r="J72" s="3096"/>
      <c r="K72" s="6">
        <v>35</v>
      </c>
      <c r="L72" s="801"/>
      <c r="M72" s="354"/>
      <c r="N72" s="310"/>
      <c r="O72" s="310"/>
      <c r="P72" s="310"/>
      <c r="Q72" s="310"/>
      <c r="R72" s="1122"/>
    </row>
    <row r="73" spans="2:18" ht="12.75" customHeight="1" x14ac:dyDescent="0.2">
      <c r="B73" s="1121"/>
      <c r="C73" s="3156"/>
      <c r="D73" s="6">
        <v>36</v>
      </c>
      <c r="E73" s="3095" t="s">
        <v>486</v>
      </c>
      <c r="F73" s="3096"/>
      <c r="G73" s="3096"/>
      <c r="H73" s="3096"/>
      <c r="I73" s="3096"/>
      <c r="J73" s="3096"/>
      <c r="K73" s="6">
        <v>36</v>
      </c>
      <c r="L73" s="801"/>
      <c r="M73" s="354"/>
      <c r="N73" s="310"/>
      <c r="O73" s="310"/>
      <c r="P73" s="310"/>
      <c r="Q73" s="310"/>
      <c r="R73" s="1122"/>
    </row>
    <row r="74" spans="2:18" ht="15.75" customHeight="1" x14ac:dyDescent="0.2">
      <c r="B74" s="1121"/>
      <c r="C74" s="3156"/>
      <c r="D74" s="6">
        <v>37</v>
      </c>
      <c r="E74" s="3095" t="s">
        <v>487</v>
      </c>
      <c r="F74" s="3096"/>
      <c r="G74" s="3096"/>
      <c r="H74" s="3096"/>
      <c r="I74" s="3096"/>
      <c r="J74" s="3096"/>
      <c r="K74" s="6">
        <v>37</v>
      </c>
      <c r="L74" s="801"/>
      <c r="M74" s="354"/>
      <c r="N74" s="310"/>
      <c r="O74" s="310"/>
      <c r="P74" s="310"/>
      <c r="Q74" s="310"/>
      <c r="R74" s="1122"/>
    </row>
    <row r="75" spans="2:18" ht="12.75" customHeight="1" x14ac:dyDescent="0.2">
      <c r="B75" s="1121"/>
      <c r="C75" s="3156"/>
      <c r="D75" s="6">
        <v>38</v>
      </c>
      <c r="E75" s="3095" t="s">
        <v>488</v>
      </c>
      <c r="F75" s="3096"/>
      <c r="G75" s="3096"/>
      <c r="H75" s="3096"/>
      <c r="I75" s="3096"/>
      <c r="J75" s="3096"/>
      <c r="K75" s="6">
        <v>38</v>
      </c>
      <c r="L75" s="801"/>
      <c r="M75" s="354"/>
      <c r="N75" s="310"/>
      <c r="O75" s="310"/>
      <c r="P75" s="310"/>
      <c r="Q75" s="310"/>
      <c r="R75" s="1122"/>
    </row>
    <row r="76" spans="2:18" ht="12.75" customHeight="1" x14ac:dyDescent="0.2">
      <c r="B76" s="1121"/>
      <c r="C76" s="3156"/>
      <c r="D76" s="6">
        <v>39</v>
      </c>
      <c r="E76" s="3095" t="s">
        <v>489</v>
      </c>
      <c r="F76" s="3096"/>
      <c r="G76" s="3096"/>
      <c r="H76" s="3096"/>
      <c r="I76" s="3096"/>
      <c r="J76" s="3096"/>
      <c r="K76" s="6">
        <v>39</v>
      </c>
      <c r="L76" s="801"/>
      <c r="M76" s="354"/>
      <c r="N76" s="310"/>
      <c r="O76" s="310"/>
      <c r="P76" s="310"/>
      <c r="Q76" s="310"/>
      <c r="R76" s="1122"/>
    </row>
    <row r="77" spans="2:18" ht="12.75" customHeight="1" x14ac:dyDescent="0.2">
      <c r="B77" s="1121"/>
      <c r="C77" s="3156"/>
      <c r="D77" s="6">
        <v>40</v>
      </c>
      <c r="E77" s="3095" t="s">
        <v>490</v>
      </c>
      <c r="F77" s="3096"/>
      <c r="G77" s="3096"/>
      <c r="H77" s="3096"/>
      <c r="I77" s="3096"/>
      <c r="J77" s="3096"/>
      <c r="K77" s="6">
        <v>40</v>
      </c>
      <c r="L77" s="801"/>
      <c r="M77" s="354"/>
      <c r="N77" s="310"/>
      <c r="O77" s="310"/>
      <c r="P77" s="310"/>
      <c r="Q77" s="310"/>
      <c r="R77" s="1122"/>
    </row>
    <row r="78" spans="2:18" ht="12" customHeight="1" x14ac:dyDescent="0.2">
      <c r="B78" s="1121"/>
      <c r="C78" s="3156"/>
      <c r="D78" s="6">
        <v>41</v>
      </c>
      <c r="E78" s="3095" t="s">
        <v>491</v>
      </c>
      <c r="F78" s="3096"/>
      <c r="G78" s="3096"/>
      <c r="H78" s="3096"/>
      <c r="I78" s="3096"/>
      <c r="J78" s="3096"/>
      <c r="K78" s="6">
        <v>41</v>
      </c>
      <c r="L78" s="801"/>
      <c r="M78" s="354"/>
      <c r="N78" s="310"/>
      <c r="O78" s="310"/>
      <c r="P78" s="310"/>
      <c r="Q78" s="310"/>
      <c r="R78" s="1122"/>
    </row>
    <row r="79" spans="2:18" ht="13.5" customHeight="1" x14ac:dyDescent="0.2">
      <c r="B79" s="1121"/>
      <c r="C79" s="3156"/>
      <c r="D79" s="6">
        <v>42</v>
      </c>
      <c r="E79" s="3095" t="s">
        <v>492</v>
      </c>
      <c r="F79" s="3096"/>
      <c r="G79" s="3096"/>
      <c r="H79" s="3096"/>
      <c r="I79" s="3096"/>
      <c r="J79" s="3096"/>
      <c r="K79" s="6">
        <v>42</v>
      </c>
      <c r="L79" s="801"/>
      <c r="M79" s="354"/>
      <c r="N79" s="310"/>
      <c r="O79" s="310"/>
      <c r="P79" s="310"/>
      <c r="Q79" s="310"/>
      <c r="R79" s="1122"/>
    </row>
    <row r="80" spans="2:18" ht="14.25" customHeight="1" x14ac:dyDescent="0.2">
      <c r="B80" s="1121"/>
      <c r="C80" s="3156"/>
      <c r="D80" s="6">
        <v>43</v>
      </c>
      <c r="E80" s="3095" t="s">
        <v>493</v>
      </c>
      <c r="F80" s="3096"/>
      <c r="G80" s="3096"/>
      <c r="H80" s="3096"/>
      <c r="I80" s="3096"/>
      <c r="J80" s="3096"/>
      <c r="K80" s="6">
        <v>43</v>
      </c>
      <c r="L80" s="801"/>
      <c r="M80" s="354"/>
      <c r="N80" s="310"/>
      <c r="O80" s="310"/>
      <c r="P80" s="310"/>
      <c r="Q80" s="310"/>
      <c r="R80" s="1122"/>
    </row>
    <row r="81" spans="2:18" ht="12.75" x14ac:dyDescent="0.2">
      <c r="B81" s="1121"/>
      <c r="C81" s="3156"/>
      <c r="D81" s="201">
        <v>44</v>
      </c>
      <c r="E81" s="2993" t="s">
        <v>494</v>
      </c>
      <c r="F81" s="2994"/>
      <c r="G81" s="2994"/>
      <c r="H81" s="2994"/>
      <c r="I81" s="2994"/>
      <c r="J81" s="2995"/>
      <c r="K81" s="3131"/>
      <c r="L81" s="3131"/>
      <c r="M81" s="354"/>
      <c r="N81" s="310"/>
      <c r="O81" s="310"/>
      <c r="P81" s="310"/>
      <c r="Q81" s="310"/>
      <c r="R81" s="1122"/>
    </row>
    <row r="82" spans="2:18" ht="12.75" customHeight="1" x14ac:dyDescent="0.2">
      <c r="B82" s="1121"/>
      <c r="C82" s="3156"/>
      <c r="D82" s="195"/>
      <c r="E82" s="206" t="s">
        <v>287</v>
      </c>
      <c r="F82" s="3017" t="s">
        <v>445</v>
      </c>
      <c r="G82" s="3015"/>
      <c r="H82" s="3016"/>
      <c r="I82" s="8" t="s">
        <v>9351</v>
      </c>
      <c r="J82" s="801"/>
      <c r="K82" s="3131"/>
      <c r="L82" s="3131"/>
      <c r="M82" s="354"/>
      <c r="N82" s="310"/>
      <c r="O82" s="310"/>
      <c r="P82" s="310"/>
      <c r="Q82" s="310"/>
      <c r="R82" s="1122"/>
    </row>
    <row r="83" spans="2:18" ht="14.25" customHeight="1" x14ac:dyDescent="0.2">
      <c r="B83" s="1121"/>
      <c r="C83" s="3156"/>
      <c r="D83" s="198"/>
      <c r="E83" s="206" t="s">
        <v>290</v>
      </c>
      <c r="F83" s="3095" t="s">
        <v>421</v>
      </c>
      <c r="G83" s="3096"/>
      <c r="H83" s="3096"/>
      <c r="I83" s="8" t="s">
        <v>9352</v>
      </c>
      <c r="J83" s="801"/>
      <c r="K83" s="3131"/>
      <c r="L83" s="3131"/>
      <c r="M83" s="354"/>
      <c r="N83" s="310"/>
      <c r="O83" s="310"/>
      <c r="P83" s="310"/>
      <c r="Q83" s="310"/>
      <c r="R83" s="1122"/>
    </row>
    <row r="84" spans="2:18" ht="14.25" customHeight="1" x14ac:dyDescent="0.2">
      <c r="B84" s="1121"/>
      <c r="C84" s="3156"/>
      <c r="D84" s="198"/>
      <c r="E84" s="206" t="s">
        <v>293</v>
      </c>
      <c r="F84" s="3097" t="s">
        <v>422</v>
      </c>
      <c r="G84" s="3098"/>
      <c r="H84" s="3098"/>
      <c r="I84" s="8" t="s">
        <v>9353</v>
      </c>
      <c r="J84" s="801"/>
      <c r="K84" s="3131"/>
      <c r="L84" s="3131"/>
      <c r="M84" s="354"/>
      <c r="N84" s="310"/>
      <c r="O84" s="310"/>
      <c r="P84" s="310"/>
      <c r="Q84" s="310"/>
      <c r="R84" s="1122"/>
    </row>
    <row r="85" spans="2:18" ht="12.75" customHeight="1" x14ac:dyDescent="0.2">
      <c r="B85" s="1121"/>
      <c r="C85" s="3156"/>
      <c r="D85" s="198"/>
      <c r="E85" s="206" t="s">
        <v>296</v>
      </c>
      <c r="F85" s="3097" t="s">
        <v>498</v>
      </c>
      <c r="G85" s="3098"/>
      <c r="H85" s="3098"/>
      <c r="I85" s="8" t="s">
        <v>9354</v>
      </c>
      <c r="J85" s="801"/>
      <c r="K85" s="3131"/>
      <c r="L85" s="3131"/>
      <c r="M85" s="354"/>
      <c r="N85" s="310"/>
      <c r="O85" s="310"/>
      <c r="P85" s="310"/>
      <c r="Q85" s="310"/>
      <c r="R85" s="1122"/>
    </row>
    <row r="86" spans="2:18" ht="12.75" customHeight="1" x14ac:dyDescent="0.2">
      <c r="B86" s="1121"/>
      <c r="C86" s="3156"/>
      <c r="D86" s="198"/>
      <c r="E86" s="206" t="s">
        <v>299</v>
      </c>
      <c r="F86" s="3017" t="s">
        <v>8248</v>
      </c>
      <c r="G86" s="3015"/>
      <c r="H86" s="3016"/>
      <c r="I86" s="206" t="s">
        <v>9355</v>
      </c>
      <c r="J86" s="801"/>
      <c r="K86" s="3131"/>
      <c r="L86" s="3131"/>
      <c r="M86" s="354"/>
      <c r="N86" s="310"/>
      <c r="O86" s="310"/>
      <c r="P86" s="310"/>
      <c r="Q86" s="310"/>
      <c r="R86" s="1122"/>
    </row>
    <row r="87" spans="2:18" ht="12.75" customHeight="1" x14ac:dyDescent="0.2">
      <c r="B87" s="1121"/>
      <c r="C87" s="3156"/>
      <c r="D87" s="198"/>
      <c r="E87" s="206" t="s">
        <v>430</v>
      </c>
      <c r="F87" s="3017" t="s">
        <v>8249</v>
      </c>
      <c r="G87" s="3015"/>
      <c r="H87" s="3016"/>
      <c r="I87" s="206" t="s">
        <v>9356</v>
      </c>
      <c r="J87" s="801"/>
      <c r="K87" s="3131"/>
      <c r="L87" s="3131"/>
      <c r="M87" s="354"/>
      <c r="N87" s="310"/>
      <c r="O87" s="310"/>
      <c r="P87" s="310"/>
      <c r="Q87" s="310"/>
      <c r="R87" s="1122"/>
    </row>
    <row r="88" spans="2:18" ht="12.75" customHeight="1" x14ac:dyDescent="0.2">
      <c r="B88" s="1121"/>
      <c r="C88" s="3156"/>
      <c r="D88" s="198"/>
      <c r="E88" s="206" t="s">
        <v>432</v>
      </c>
      <c r="F88" s="3017" t="s">
        <v>8250</v>
      </c>
      <c r="G88" s="3015"/>
      <c r="H88" s="3016"/>
      <c r="I88" s="206" t="s">
        <v>9357</v>
      </c>
      <c r="J88" s="801"/>
      <c r="K88" s="3131"/>
      <c r="L88" s="3131"/>
      <c r="M88" s="354"/>
      <c r="N88" s="310"/>
      <c r="O88" s="310"/>
      <c r="P88" s="310"/>
      <c r="Q88" s="310"/>
      <c r="R88" s="1122"/>
    </row>
    <row r="89" spans="2:18" ht="12.75" customHeight="1" x14ac:dyDescent="0.2">
      <c r="B89" s="1121"/>
      <c r="C89" s="3156"/>
      <c r="D89" s="198"/>
      <c r="E89" s="206" t="s">
        <v>434</v>
      </c>
      <c r="F89" s="3017" t="s">
        <v>8251</v>
      </c>
      <c r="G89" s="3015"/>
      <c r="H89" s="3016"/>
      <c r="I89" s="206" t="s">
        <v>9358</v>
      </c>
      <c r="J89" s="801"/>
      <c r="K89" s="3131"/>
      <c r="L89" s="3131"/>
      <c r="M89" s="354"/>
      <c r="N89" s="310"/>
      <c r="O89" s="310"/>
      <c r="P89" s="310"/>
      <c r="Q89" s="310"/>
      <c r="R89" s="1122"/>
    </row>
    <row r="90" spans="2:18" ht="24.75" customHeight="1" x14ac:dyDescent="0.2">
      <c r="B90" s="1121"/>
      <c r="C90" s="3156"/>
      <c r="D90" s="198"/>
      <c r="E90" s="206" t="s">
        <v>435</v>
      </c>
      <c r="F90" s="2993" t="s">
        <v>500</v>
      </c>
      <c r="G90" s="3138"/>
      <c r="H90" s="3139"/>
      <c r="I90" s="206" t="s">
        <v>9359</v>
      </c>
      <c r="J90" s="801"/>
      <c r="K90" s="3131"/>
      <c r="L90" s="3131"/>
      <c r="M90" s="354"/>
      <c r="N90" s="310"/>
      <c r="O90" s="310"/>
      <c r="P90" s="310"/>
      <c r="Q90" s="310"/>
      <c r="R90" s="1122"/>
    </row>
    <row r="91" spans="2:18" ht="12.75" x14ac:dyDescent="0.2">
      <c r="B91" s="1121"/>
      <c r="C91" s="3156"/>
      <c r="D91" s="200"/>
      <c r="E91" s="209" t="s">
        <v>437</v>
      </c>
      <c r="F91" s="3159" t="s">
        <v>9349</v>
      </c>
      <c r="G91" s="3160"/>
      <c r="H91" s="3160"/>
      <c r="I91" s="3160"/>
      <c r="J91" s="3161"/>
      <c r="K91" s="10" t="s">
        <v>9350</v>
      </c>
      <c r="L91" s="1391">
        <f>SUM(J82:J90)</f>
        <v>0</v>
      </c>
      <c r="M91" s="354"/>
      <c r="N91" s="310"/>
      <c r="O91" s="310"/>
      <c r="P91" s="310"/>
      <c r="Q91" s="310"/>
      <c r="R91" s="1122"/>
    </row>
    <row r="92" spans="2:18" ht="13.5" customHeight="1" x14ac:dyDescent="0.2">
      <c r="B92" s="1121"/>
      <c r="C92" s="1083"/>
      <c r="D92" s="231">
        <v>45</v>
      </c>
      <c r="E92" s="3097" t="s">
        <v>503</v>
      </c>
      <c r="F92" s="3098"/>
      <c r="G92" s="3098"/>
      <c r="H92" s="3098"/>
      <c r="I92" s="3098"/>
      <c r="J92" s="3098"/>
      <c r="K92" s="6">
        <v>45</v>
      </c>
      <c r="L92" s="801"/>
      <c r="M92" s="354"/>
      <c r="N92" s="310"/>
      <c r="O92" s="310"/>
      <c r="P92" s="310"/>
      <c r="Q92" s="310"/>
      <c r="R92" s="1122"/>
    </row>
    <row r="93" spans="2:18" ht="14.25" customHeight="1" x14ac:dyDescent="0.2">
      <c r="B93" s="1121"/>
      <c r="C93" s="1083"/>
      <c r="D93" s="230">
        <v>46</v>
      </c>
      <c r="E93" s="3097" t="s">
        <v>504</v>
      </c>
      <c r="F93" s="3098"/>
      <c r="G93" s="3098"/>
      <c r="H93" s="3098"/>
      <c r="I93" s="3098"/>
      <c r="J93" s="3098"/>
      <c r="K93" s="6"/>
      <c r="L93" s="9"/>
      <c r="M93" s="354"/>
      <c r="N93" s="310"/>
      <c r="O93" s="310"/>
      <c r="P93" s="310"/>
      <c r="Q93" s="310"/>
      <c r="R93" s="1122"/>
    </row>
    <row r="94" spans="2:18" ht="12" customHeight="1" x14ac:dyDescent="0.2">
      <c r="B94" s="1121"/>
      <c r="C94" s="1083"/>
      <c r="D94" s="195"/>
      <c r="E94" s="1087"/>
      <c r="F94" s="1088"/>
      <c r="G94" s="1592" t="s">
        <v>8280</v>
      </c>
      <c r="H94" s="257" t="s">
        <v>414</v>
      </c>
      <c r="I94" s="734"/>
      <c r="J94" s="8" t="s">
        <v>415</v>
      </c>
      <c r="K94" s="184"/>
      <c r="L94" s="1399"/>
      <c r="M94" s="354"/>
      <c r="N94" s="310"/>
      <c r="O94" s="310"/>
      <c r="P94" s="310"/>
      <c r="Q94" s="310"/>
      <c r="R94" s="1122"/>
    </row>
    <row r="95" spans="2:18" ht="12.75" x14ac:dyDescent="0.2">
      <c r="B95" s="1121"/>
      <c r="C95" s="1083"/>
      <c r="D95" s="198"/>
      <c r="E95" s="213"/>
      <c r="F95" s="237"/>
      <c r="G95" s="204">
        <v>1</v>
      </c>
      <c r="H95" s="358" t="s">
        <v>23</v>
      </c>
      <c r="I95" s="996"/>
      <c r="J95" s="801"/>
      <c r="K95" s="409"/>
      <c r="L95" s="1037"/>
      <c r="M95" s="354"/>
      <c r="N95" s="310"/>
      <c r="O95" s="310"/>
      <c r="P95" s="310"/>
      <c r="Q95" s="310"/>
      <c r="R95" s="1122"/>
    </row>
    <row r="96" spans="2:18" ht="12.75" x14ac:dyDescent="0.2">
      <c r="B96" s="1121"/>
      <c r="C96" s="1083"/>
      <c r="D96" s="198"/>
      <c r="E96" s="213"/>
      <c r="F96" s="237"/>
      <c r="G96" s="204">
        <f>G95+1</f>
        <v>2</v>
      </c>
      <c r="H96" s="358" t="s">
        <v>23</v>
      </c>
      <c r="I96" s="996"/>
      <c r="J96" s="801"/>
      <c r="K96" s="409"/>
      <c r="L96" s="1037"/>
      <c r="M96" s="354"/>
      <c r="N96" s="310"/>
      <c r="O96" s="310"/>
      <c r="P96" s="310"/>
      <c r="Q96" s="310"/>
      <c r="R96" s="1122"/>
    </row>
    <row r="97" spans="2:18" ht="12.75" x14ac:dyDescent="0.2">
      <c r="B97" s="1121"/>
      <c r="C97" s="1083"/>
      <c r="D97" s="198"/>
      <c r="E97" s="213"/>
      <c r="F97" s="237"/>
      <c r="G97" s="204">
        <f>G96+1</f>
        <v>3</v>
      </c>
      <c r="H97" s="358" t="s">
        <v>23</v>
      </c>
      <c r="I97" s="996"/>
      <c r="J97" s="801"/>
      <c r="K97" s="409"/>
      <c r="L97" s="1037"/>
      <c r="M97" s="354"/>
      <c r="N97" s="310"/>
      <c r="O97" s="310"/>
      <c r="P97" s="310"/>
      <c r="Q97" s="310"/>
      <c r="R97" s="1122"/>
    </row>
    <row r="98" spans="2:18" ht="12.75" x14ac:dyDescent="0.2">
      <c r="B98" s="1121"/>
      <c r="C98" s="1083"/>
      <c r="D98" s="198"/>
      <c r="E98" s="213"/>
      <c r="F98" s="237"/>
      <c r="G98" s="204">
        <f>G97+1</f>
        <v>4</v>
      </c>
      <c r="H98" s="358" t="s">
        <v>23</v>
      </c>
      <c r="I98" s="996"/>
      <c r="J98" s="801"/>
      <c r="K98" s="704"/>
      <c r="L98" s="704"/>
      <c r="M98" s="717"/>
      <c r="N98" s="310"/>
      <c r="O98" s="310"/>
      <c r="P98" s="310"/>
      <c r="Q98" s="310"/>
      <c r="R98" s="1122"/>
    </row>
    <row r="99" spans="2:18" ht="12.75" customHeight="1" x14ac:dyDescent="0.2">
      <c r="B99" s="1121"/>
      <c r="C99" s="1083"/>
      <c r="D99" s="198"/>
      <c r="E99" s="213"/>
      <c r="F99" s="237"/>
      <c r="G99" s="1085"/>
      <c r="H99" s="1086" t="s">
        <v>8851</v>
      </c>
      <c r="I99" s="30"/>
      <c r="J99" s="1086"/>
      <c r="K99" s="10">
        <v>46</v>
      </c>
      <c r="L99" s="729">
        <f>SUM(Nature_Amt3)</f>
        <v>0</v>
      </c>
      <c r="M99" s="354"/>
      <c r="N99" s="310"/>
      <c r="O99" s="310"/>
      <c r="P99" s="310"/>
      <c r="Q99" s="310"/>
      <c r="R99" s="1122"/>
    </row>
    <row r="100" spans="2:18" ht="37.5" customHeight="1" x14ac:dyDescent="0.2">
      <c r="B100" s="1121"/>
      <c r="C100" s="1084"/>
      <c r="D100" s="226"/>
      <c r="E100" s="226"/>
      <c r="F100" s="238"/>
      <c r="G100" s="3146"/>
      <c r="H100" s="3146"/>
      <c r="I100" s="3146"/>
      <c r="J100" s="3147"/>
      <c r="K100" s="242"/>
      <c r="L100" s="243"/>
      <c r="M100" s="354"/>
      <c r="N100" s="310"/>
      <c r="O100" s="310"/>
      <c r="P100" s="310"/>
      <c r="Q100" s="310"/>
      <c r="R100" s="1122"/>
    </row>
    <row r="101" spans="2:18" ht="26.25" customHeight="1" x14ac:dyDescent="0.2">
      <c r="B101" s="1121"/>
      <c r="C101" s="240"/>
      <c r="D101" s="241">
        <v>47</v>
      </c>
      <c r="E101" s="3143" t="s">
        <v>12998</v>
      </c>
      <c r="F101" s="3144"/>
      <c r="G101" s="3144"/>
      <c r="H101" s="3144"/>
      <c r="I101" s="3145"/>
      <c r="J101" s="3144"/>
      <c r="K101" s="246"/>
      <c r="L101" s="247"/>
      <c r="M101" s="354"/>
      <c r="N101" s="310"/>
      <c r="O101" s="310"/>
      <c r="P101" s="310"/>
      <c r="Q101" s="310"/>
      <c r="R101" s="1122"/>
    </row>
    <row r="102" spans="2:18" ht="15" customHeight="1" x14ac:dyDescent="0.2">
      <c r="B102" s="1121"/>
      <c r="C102" s="244"/>
      <c r="D102" s="224" t="s">
        <v>287</v>
      </c>
      <c r="E102" s="245"/>
      <c r="F102" s="3113" t="s">
        <v>8280</v>
      </c>
      <c r="G102" s="3114"/>
      <c r="H102" s="225" t="s">
        <v>7</v>
      </c>
      <c r="I102" s="201" t="s">
        <v>11938</v>
      </c>
      <c r="J102" s="205" t="s">
        <v>415</v>
      </c>
      <c r="K102" s="246"/>
      <c r="L102" s="247"/>
      <c r="M102" s="354"/>
      <c r="N102" s="310"/>
      <c r="O102" s="310"/>
      <c r="P102" s="310"/>
      <c r="Q102" s="310"/>
      <c r="R102" s="1122"/>
    </row>
    <row r="103" spans="2:18" ht="12.75" customHeight="1" x14ac:dyDescent="0.2">
      <c r="B103" s="1121"/>
      <c r="C103" s="244"/>
      <c r="D103" s="213"/>
      <c r="E103" s="248"/>
      <c r="F103" s="3137">
        <v>1</v>
      </c>
      <c r="G103" s="3116"/>
      <c r="H103" s="1341" t="s">
        <v>23</v>
      </c>
      <c r="I103" s="1957"/>
      <c r="J103" s="1400"/>
      <c r="K103" s="249"/>
      <c r="L103" s="250"/>
      <c r="M103" s="354"/>
      <c r="N103" s="310"/>
      <c r="O103" s="310"/>
      <c r="P103" s="310"/>
      <c r="Q103" s="310"/>
      <c r="R103" s="1122"/>
    </row>
    <row r="104" spans="2:18" ht="12.75" customHeight="1" x14ac:dyDescent="0.2">
      <c r="B104" s="1121"/>
      <c r="C104" s="244"/>
      <c r="D104" s="213"/>
      <c r="E104" s="248"/>
      <c r="F104" s="3115">
        <f t="shared" ref="F104:F109" si="0">F103+1</f>
        <v>2</v>
      </c>
      <c r="G104" s="3116"/>
      <c r="H104" s="1341" t="s">
        <v>23</v>
      </c>
      <c r="I104" s="1957"/>
      <c r="J104" s="1400"/>
      <c r="K104" s="249"/>
      <c r="L104" s="250"/>
      <c r="M104" s="354"/>
      <c r="N104" s="310"/>
      <c r="O104" s="310"/>
      <c r="P104" s="310"/>
      <c r="Q104" s="310"/>
      <c r="R104" s="1122"/>
    </row>
    <row r="105" spans="2:18" ht="12" customHeight="1" x14ac:dyDescent="0.2">
      <c r="B105" s="1121"/>
      <c r="C105" s="244"/>
      <c r="D105" s="213"/>
      <c r="E105" s="248"/>
      <c r="F105" s="3115">
        <f t="shared" si="0"/>
        <v>3</v>
      </c>
      <c r="G105" s="3116"/>
      <c r="H105" s="1341" t="s">
        <v>23</v>
      </c>
      <c r="I105" s="1957"/>
      <c r="J105" s="1400"/>
      <c r="K105" s="249"/>
      <c r="L105" s="250"/>
      <c r="M105" s="354"/>
      <c r="N105" s="310"/>
      <c r="O105" s="310"/>
      <c r="P105" s="310"/>
      <c r="Q105" s="310"/>
      <c r="R105" s="1122"/>
    </row>
    <row r="106" spans="2:18" ht="12.75" customHeight="1" x14ac:dyDescent="0.2">
      <c r="B106" s="1121"/>
      <c r="C106" s="244"/>
      <c r="D106" s="213"/>
      <c r="E106" s="248"/>
      <c r="F106" s="3115">
        <f t="shared" si="0"/>
        <v>4</v>
      </c>
      <c r="G106" s="3116"/>
      <c r="H106" s="1341" t="s">
        <v>23</v>
      </c>
      <c r="I106" s="1957"/>
      <c r="J106" s="1400"/>
      <c r="K106" s="249"/>
      <c r="L106" s="250"/>
      <c r="M106" s="354"/>
      <c r="N106" s="310"/>
      <c r="O106" s="310"/>
      <c r="P106" s="310"/>
      <c r="Q106" s="310"/>
      <c r="R106" s="1122"/>
    </row>
    <row r="107" spans="2:18" ht="12.75" customHeight="1" x14ac:dyDescent="0.2">
      <c r="B107" s="1121"/>
      <c r="C107" s="244"/>
      <c r="D107" s="213"/>
      <c r="E107" s="248"/>
      <c r="F107" s="3115">
        <f t="shared" si="0"/>
        <v>5</v>
      </c>
      <c r="G107" s="3116"/>
      <c r="H107" s="1341" t="s">
        <v>23</v>
      </c>
      <c r="I107" s="1957"/>
      <c r="J107" s="1400"/>
      <c r="K107" s="249"/>
      <c r="L107" s="250"/>
      <c r="M107" s="354"/>
      <c r="N107" s="310"/>
      <c r="O107" s="310"/>
      <c r="P107" s="310"/>
      <c r="Q107" s="310"/>
      <c r="R107" s="1122"/>
    </row>
    <row r="108" spans="2:18" ht="12.75" customHeight="1" x14ac:dyDescent="0.2">
      <c r="B108" s="1121"/>
      <c r="C108" s="244"/>
      <c r="D108" s="213"/>
      <c r="E108" s="248"/>
      <c r="F108" s="3115">
        <f t="shared" si="0"/>
        <v>6</v>
      </c>
      <c r="G108" s="3116"/>
      <c r="H108" s="1341" t="s">
        <v>23</v>
      </c>
      <c r="I108" s="1957"/>
      <c r="J108" s="1400"/>
      <c r="K108" s="249"/>
      <c r="L108" s="250"/>
      <c r="M108" s="354"/>
      <c r="N108" s="310"/>
      <c r="O108" s="310"/>
      <c r="P108" s="310"/>
      <c r="Q108" s="310"/>
      <c r="R108" s="1122"/>
    </row>
    <row r="109" spans="2:18" ht="12" customHeight="1" x14ac:dyDescent="0.2">
      <c r="B109" s="1121"/>
      <c r="C109" s="244"/>
      <c r="D109" s="213"/>
      <c r="E109" s="248"/>
      <c r="F109" s="3115">
        <f t="shared" si="0"/>
        <v>7</v>
      </c>
      <c r="G109" s="3116"/>
      <c r="H109" s="1341" t="s">
        <v>23</v>
      </c>
      <c r="I109" s="1957"/>
      <c r="J109" s="1400"/>
      <c r="K109" s="249"/>
      <c r="L109" s="250"/>
      <c r="M109" s="354"/>
      <c r="N109" s="310"/>
      <c r="O109" s="310"/>
      <c r="P109" s="310"/>
      <c r="Q109" s="310"/>
      <c r="R109" s="1122"/>
    </row>
    <row r="110" spans="2:18" ht="12" customHeight="1" x14ac:dyDescent="0.2">
      <c r="B110" s="1121"/>
      <c r="C110" s="244"/>
      <c r="D110" s="213"/>
      <c r="E110" s="248"/>
      <c r="F110" s="3140" t="s">
        <v>12734</v>
      </c>
      <c r="G110" s="3141"/>
      <c r="H110" s="3141"/>
      <c r="I110" s="3141"/>
      <c r="J110" s="3142"/>
      <c r="K110" s="10" t="s">
        <v>12735</v>
      </c>
      <c r="L110" s="729">
        <f>SUM(PLBD.Amount)</f>
        <v>0</v>
      </c>
      <c r="M110" s="354"/>
      <c r="N110" s="310"/>
      <c r="O110" s="310"/>
      <c r="P110" s="310"/>
      <c r="Q110" s="310"/>
      <c r="R110" s="1122"/>
    </row>
    <row r="111" spans="2:18" ht="28.5" customHeight="1" x14ac:dyDescent="0.2">
      <c r="B111" s="1121"/>
      <c r="C111" s="244"/>
      <c r="D111" s="213"/>
      <c r="E111" s="248"/>
      <c r="F111" s="3148"/>
      <c r="G111" s="3149"/>
      <c r="H111" s="3149"/>
      <c r="I111" s="3149"/>
      <c r="J111" s="3150"/>
      <c r="K111" s="249"/>
      <c r="L111" s="250"/>
      <c r="M111" s="354"/>
      <c r="N111" s="310"/>
      <c r="O111" s="310"/>
      <c r="P111" s="310"/>
      <c r="Q111" s="310"/>
      <c r="R111" s="1122"/>
    </row>
    <row r="112" spans="2:18" ht="25.5" customHeight="1" x14ac:dyDescent="0.2">
      <c r="B112" s="1121"/>
      <c r="C112" s="244"/>
      <c r="D112" s="177" t="s">
        <v>290</v>
      </c>
      <c r="E112" s="2999" t="s">
        <v>13008</v>
      </c>
      <c r="F112" s="2999"/>
      <c r="G112" s="2999"/>
      <c r="H112" s="2999"/>
      <c r="I112" s="2999"/>
      <c r="J112" s="2999"/>
      <c r="K112" s="2999"/>
      <c r="L112" s="2999"/>
      <c r="M112" s="310"/>
      <c r="N112" s="310"/>
      <c r="O112" s="310"/>
      <c r="P112" s="310"/>
      <c r="Q112" s="310"/>
      <c r="R112" s="1122"/>
    </row>
    <row r="113" spans="2:23" ht="38.25" x14ac:dyDescent="0.2">
      <c r="B113" s="1121"/>
      <c r="C113" s="244"/>
      <c r="D113" s="454"/>
      <c r="E113" s="456" t="s">
        <v>8280</v>
      </c>
      <c r="F113" s="3099" t="s">
        <v>2058</v>
      </c>
      <c r="G113" s="3099"/>
      <c r="H113" s="1200" t="s">
        <v>7719</v>
      </c>
      <c r="I113" s="1200" t="s">
        <v>7720</v>
      </c>
      <c r="J113" s="1200" t="s">
        <v>7721</v>
      </c>
      <c r="K113" s="1200" t="s">
        <v>7722</v>
      </c>
      <c r="L113" s="1200" t="s">
        <v>7723</v>
      </c>
      <c r="M113" s="1200" t="s">
        <v>7724</v>
      </c>
      <c r="N113" s="1200" t="s">
        <v>7725</v>
      </c>
      <c r="O113" s="1200" t="s">
        <v>748</v>
      </c>
      <c r="P113" s="1200" t="s">
        <v>8853</v>
      </c>
      <c r="Q113" s="28" t="s">
        <v>415</v>
      </c>
      <c r="R113" s="1136"/>
    </row>
    <row r="114" spans="2:23" ht="12.75" x14ac:dyDescent="0.2">
      <c r="B114" s="1121"/>
      <c r="C114" s="244"/>
      <c r="D114" s="454"/>
      <c r="E114" s="206">
        <v>1</v>
      </c>
      <c r="F114" s="3093"/>
      <c r="G114" s="3094"/>
      <c r="H114" s="358"/>
      <c r="I114" s="358"/>
      <c r="J114" s="358"/>
      <c r="K114" s="358"/>
      <c r="L114" s="358"/>
      <c r="M114" s="358" t="s">
        <v>12</v>
      </c>
      <c r="N114" s="358" t="s">
        <v>12</v>
      </c>
      <c r="O114" s="2271"/>
      <c r="P114" s="2270"/>
      <c r="Q114" s="801"/>
      <c r="R114" s="1136"/>
      <c r="T114" s="113">
        <f>SUM(PL_Amount)</f>
        <v>0</v>
      </c>
    </row>
    <row r="115" spans="2:23" ht="12.75" x14ac:dyDescent="0.2">
      <c r="B115" s="1121"/>
      <c r="C115" s="244"/>
      <c r="D115" s="454"/>
      <c r="E115" s="206">
        <f>E114+1</f>
        <v>2</v>
      </c>
      <c r="F115" s="3093"/>
      <c r="G115" s="3094"/>
      <c r="H115" s="358"/>
      <c r="I115" s="358"/>
      <c r="J115" s="358"/>
      <c r="K115" s="358"/>
      <c r="L115" s="358"/>
      <c r="M115" s="358" t="s">
        <v>12</v>
      </c>
      <c r="N115" s="358" t="s">
        <v>12</v>
      </c>
      <c r="O115" s="1555"/>
      <c r="P115" s="1616"/>
      <c r="Q115" s="801"/>
      <c r="R115" s="1136"/>
    </row>
    <row r="116" spans="2:23" ht="12.75" x14ac:dyDescent="0.2">
      <c r="B116" s="1121"/>
      <c r="C116" s="244"/>
      <c r="D116" s="454"/>
      <c r="E116" s="206">
        <f>E115+1</f>
        <v>3</v>
      </c>
      <c r="F116" s="3093"/>
      <c r="G116" s="3094"/>
      <c r="H116" s="358"/>
      <c r="I116" s="358"/>
      <c r="J116" s="358"/>
      <c r="K116" s="358"/>
      <c r="L116" s="358"/>
      <c r="M116" s="358" t="s">
        <v>12</v>
      </c>
      <c r="N116" s="358" t="s">
        <v>12</v>
      </c>
      <c r="O116" s="1555"/>
      <c r="P116" s="1616"/>
      <c r="Q116" s="801"/>
      <c r="R116" s="1136"/>
    </row>
    <row r="117" spans="2:23" ht="12.75" x14ac:dyDescent="0.2">
      <c r="B117" s="1121"/>
      <c r="C117" s="244"/>
      <c r="D117" s="454"/>
      <c r="E117" s="206">
        <f>E116+1</f>
        <v>4</v>
      </c>
      <c r="F117" s="3093"/>
      <c r="G117" s="3094"/>
      <c r="H117" s="358"/>
      <c r="I117" s="358"/>
      <c r="J117" s="358"/>
      <c r="K117" s="358"/>
      <c r="L117" s="358"/>
      <c r="M117" s="358" t="s">
        <v>12</v>
      </c>
      <c r="N117" s="358" t="s">
        <v>12</v>
      </c>
      <c r="O117" s="1555"/>
      <c r="P117" s="1616"/>
      <c r="Q117" s="801"/>
      <c r="R117" s="1136"/>
    </row>
    <row r="118" spans="2:23" ht="30" customHeight="1" x14ac:dyDescent="0.2">
      <c r="B118" s="1121"/>
      <c r="C118" s="244"/>
      <c r="D118" s="141"/>
      <c r="E118" s="2987"/>
      <c r="F118" s="2988"/>
      <c r="G118" s="2988"/>
      <c r="H118" s="2988"/>
      <c r="I118" s="2988"/>
      <c r="J118" s="2988"/>
      <c r="K118" s="2988"/>
      <c r="L118" s="2988"/>
      <c r="M118" s="2988"/>
      <c r="N118" s="2988"/>
      <c r="O118" s="2988"/>
      <c r="P118" s="2988"/>
      <c r="Q118" s="2989"/>
      <c r="R118" s="1136"/>
      <c r="S118" s="354"/>
      <c r="T118" s="354"/>
      <c r="U118" s="354"/>
      <c r="V118" s="354"/>
      <c r="W118" s="354"/>
    </row>
    <row r="119" spans="2:23" ht="12.75" x14ac:dyDescent="0.2">
      <c r="B119" s="1121"/>
      <c r="C119" s="244"/>
      <c r="D119" s="454"/>
      <c r="E119" s="3140" t="s">
        <v>12734</v>
      </c>
      <c r="F119" s="3141"/>
      <c r="G119" s="3141"/>
      <c r="H119" s="3141"/>
      <c r="I119" s="3141"/>
      <c r="J119" s="3141"/>
      <c r="K119" s="3141"/>
      <c r="L119" s="3141"/>
      <c r="M119" s="3141"/>
      <c r="N119" s="3141"/>
      <c r="O119" s="3142"/>
      <c r="P119" s="10" t="s">
        <v>12736</v>
      </c>
      <c r="Q119" s="729">
        <f>SUM(PL_Amount)</f>
        <v>0</v>
      </c>
      <c r="R119" s="1136"/>
      <c r="S119" s="354"/>
      <c r="T119" s="354"/>
      <c r="U119" s="354"/>
      <c r="V119" s="354"/>
      <c r="W119" s="354"/>
    </row>
    <row r="120" spans="2:23" ht="16.5" customHeight="1" x14ac:dyDescent="0.2">
      <c r="B120" s="1121"/>
      <c r="C120" s="244"/>
      <c r="D120" s="198"/>
      <c r="E120" s="193" t="s">
        <v>293</v>
      </c>
      <c r="F120" s="3162" t="s">
        <v>505</v>
      </c>
      <c r="G120" s="3163"/>
      <c r="H120" s="3164"/>
      <c r="I120" s="251" t="s">
        <v>293</v>
      </c>
      <c r="J120" s="1389"/>
      <c r="K120" s="252"/>
      <c r="L120" s="1600"/>
      <c r="M120" s="1993"/>
      <c r="N120" s="1628"/>
      <c r="O120" s="1628"/>
      <c r="P120" s="1628"/>
      <c r="Q120" s="1628"/>
      <c r="R120" s="1143"/>
    </row>
    <row r="121" spans="2:23" ht="12" customHeight="1" x14ac:dyDescent="0.2">
      <c r="B121" s="1121"/>
      <c r="C121" s="244"/>
      <c r="D121" s="200"/>
      <c r="E121" s="176" t="s">
        <v>296</v>
      </c>
      <c r="F121" s="3126" t="s">
        <v>9379</v>
      </c>
      <c r="G121" s="3127"/>
      <c r="H121" s="3127"/>
      <c r="I121" s="3127"/>
      <c r="J121" s="3127"/>
      <c r="K121" s="253" t="s">
        <v>9380</v>
      </c>
      <c r="L121" s="1601">
        <f>MAX(SUM(SUM(PLBD.Amount),SUM(PL_Amount),PL.OthersAmtLt1Lakh),0)</f>
        <v>0</v>
      </c>
      <c r="M121" s="1607"/>
      <c r="N121" s="782"/>
      <c r="O121" s="782"/>
      <c r="P121" s="782"/>
      <c r="Q121" s="782"/>
      <c r="R121" s="1143"/>
    </row>
    <row r="122" spans="2:23" ht="13.5" customHeight="1" x14ac:dyDescent="0.2">
      <c r="B122" s="1121"/>
      <c r="C122" s="240"/>
      <c r="D122" s="231">
        <v>48</v>
      </c>
      <c r="E122" s="3095" t="s">
        <v>506</v>
      </c>
      <c r="F122" s="3096"/>
      <c r="G122" s="3096"/>
      <c r="H122" s="3096"/>
      <c r="I122" s="3096"/>
      <c r="J122" s="3096"/>
      <c r="K122" s="8">
        <v>48</v>
      </c>
      <c r="L122" s="220"/>
      <c r="M122" s="1629"/>
      <c r="N122" s="1630"/>
      <c r="O122" s="1630"/>
      <c r="P122" s="1630"/>
      <c r="Q122" s="1630"/>
      <c r="R122" s="1143"/>
    </row>
    <row r="123" spans="2:23" ht="15.75" customHeight="1" x14ac:dyDescent="0.2">
      <c r="B123" s="1121"/>
      <c r="C123" s="240"/>
      <c r="D123" s="6">
        <v>49</v>
      </c>
      <c r="E123" s="3095" t="s">
        <v>507</v>
      </c>
      <c r="F123" s="3096"/>
      <c r="G123" s="3096"/>
      <c r="H123" s="3096"/>
      <c r="I123" s="3096"/>
      <c r="J123" s="3096"/>
      <c r="K123" s="8">
        <v>49</v>
      </c>
      <c r="L123" s="220"/>
      <c r="M123" s="1629"/>
      <c r="N123" s="1630"/>
      <c r="O123" s="1630"/>
      <c r="P123" s="1630"/>
      <c r="Q123" s="1630"/>
      <c r="R123" s="1143"/>
    </row>
    <row r="124" spans="2:23" ht="33" customHeight="1" x14ac:dyDescent="0.2">
      <c r="B124" s="1121"/>
      <c r="C124" s="240"/>
      <c r="D124" s="162">
        <v>50</v>
      </c>
      <c r="E124" s="3117" t="s">
        <v>9381</v>
      </c>
      <c r="F124" s="3118"/>
      <c r="G124" s="3118"/>
      <c r="H124" s="3118"/>
      <c r="I124" s="3118"/>
      <c r="J124" s="3118"/>
      <c r="K124" s="254">
        <v>50</v>
      </c>
      <c r="L124" s="19">
        <f>(PL_TotalOfCreditsToProfit-SUM(L26:L31,PL.TotEmployeeComp,PL.TotInsurances,L52:L57,PL.CommissionExpdr,PLRY.Total,PLPC.Total,L70:L80,PLRateEx.TotExciseCustomsVAT,PL.AuditFee,PL.OtherExpenses,PL.BadDebt,PL.ProvForBadDoubtDebt,PL.OthProvisionsExpdr))</f>
        <v>0</v>
      </c>
      <c r="M124" s="1608"/>
      <c r="N124" s="1602"/>
      <c r="O124" s="1602"/>
      <c r="P124" s="1602"/>
      <c r="Q124" s="1602"/>
      <c r="R124" s="1143"/>
    </row>
    <row r="125" spans="2:23" ht="16.5" customHeight="1" x14ac:dyDescent="0.2">
      <c r="B125" s="1121"/>
      <c r="C125" s="240"/>
      <c r="D125" s="230">
        <v>51</v>
      </c>
      <c r="E125" s="3191" t="s">
        <v>508</v>
      </c>
      <c r="F125" s="3192"/>
      <c r="G125" s="3192"/>
      <c r="H125" s="3192"/>
      <c r="I125" s="3192"/>
      <c r="J125" s="3192"/>
      <c r="K125" s="3192"/>
      <c r="L125" s="3192"/>
      <c r="M125" s="1631"/>
      <c r="N125" s="1583"/>
      <c r="O125" s="1583"/>
      <c r="P125" s="1583"/>
      <c r="Q125" s="1583"/>
      <c r="R125" s="1143"/>
    </row>
    <row r="126" spans="2:23" ht="25.5" customHeight="1" x14ac:dyDescent="0.2">
      <c r="B126" s="1121"/>
      <c r="C126" s="244"/>
      <c r="D126" s="195"/>
      <c r="E126" s="157" t="s">
        <v>287</v>
      </c>
      <c r="F126" s="3110" t="s">
        <v>477</v>
      </c>
      <c r="G126" s="3111"/>
      <c r="H126" s="3112"/>
      <c r="I126" s="6" t="s">
        <v>287</v>
      </c>
      <c r="J126" s="220"/>
      <c r="K126" s="3080"/>
      <c r="L126" s="3081"/>
      <c r="M126" s="568"/>
      <c r="N126" s="1632"/>
      <c r="O126" s="1632"/>
      <c r="P126" s="1632"/>
      <c r="Q126" s="1632"/>
      <c r="R126" s="1143"/>
    </row>
    <row r="127" spans="2:23" ht="12.75" customHeight="1" x14ac:dyDescent="0.2">
      <c r="B127" s="1121"/>
      <c r="C127" s="244"/>
      <c r="D127" s="198"/>
      <c r="E127" s="157" t="s">
        <v>290</v>
      </c>
      <c r="F127" s="3017" t="s">
        <v>478</v>
      </c>
      <c r="G127" s="3015"/>
      <c r="H127" s="3016"/>
      <c r="I127" s="6" t="s">
        <v>290</v>
      </c>
      <c r="J127" s="220"/>
      <c r="K127" s="3106"/>
      <c r="L127" s="3193"/>
      <c r="M127" s="568"/>
      <c r="N127" s="1632"/>
      <c r="O127" s="1632"/>
      <c r="P127" s="1632"/>
      <c r="Q127" s="1632"/>
      <c r="R127" s="1143"/>
    </row>
    <row r="128" spans="2:23" ht="13.5" customHeight="1" x14ac:dyDescent="0.2">
      <c r="B128" s="1121"/>
      <c r="C128" s="244"/>
      <c r="D128" s="200"/>
      <c r="E128" s="209" t="s">
        <v>293</v>
      </c>
      <c r="F128" s="3126" t="s">
        <v>479</v>
      </c>
      <c r="G128" s="3127"/>
      <c r="H128" s="3127"/>
      <c r="I128" s="3127"/>
      <c r="J128" s="3128"/>
      <c r="K128" s="10" t="s">
        <v>9382</v>
      </c>
      <c r="L128" s="1599">
        <f>SUM(J126,J127)</f>
        <v>0</v>
      </c>
      <c r="M128" s="1607"/>
      <c r="N128" s="782"/>
      <c r="O128" s="782"/>
      <c r="P128" s="782"/>
      <c r="Q128" s="782"/>
      <c r="R128" s="1143"/>
    </row>
    <row r="129" spans="2:18" ht="13.5" customHeight="1" x14ac:dyDescent="0.2">
      <c r="B129" s="1121"/>
      <c r="C129" s="240"/>
      <c r="D129" s="231">
        <v>52</v>
      </c>
      <c r="E129" s="3097" t="s">
        <v>509</v>
      </c>
      <c r="F129" s="3098"/>
      <c r="G129" s="3098"/>
      <c r="H129" s="3098"/>
      <c r="I129" s="3098"/>
      <c r="J129" s="3098"/>
      <c r="K129" s="231">
        <v>52</v>
      </c>
      <c r="L129" s="220"/>
      <c r="M129" s="1629"/>
      <c r="N129" s="1630"/>
      <c r="O129" s="1630"/>
      <c r="P129" s="1630"/>
      <c r="Q129" s="1630"/>
      <c r="R129" s="1143"/>
    </row>
    <row r="130" spans="2:18" ht="13.5" customHeight="1" x14ac:dyDescent="0.2">
      <c r="B130" s="1121"/>
      <c r="C130" s="255"/>
      <c r="D130" s="10">
        <v>53</v>
      </c>
      <c r="E130" s="3172" t="s">
        <v>9383</v>
      </c>
      <c r="F130" s="3173"/>
      <c r="G130" s="3173"/>
      <c r="H130" s="3173"/>
      <c r="I130" s="3173"/>
      <c r="J130" s="3173"/>
      <c r="K130" s="10">
        <v>53</v>
      </c>
      <c r="L130" s="1599">
        <f>(PL.PBIDTA-PL.InterestExpdr-PL.DepreciationAmort)</f>
        <v>0</v>
      </c>
      <c r="M130" s="1607"/>
      <c r="N130" s="782"/>
      <c r="O130" s="782"/>
      <c r="P130" s="782"/>
      <c r="Q130" s="782"/>
      <c r="R130" s="1143"/>
    </row>
    <row r="131" spans="2:18" ht="15.75" customHeight="1" x14ac:dyDescent="0.2">
      <c r="B131" s="1121"/>
      <c r="C131" s="3185" t="s">
        <v>510</v>
      </c>
      <c r="D131" s="6">
        <v>54</v>
      </c>
      <c r="E131" s="3097" t="s">
        <v>511</v>
      </c>
      <c r="F131" s="3098"/>
      <c r="G131" s="3098"/>
      <c r="H131" s="3098"/>
      <c r="I131" s="3098"/>
      <c r="J131" s="3098"/>
      <c r="K131" s="6">
        <v>54</v>
      </c>
      <c r="L131" s="220"/>
      <c r="M131" s="1629"/>
      <c r="N131" s="1630"/>
      <c r="O131" s="1630"/>
      <c r="P131" s="1630"/>
      <c r="Q131" s="1630"/>
      <c r="R131" s="1143"/>
    </row>
    <row r="132" spans="2:18" ht="15" customHeight="1" x14ac:dyDescent="0.2">
      <c r="B132" s="1121"/>
      <c r="C132" s="3074"/>
      <c r="D132" s="6">
        <v>55</v>
      </c>
      <c r="E132" s="3097" t="s">
        <v>9737</v>
      </c>
      <c r="F132" s="3098"/>
      <c r="G132" s="3098"/>
      <c r="H132" s="3098"/>
      <c r="I132" s="3098"/>
      <c r="J132" s="3098"/>
      <c r="K132" s="6">
        <v>55</v>
      </c>
      <c r="L132" s="220"/>
      <c r="M132" s="1629"/>
      <c r="N132" s="1630"/>
      <c r="O132" s="1630"/>
      <c r="P132" s="1630"/>
      <c r="Q132" s="1630"/>
      <c r="R132" s="1143"/>
    </row>
    <row r="133" spans="2:18" ht="15.75" customHeight="1" x14ac:dyDescent="0.2">
      <c r="B133" s="1121"/>
      <c r="C133" s="3074"/>
      <c r="D133" s="10">
        <v>56</v>
      </c>
      <c r="E133" s="3172" t="s">
        <v>9384</v>
      </c>
      <c r="F133" s="3173"/>
      <c r="G133" s="3173"/>
      <c r="H133" s="3173"/>
      <c r="I133" s="3173"/>
      <c r="J133" s="3173"/>
      <c r="K133" s="10">
        <v>56</v>
      </c>
      <c r="L133" s="1599">
        <f>(PL.PBT-PL.ProvForCurrTax-PL.ProvDefTax)</f>
        <v>0</v>
      </c>
      <c r="M133" s="1607"/>
      <c r="N133" s="782"/>
      <c r="O133" s="782"/>
      <c r="P133" s="782"/>
      <c r="Q133" s="782"/>
      <c r="R133" s="1143"/>
    </row>
    <row r="134" spans="2:18" ht="14.25" customHeight="1" x14ac:dyDescent="0.2">
      <c r="B134" s="1121"/>
      <c r="C134" s="3074"/>
      <c r="D134" s="6">
        <v>57</v>
      </c>
      <c r="E134" s="3097" t="s">
        <v>512</v>
      </c>
      <c r="F134" s="3098"/>
      <c r="G134" s="3098"/>
      <c r="H134" s="3098"/>
      <c r="I134" s="3098"/>
      <c r="J134" s="3098"/>
      <c r="K134" s="6">
        <v>57</v>
      </c>
      <c r="L134" s="220"/>
      <c r="M134" s="1629"/>
      <c r="N134" s="1630"/>
      <c r="O134" s="1630"/>
      <c r="P134" s="1630"/>
      <c r="Q134" s="1630"/>
      <c r="R134" s="1143"/>
    </row>
    <row r="135" spans="2:18" ht="17.25" customHeight="1" x14ac:dyDescent="0.2">
      <c r="B135" s="1121"/>
      <c r="C135" s="3074"/>
      <c r="D135" s="10">
        <v>58</v>
      </c>
      <c r="E135" s="3172" t="s">
        <v>9385</v>
      </c>
      <c r="F135" s="3173"/>
      <c r="G135" s="3173"/>
      <c r="H135" s="3173"/>
      <c r="I135" s="3173"/>
      <c r="J135" s="3173"/>
      <c r="K135" s="10">
        <v>58</v>
      </c>
      <c r="L135" s="1599">
        <f>SUM(L133,L134)</f>
        <v>0</v>
      </c>
      <c r="M135" s="1607"/>
      <c r="N135" s="782"/>
      <c r="O135" s="782"/>
      <c r="P135" s="782"/>
      <c r="Q135" s="782"/>
      <c r="R135" s="1143"/>
    </row>
    <row r="136" spans="2:18" ht="14.25" customHeight="1" x14ac:dyDescent="0.2">
      <c r="B136" s="1121"/>
      <c r="C136" s="3074"/>
      <c r="D136" s="6">
        <v>59</v>
      </c>
      <c r="E136" s="3097" t="s">
        <v>513</v>
      </c>
      <c r="F136" s="3098"/>
      <c r="G136" s="3098"/>
      <c r="H136" s="3098"/>
      <c r="I136" s="3098"/>
      <c r="J136" s="3098"/>
      <c r="K136" s="6">
        <v>59</v>
      </c>
      <c r="L136" s="220"/>
      <c r="M136" s="1629"/>
      <c r="N136" s="1630"/>
      <c r="O136" s="1630"/>
      <c r="P136" s="1630"/>
      <c r="Q136" s="1630"/>
      <c r="R136" s="1143"/>
    </row>
    <row r="137" spans="2:18" ht="16.5" customHeight="1" x14ac:dyDescent="0.2">
      <c r="B137" s="1121"/>
      <c r="C137" s="3074"/>
      <c r="D137" s="10">
        <v>60</v>
      </c>
      <c r="E137" s="3172" t="s">
        <v>9386</v>
      </c>
      <c r="F137" s="3173"/>
      <c r="G137" s="3173"/>
      <c r="H137" s="3173"/>
      <c r="I137" s="3173"/>
      <c r="J137" s="3173"/>
      <c r="K137" s="10">
        <v>60</v>
      </c>
      <c r="L137" s="1599">
        <f>(PL.AmtAvlAppr-PL.TrfToReserves)</f>
        <v>0</v>
      </c>
      <c r="M137" s="1607"/>
      <c r="N137" s="782"/>
      <c r="O137" s="782"/>
      <c r="P137" s="782"/>
      <c r="Q137" s="782"/>
      <c r="R137" s="1143"/>
    </row>
    <row r="138" spans="2:18" ht="16.5" customHeight="1" x14ac:dyDescent="0.2">
      <c r="B138" s="1121"/>
      <c r="C138" s="3186" t="s">
        <v>9396</v>
      </c>
      <c r="D138" s="6">
        <v>61</v>
      </c>
      <c r="E138" s="3171" t="s">
        <v>9390</v>
      </c>
      <c r="F138" s="3166"/>
      <c r="G138" s="3166"/>
      <c r="H138" s="3166"/>
      <c r="I138" s="3166"/>
      <c r="J138" s="3166"/>
      <c r="K138" s="3166"/>
      <c r="L138" s="3166"/>
      <c r="M138" s="1609"/>
      <c r="N138" s="1603"/>
      <c r="O138" s="1603"/>
      <c r="P138" s="1603"/>
      <c r="Q138" s="1603"/>
      <c r="R138" s="1143"/>
    </row>
    <row r="139" spans="2:18" ht="16.5" customHeight="1" x14ac:dyDescent="0.2">
      <c r="B139" s="1121"/>
      <c r="C139" s="3187"/>
      <c r="D139" s="1294" t="s">
        <v>8280</v>
      </c>
      <c r="E139" s="3175" t="s">
        <v>9389</v>
      </c>
      <c r="F139" s="3198"/>
      <c r="G139" s="3199"/>
      <c r="H139" s="3195" t="s">
        <v>280</v>
      </c>
      <c r="I139" s="3196"/>
      <c r="J139" s="3197"/>
      <c r="K139" s="3174" t="s">
        <v>8409</v>
      </c>
      <c r="L139" s="3175"/>
      <c r="M139" s="1610"/>
      <c r="N139" s="1604"/>
      <c r="O139" s="1604"/>
      <c r="P139" s="1604"/>
      <c r="Q139" s="1604"/>
      <c r="R139" s="1143"/>
    </row>
    <row r="140" spans="2:18" ht="24.75" customHeight="1" x14ac:dyDescent="0.2">
      <c r="B140" s="1121"/>
      <c r="C140" s="3187"/>
      <c r="D140" s="1295">
        <v>1</v>
      </c>
      <c r="E140" s="3176" t="s">
        <v>23</v>
      </c>
      <c r="F140" s="3177"/>
      <c r="G140" s="3178"/>
      <c r="H140" s="3184" t="s">
        <v>23</v>
      </c>
      <c r="I140" s="3184"/>
      <c r="J140" s="3184"/>
      <c r="K140" s="3184" t="s">
        <v>23</v>
      </c>
      <c r="L140" s="3179"/>
      <c r="M140" s="1633"/>
      <c r="N140" s="1634"/>
      <c r="O140" s="1634"/>
      <c r="P140" s="1634"/>
      <c r="Q140" s="1634"/>
      <c r="R140" s="1143"/>
    </row>
    <row r="141" spans="2:18" ht="25.5" customHeight="1" x14ac:dyDescent="0.2">
      <c r="B141" s="1121"/>
      <c r="C141" s="3187"/>
      <c r="D141" s="1296">
        <f>D140+1</f>
        <v>2</v>
      </c>
      <c r="E141" s="3176" t="s">
        <v>23</v>
      </c>
      <c r="F141" s="3177"/>
      <c r="G141" s="3178"/>
      <c r="H141" s="3184" t="s">
        <v>23</v>
      </c>
      <c r="I141" s="3184"/>
      <c r="J141" s="3184"/>
      <c r="K141" s="3184" t="s">
        <v>23</v>
      </c>
      <c r="L141" s="3179"/>
      <c r="M141" s="1633"/>
      <c r="N141" s="1634"/>
      <c r="O141" s="1634"/>
      <c r="P141" s="1634"/>
      <c r="Q141" s="1634"/>
      <c r="R141" s="1143"/>
    </row>
    <row r="142" spans="2:18" ht="27" customHeight="1" x14ac:dyDescent="0.2">
      <c r="B142" s="1121"/>
      <c r="C142" s="3187"/>
      <c r="D142" s="1296">
        <f>D141+1</f>
        <v>3</v>
      </c>
      <c r="E142" s="3179" t="s">
        <v>23</v>
      </c>
      <c r="F142" s="3180"/>
      <c r="G142" s="3181"/>
      <c r="H142" s="3184" t="s">
        <v>23</v>
      </c>
      <c r="I142" s="3184"/>
      <c r="J142" s="3184"/>
      <c r="K142" s="3184" t="s">
        <v>23</v>
      </c>
      <c r="L142" s="3179"/>
      <c r="M142" s="1633"/>
      <c r="N142" s="1634"/>
      <c r="O142" s="1634"/>
      <c r="P142" s="1634"/>
      <c r="Q142" s="1634"/>
      <c r="R142" s="1143"/>
    </row>
    <row r="143" spans="2:18" ht="16.5" customHeight="1" x14ac:dyDescent="0.2">
      <c r="B143" s="1121"/>
      <c r="C143" s="3187"/>
      <c r="D143" s="3188" t="s">
        <v>287</v>
      </c>
      <c r="E143" s="3168" t="s">
        <v>9393</v>
      </c>
      <c r="F143" s="3169"/>
      <c r="G143" s="3169"/>
      <c r="H143" s="3169"/>
      <c r="I143" s="3169"/>
      <c r="J143" s="3170"/>
      <c r="K143" s="3182">
        <f>SUM(PL_61a,PL_61b)</f>
        <v>0</v>
      </c>
      <c r="L143" s="3183"/>
      <c r="M143" s="1607"/>
      <c r="N143" s="782"/>
      <c r="O143" s="782"/>
      <c r="P143" s="782"/>
      <c r="Q143" s="782"/>
      <c r="R143" s="1143"/>
    </row>
    <row r="144" spans="2:18" ht="27.75" customHeight="1" x14ac:dyDescent="0.2">
      <c r="B144" s="1121"/>
      <c r="C144" s="3187"/>
      <c r="D144" s="3189"/>
      <c r="E144" s="1297" t="s">
        <v>27</v>
      </c>
      <c r="F144" s="3165" t="s">
        <v>12997</v>
      </c>
      <c r="G144" s="3166"/>
      <c r="H144" s="3166"/>
      <c r="I144" s="3166"/>
      <c r="J144" s="3167"/>
      <c r="K144" s="3194"/>
      <c r="L144" s="3104"/>
      <c r="M144" s="1635"/>
      <c r="N144" s="1636"/>
      <c r="O144" s="1636"/>
      <c r="P144" s="1636"/>
      <c r="Q144" s="1636"/>
      <c r="R144" s="1143"/>
    </row>
    <row r="145" spans="2:18" ht="16.5" customHeight="1" x14ac:dyDescent="0.2">
      <c r="B145" s="1121"/>
      <c r="C145" s="3187"/>
      <c r="D145" s="3190"/>
      <c r="E145" s="1297" t="s">
        <v>28</v>
      </c>
      <c r="F145" s="3165" t="s">
        <v>9392</v>
      </c>
      <c r="G145" s="3166"/>
      <c r="H145" s="3166"/>
      <c r="I145" s="3166"/>
      <c r="J145" s="3167"/>
      <c r="K145" s="3194"/>
      <c r="L145" s="3104"/>
      <c r="M145" s="1635"/>
      <c r="N145" s="1636"/>
      <c r="O145" s="1636"/>
      <c r="P145" s="1636"/>
      <c r="Q145" s="1636"/>
      <c r="R145" s="1143"/>
    </row>
    <row r="146" spans="2:18" ht="16.5" customHeight="1" x14ac:dyDescent="0.2">
      <c r="B146" s="1121"/>
      <c r="C146" s="3187"/>
      <c r="D146" s="3188" t="s">
        <v>290</v>
      </c>
      <c r="E146" s="3168" t="s">
        <v>9391</v>
      </c>
      <c r="F146" s="3169"/>
      <c r="G146" s="3169"/>
      <c r="H146" s="3169"/>
      <c r="I146" s="3169"/>
      <c r="J146" s="3170"/>
      <c r="K146" s="3182">
        <f>SUM(PL_61iia,PL_61iib)</f>
        <v>0</v>
      </c>
      <c r="L146" s="3183"/>
      <c r="M146" s="1607"/>
      <c r="N146" s="782"/>
      <c r="O146" s="782"/>
      <c r="P146" s="782"/>
      <c r="Q146" s="782"/>
      <c r="R146" s="1143"/>
    </row>
    <row r="147" spans="2:18" ht="12.75" x14ac:dyDescent="0.2">
      <c r="B147" s="1121"/>
      <c r="C147" s="3187"/>
      <c r="D147" s="3189"/>
      <c r="E147" s="1297" t="s">
        <v>27</v>
      </c>
      <c r="F147" s="3171" t="s">
        <v>9680</v>
      </c>
      <c r="G147" s="3166"/>
      <c r="H147" s="3166"/>
      <c r="I147" s="3166"/>
      <c r="J147" s="3167"/>
      <c r="K147" s="3194"/>
      <c r="L147" s="3104"/>
      <c r="M147" s="1635"/>
      <c r="N147" s="1636"/>
      <c r="O147" s="1636"/>
      <c r="P147" s="1636"/>
      <c r="Q147" s="1636"/>
      <c r="R147" s="1143"/>
    </row>
    <row r="148" spans="2:18" ht="16.5" customHeight="1" x14ac:dyDescent="0.2">
      <c r="B148" s="1121"/>
      <c r="C148" s="3187"/>
      <c r="D148" s="3190"/>
      <c r="E148" s="1297" t="s">
        <v>28</v>
      </c>
      <c r="F148" s="3171" t="s">
        <v>9681</v>
      </c>
      <c r="G148" s="3166"/>
      <c r="H148" s="3166"/>
      <c r="I148" s="3166"/>
      <c r="J148" s="3167"/>
      <c r="K148" s="3194"/>
      <c r="L148" s="3104"/>
      <c r="M148" s="1635"/>
      <c r="N148" s="1636"/>
      <c r="O148" s="1636"/>
      <c r="P148" s="1636"/>
      <c r="Q148" s="1636"/>
      <c r="R148" s="1143"/>
    </row>
    <row r="149" spans="2:18" ht="16.5" customHeight="1" x14ac:dyDescent="0.2">
      <c r="B149" s="1121"/>
      <c r="C149" s="3187"/>
      <c r="D149" s="3168" t="s">
        <v>9394</v>
      </c>
      <c r="E149" s="3169"/>
      <c r="F149" s="3169"/>
      <c r="G149" s="3169"/>
      <c r="H149" s="3169"/>
      <c r="I149" s="3169"/>
      <c r="J149" s="3169"/>
      <c r="K149" s="3169"/>
      <c r="L149" s="3169"/>
      <c r="M149" s="1609"/>
      <c r="N149" s="1603"/>
      <c r="O149" s="1603"/>
      <c r="P149" s="1603"/>
      <c r="Q149" s="1603"/>
      <c r="R149" s="1143"/>
    </row>
    <row r="150" spans="2:18" ht="16.5" customHeight="1" x14ac:dyDescent="0.2">
      <c r="B150" s="1121"/>
      <c r="C150" s="3187"/>
      <c r="D150" s="8">
        <v>62</v>
      </c>
      <c r="E150" s="3200" t="s">
        <v>9395</v>
      </c>
      <c r="F150" s="3200"/>
      <c r="G150" s="3200"/>
      <c r="H150" s="3200"/>
      <c r="I150" s="3200"/>
      <c r="J150" s="3200"/>
      <c r="K150" s="3200"/>
      <c r="L150" s="3171"/>
      <c r="M150" s="1609"/>
      <c r="N150" s="1603"/>
      <c r="O150" s="1603"/>
      <c r="P150" s="1603"/>
      <c r="Q150" s="1603"/>
      <c r="R150" s="1143"/>
    </row>
    <row r="151" spans="2:18" ht="16.5" customHeight="1" x14ac:dyDescent="0.2">
      <c r="B151" s="1121"/>
      <c r="C151" s="3187"/>
      <c r="D151" s="1402" t="s">
        <v>8280</v>
      </c>
      <c r="E151" s="3175" t="s">
        <v>9389</v>
      </c>
      <c r="F151" s="3198"/>
      <c r="G151" s="3199"/>
      <c r="H151" s="3175" t="s">
        <v>280</v>
      </c>
      <c r="I151" s="3198"/>
      <c r="J151" s="3199"/>
      <c r="K151" s="3174" t="s">
        <v>8409</v>
      </c>
      <c r="L151" s="3175"/>
      <c r="M151" s="1610"/>
      <c r="N151" s="1604"/>
      <c r="O151" s="1604"/>
      <c r="P151" s="1604"/>
      <c r="Q151" s="1604"/>
      <c r="R151" s="1143"/>
    </row>
    <row r="152" spans="2:18" ht="31.5" customHeight="1" x14ac:dyDescent="0.2">
      <c r="B152" s="1121"/>
      <c r="C152" s="3187"/>
      <c r="D152" s="1293">
        <v>1</v>
      </c>
      <c r="E152" s="3176" t="s">
        <v>23</v>
      </c>
      <c r="F152" s="3177"/>
      <c r="G152" s="3178"/>
      <c r="H152" s="3179" t="s">
        <v>23</v>
      </c>
      <c r="I152" s="3180"/>
      <c r="J152" s="3181"/>
      <c r="K152" s="3184" t="s">
        <v>23</v>
      </c>
      <c r="L152" s="3179"/>
      <c r="M152" s="1633"/>
      <c r="N152" s="1634"/>
      <c r="O152" s="1634"/>
      <c r="P152" s="1634"/>
      <c r="Q152" s="1634"/>
      <c r="R152" s="1143"/>
    </row>
    <row r="153" spans="2:18" ht="27" customHeight="1" x14ac:dyDescent="0.2">
      <c r="B153" s="1121"/>
      <c r="C153" s="1151"/>
      <c r="D153" s="528">
        <f>D152+1</f>
        <v>2</v>
      </c>
      <c r="E153" s="3176" t="s">
        <v>23</v>
      </c>
      <c r="F153" s="3177"/>
      <c r="G153" s="3178"/>
      <c r="H153" s="3179" t="s">
        <v>23</v>
      </c>
      <c r="I153" s="3180"/>
      <c r="J153" s="3181"/>
      <c r="K153" s="3184" t="s">
        <v>23</v>
      </c>
      <c r="L153" s="3179"/>
      <c r="M153" s="1633"/>
      <c r="N153" s="1634"/>
      <c r="O153" s="1634"/>
      <c r="P153" s="1634"/>
      <c r="Q153" s="1634"/>
      <c r="R153" s="1143"/>
    </row>
    <row r="154" spans="2:18" ht="28.5" customHeight="1" x14ac:dyDescent="0.2">
      <c r="B154" s="1121"/>
      <c r="C154" s="1151"/>
      <c r="D154" s="528">
        <f>D153+1</f>
        <v>3</v>
      </c>
      <c r="E154" s="3179" t="s">
        <v>23</v>
      </c>
      <c r="F154" s="3180"/>
      <c r="G154" s="3181"/>
      <c r="H154" s="3179" t="s">
        <v>23</v>
      </c>
      <c r="I154" s="3180"/>
      <c r="J154" s="3181"/>
      <c r="K154" s="3184" t="s">
        <v>23</v>
      </c>
      <c r="L154" s="3179"/>
      <c r="M154" s="1633"/>
      <c r="N154" s="1634"/>
      <c r="O154" s="1634"/>
      <c r="P154" s="1634"/>
      <c r="Q154" s="1634"/>
      <c r="R154" s="1143"/>
    </row>
    <row r="155" spans="2:18" ht="16.5" customHeight="1" x14ac:dyDescent="0.2">
      <c r="B155" s="1121"/>
      <c r="C155" s="1151"/>
      <c r="D155" s="1291"/>
      <c r="E155" s="1297" t="s">
        <v>287</v>
      </c>
      <c r="F155" s="3171" t="s">
        <v>9397</v>
      </c>
      <c r="G155" s="3166"/>
      <c r="H155" s="3166"/>
      <c r="I155" s="3166"/>
      <c r="J155" s="3167"/>
      <c r="K155" s="3194"/>
      <c r="L155" s="3104"/>
      <c r="M155" s="1635"/>
      <c r="N155" s="1636"/>
      <c r="O155" s="1636"/>
      <c r="P155" s="1636"/>
      <c r="Q155" s="1636"/>
      <c r="R155" s="1143"/>
    </row>
    <row r="156" spans="2:18" ht="28.5" customHeight="1" x14ac:dyDescent="0.2">
      <c r="B156" s="1121"/>
      <c r="C156" s="1151"/>
      <c r="D156" s="1291"/>
      <c r="E156" s="1297" t="s">
        <v>290</v>
      </c>
      <c r="F156" s="3171" t="s">
        <v>9682</v>
      </c>
      <c r="G156" s="3166"/>
      <c r="H156" s="3166"/>
      <c r="I156" s="3166"/>
      <c r="J156" s="3167"/>
      <c r="K156" s="3194"/>
      <c r="L156" s="3104"/>
      <c r="M156" s="1635"/>
      <c r="N156" s="1636"/>
      <c r="O156" s="1636"/>
      <c r="P156" s="1636"/>
      <c r="Q156" s="1636"/>
      <c r="R156" s="1143"/>
    </row>
    <row r="157" spans="2:18" ht="12.75" x14ac:dyDescent="0.2">
      <c r="B157" s="1121"/>
      <c r="C157" s="1151"/>
      <c r="D157" s="3168" t="s">
        <v>9398</v>
      </c>
      <c r="E157" s="3169"/>
      <c r="F157" s="3169"/>
      <c r="G157" s="3169"/>
      <c r="H157" s="3169"/>
      <c r="I157" s="3169"/>
      <c r="J157" s="3169"/>
      <c r="K157" s="3169"/>
      <c r="L157" s="3169"/>
      <c r="M157" s="1609"/>
      <c r="N157" s="1603"/>
      <c r="O157" s="1603"/>
      <c r="P157" s="1603"/>
      <c r="Q157" s="1603"/>
      <c r="R157" s="1143"/>
    </row>
    <row r="158" spans="2:18" ht="16.5" customHeight="1" x14ac:dyDescent="0.2">
      <c r="B158" s="1121"/>
      <c r="C158" s="1151"/>
      <c r="D158" s="8">
        <v>63</v>
      </c>
      <c r="E158" s="3200" t="s">
        <v>9399</v>
      </c>
      <c r="F158" s="3200"/>
      <c r="G158" s="3200"/>
      <c r="H158" s="3200"/>
      <c r="I158" s="3200"/>
      <c r="J158" s="3200"/>
      <c r="K158" s="3200"/>
      <c r="L158" s="3171"/>
      <c r="M158" s="1609"/>
      <c r="N158" s="1603"/>
      <c r="O158" s="1603"/>
      <c r="P158" s="1603"/>
      <c r="Q158" s="1603"/>
      <c r="R158" s="1143"/>
    </row>
    <row r="159" spans="2:18" ht="16.5" customHeight="1" x14ac:dyDescent="0.2">
      <c r="B159" s="1121"/>
      <c r="C159" s="1151"/>
      <c r="D159" s="8" t="s">
        <v>8280</v>
      </c>
      <c r="E159" s="3175" t="s">
        <v>9389</v>
      </c>
      <c r="F159" s="3198"/>
      <c r="G159" s="3199"/>
      <c r="H159" s="3175" t="s">
        <v>280</v>
      </c>
      <c r="I159" s="3198"/>
      <c r="J159" s="3199"/>
      <c r="K159" s="3174" t="s">
        <v>8409</v>
      </c>
      <c r="L159" s="3175"/>
      <c r="M159" s="1610"/>
      <c r="N159" s="1604"/>
      <c r="O159" s="1604"/>
      <c r="P159" s="1604"/>
      <c r="Q159" s="1604"/>
      <c r="R159" s="1143"/>
    </row>
    <row r="160" spans="2:18" ht="31.5" customHeight="1" x14ac:dyDescent="0.2">
      <c r="B160" s="1121"/>
      <c r="C160" s="1151"/>
      <c r="D160" s="8">
        <v>1</v>
      </c>
      <c r="E160" s="3100"/>
      <c r="F160" s="3101"/>
      <c r="G160" s="3102"/>
      <c r="H160" s="3093" t="s">
        <v>12</v>
      </c>
      <c r="I160" s="3216"/>
      <c r="J160" s="3094"/>
      <c r="K160" s="3207"/>
      <c r="L160" s="3093"/>
      <c r="M160" s="1633"/>
      <c r="N160" s="1634"/>
      <c r="O160" s="1634"/>
      <c r="P160" s="1634"/>
      <c r="Q160" s="1634"/>
      <c r="R160" s="1143"/>
    </row>
    <row r="161" spans="2:23" ht="28.5" customHeight="1" x14ac:dyDescent="0.2">
      <c r="B161" s="1121"/>
      <c r="C161" s="1151"/>
      <c r="D161" s="8">
        <v>2</v>
      </c>
      <c r="E161" s="3100" t="s">
        <v>23</v>
      </c>
      <c r="F161" s="3101"/>
      <c r="G161" s="3102"/>
      <c r="H161" s="3093" t="s">
        <v>12</v>
      </c>
      <c r="I161" s="3216"/>
      <c r="J161" s="3094"/>
      <c r="K161" s="3207" t="s">
        <v>23</v>
      </c>
      <c r="L161" s="3093"/>
      <c r="M161" s="1633"/>
      <c r="N161" s="1634"/>
      <c r="O161" s="1634"/>
      <c r="P161" s="1634"/>
      <c r="Q161" s="1634"/>
      <c r="R161" s="1143"/>
    </row>
    <row r="162" spans="2:23" ht="30" customHeight="1" x14ac:dyDescent="0.2">
      <c r="B162" s="1121"/>
      <c r="C162" s="1151"/>
      <c r="D162" s="8">
        <v>3</v>
      </c>
      <c r="E162" s="3093" t="s">
        <v>23</v>
      </c>
      <c r="F162" s="3216"/>
      <c r="G162" s="3094"/>
      <c r="H162" s="3093" t="s">
        <v>12</v>
      </c>
      <c r="I162" s="3216"/>
      <c r="J162" s="3094"/>
      <c r="K162" s="3207" t="s">
        <v>23</v>
      </c>
      <c r="L162" s="3093"/>
      <c r="M162" s="1633"/>
      <c r="N162" s="1634"/>
      <c r="O162" s="1634"/>
      <c r="P162" s="1634"/>
      <c r="Q162" s="1634"/>
      <c r="R162" s="1143"/>
    </row>
    <row r="163" spans="2:23" ht="16.5" customHeight="1" x14ac:dyDescent="0.2">
      <c r="B163" s="1121"/>
      <c r="C163" s="1151"/>
      <c r="D163" s="1297" t="s">
        <v>287</v>
      </c>
      <c r="E163" s="3200" t="s">
        <v>9400</v>
      </c>
      <c r="F163" s="3200"/>
      <c r="G163" s="3200"/>
      <c r="H163" s="3200"/>
      <c r="I163" s="3200"/>
      <c r="J163" s="3200"/>
      <c r="K163" s="3200"/>
      <c r="L163" s="3171"/>
      <c r="M163" s="1609"/>
      <c r="N163" s="1603"/>
      <c r="O163" s="1603"/>
      <c r="P163" s="1603"/>
      <c r="Q163" s="1603"/>
      <c r="R163" s="1143"/>
    </row>
    <row r="164" spans="2:23" ht="93" customHeight="1" x14ac:dyDescent="0.2">
      <c r="B164" s="1121"/>
      <c r="C164" s="1151"/>
      <c r="D164" s="1298" t="s">
        <v>8280</v>
      </c>
      <c r="E164" s="3208" t="s">
        <v>9401</v>
      </c>
      <c r="F164" s="3209"/>
      <c r="G164" s="3210"/>
      <c r="H164" s="1066" t="s">
        <v>9402</v>
      </c>
      <c r="I164" s="1066" t="s">
        <v>9403</v>
      </c>
      <c r="J164" s="1066" t="s">
        <v>9404</v>
      </c>
      <c r="K164" s="3217" t="s">
        <v>9738</v>
      </c>
      <c r="L164" s="3218"/>
      <c r="M164" s="1611"/>
      <c r="N164" s="677"/>
      <c r="O164" s="677"/>
      <c r="P164" s="677"/>
      <c r="Q164" s="677"/>
      <c r="R164" s="1143"/>
    </row>
    <row r="165" spans="2:23" ht="12.75" x14ac:dyDescent="0.2">
      <c r="B165" s="1121"/>
      <c r="C165" s="1151"/>
      <c r="D165" s="673">
        <v>1</v>
      </c>
      <c r="E165" s="3100"/>
      <c r="F165" s="3101"/>
      <c r="G165" s="3102"/>
      <c r="H165" s="1303" t="s">
        <v>12</v>
      </c>
      <c r="I165" s="391"/>
      <c r="J165" s="391"/>
      <c r="K165" s="3103"/>
      <c r="L165" s="3104"/>
      <c r="M165" s="1635"/>
      <c r="N165" s="1636"/>
      <c r="O165" s="1636"/>
      <c r="P165" s="1636"/>
      <c r="Q165" s="1636"/>
      <c r="R165" s="1143"/>
      <c r="V165" s="144">
        <f t="shared" ref="V165:V174" si="1">I165*J165*1000</f>
        <v>0</v>
      </c>
      <c r="W165" s="144">
        <f t="shared" ref="W165:W174" si="2">J165*7500</f>
        <v>0</v>
      </c>
    </row>
    <row r="166" spans="2:23" ht="12.75" x14ac:dyDescent="0.2">
      <c r="B166" s="1121"/>
      <c r="C166" s="1151"/>
      <c r="D166" s="1293">
        <f t="shared" ref="D166:D174" si="3">D165+1</f>
        <v>2</v>
      </c>
      <c r="E166" s="3100" t="s">
        <v>23</v>
      </c>
      <c r="F166" s="3101"/>
      <c r="G166" s="3102"/>
      <c r="H166" s="1303" t="s">
        <v>12</v>
      </c>
      <c r="I166" s="391"/>
      <c r="J166" s="391"/>
      <c r="K166" s="3103"/>
      <c r="L166" s="3104"/>
      <c r="M166" s="1635"/>
      <c r="N166" s="1636"/>
      <c r="O166" s="1636"/>
      <c r="P166" s="1636"/>
      <c r="Q166" s="1636"/>
      <c r="R166" s="1143"/>
      <c r="V166" s="144">
        <f t="shared" si="1"/>
        <v>0</v>
      </c>
      <c r="W166" s="144">
        <f t="shared" si="2"/>
        <v>0</v>
      </c>
    </row>
    <row r="167" spans="2:23" ht="12.75" x14ac:dyDescent="0.2">
      <c r="B167" s="1121"/>
      <c r="C167" s="1151"/>
      <c r="D167" s="1293">
        <f t="shared" si="3"/>
        <v>3</v>
      </c>
      <c r="E167" s="3100"/>
      <c r="F167" s="3101"/>
      <c r="G167" s="3102"/>
      <c r="H167" s="1303" t="s">
        <v>12</v>
      </c>
      <c r="I167" s="391"/>
      <c r="J167" s="391"/>
      <c r="K167" s="3103"/>
      <c r="L167" s="3104"/>
      <c r="M167" s="1635"/>
      <c r="N167" s="1636"/>
      <c r="O167" s="1636"/>
      <c r="P167" s="1636"/>
      <c r="Q167" s="1636"/>
      <c r="R167" s="1143"/>
      <c r="V167" s="144">
        <f t="shared" si="1"/>
        <v>0</v>
      </c>
      <c r="W167" s="144">
        <f t="shared" si="2"/>
        <v>0</v>
      </c>
    </row>
    <row r="168" spans="2:23" ht="12.75" x14ac:dyDescent="0.2">
      <c r="B168" s="1121"/>
      <c r="C168" s="1151"/>
      <c r="D168" s="1293">
        <f t="shared" si="3"/>
        <v>4</v>
      </c>
      <c r="E168" s="3100"/>
      <c r="F168" s="3101"/>
      <c r="G168" s="3102"/>
      <c r="H168" s="1303" t="s">
        <v>12</v>
      </c>
      <c r="I168" s="391"/>
      <c r="J168" s="2514"/>
      <c r="K168" s="3103"/>
      <c r="L168" s="3104"/>
      <c r="M168" s="1635"/>
      <c r="N168" s="1636"/>
      <c r="O168" s="1636"/>
      <c r="P168" s="1636"/>
      <c r="Q168" s="1636"/>
      <c r="R168" s="1143"/>
      <c r="V168" s="144">
        <f t="shared" si="1"/>
        <v>0</v>
      </c>
      <c r="W168" s="144">
        <f t="shared" si="2"/>
        <v>0</v>
      </c>
    </row>
    <row r="169" spans="2:23" ht="12.75" x14ac:dyDescent="0.2">
      <c r="B169" s="1121"/>
      <c r="C169" s="1151"/>
      <c r="D169" s="1293">
        <f t="shared" si="3"/>
        <v>5</v>
      </c>
      <c r="E169" s="3100"/>
      <c r="F169" s="3101"/>
      <c r="G169" s="3102"/>
      <c r="H169" s="1303" t="s">
        <v>12</v>
      </c>
      <c r="I169" s="391"/>
      <c r="J169" s="2514"/>
      <c r="K169" s="3103"/>
      <c r="L169" s="3104"/>
      <c r="M169" s="1635"/>
      <c r="N169" s="1636"/>
      <c r="O169" s="1636"/>
      <c r="P169" s="1636"/>
      <c r="Q169" s="1636"/>
      <c r="R169" s="1143"/>
      <c r="V169" s="144">
        <f t="shared" si="1"/>
        <v>0</v>
      </c>
      <c r="W169" s="144">
        <f t="shared" si="2"/>
        <v>0</v>
      </c>
    </row>
    <row r="170" spans="2:23" ht="12.75" x14ac:dyDescent="0.2">
      <c r="B170" s="1121"/>
      <c r="C170" s="1151"/>
      <c r="D170" s="1293">
        <f t="shared" si="3"/>
        <v>6</v>
      </c>
      <c r="E170" s="3100"/>
      <c r="F170" s="3101"/>
      <c r="G170" s="3102"/>
      <c r="H170" s="1303" t="s">
        <v>12</v>
      </c>
      <c r="I170" s="391"/>
      <c r="J170" s="2514"/>
      <c r="K170" s="3103"/>
      <c r="L170" s="3104"/>
      <c r="M170" s="1635"/>
      <c r="N170" s="1636"/>
      <c r="O170" s="1636"/>
      <c r="P170" s="1636"/>
      <c r="Q170" s="1636"/>
      <c r="R170" s="1143"/>
      <c r="V170" s="144">
        <f t="shared" si="1"/>
        <v>0</v>
      </c>
      <c r="W170" s="144">
        <f t="shared" si="2"/>
        <v>0</v>
      </c>
    </row>
    <row r="171" spans="2:23" ht="12.75" x14ac:dyDescent="0.2">
      <c r="B171" s="1121"/>
      <c r="C171" s="1151"/>
      <c r="D171" s="1293">
        <f t="shared" si="3"/>
        <v>7</v>
      </c>
      <c r="E171" s="3100"/>
      <c r="F171" s="3101"/>
      <c r="G171" s="3102"/>
      <c r="H171" s="1303" t="s">
        <v>12</v>
      </c>
      <c r="I171" s="391"/>
      <c r="J171" s="2514"/>
      <c r="K171" s="3103"/>
      <c r="L171" s="3104"/>
      <c r="M171" s="1635"/>
      <c r="N171" s="1636"/>
      <c r="O171" s="1636"/>
      <c r="P171" s="1636"/>
      <c r="Q171" s="1636"/>
      <c r="R171" s="1143"/>
      <c r="V171" s="144">
        <f t="shared" si="1"/>
        <v>0</v>
      </c>
      <c r="W171" s="144">
        <f t="shared" si="2"/>
        <v>0</v>
      </c>
    </row>
    <row r="172" spans="2:23" ht="12.75" x14ac:dyDescent="0.2">
      <c r="B172" s="1121"/>
      <c r="C172" s="1151"/>
      <c r="D172" s="1293">
        <f t="shared" si="3"/>
        <v>8</v>
      </c>
      <c r="E172" s="3100"/>
      <c r="F172" s="3101"/>
      <c r="G172" s="3102"/>
      <c r="H172" s="1303" t="s">
        <v>12</v>
      </c>
      <c r="I172" s="391"/>
      <c r="J172" s="2514"/>
      <c r="K172" s="3103"/>
      <c r="L172" s="3104"/>
      <c r="M172" s="1635"/>
      <c r="N172" s="1636"/>
      <c r="O172" s="1636"/>
      <c r="P172" s="1636"/>
      <c r="Q172" s="1636"/>
      <c r="R172" s="1143"/>
      <c r="V172" s="144">
        <f t="shared" si="1"/>
        <v>0</v>
      </c>
      <c r="W172" s="144">
        <f t="shared" si="2"/>
        <v>0</v>
      </c>
    </row>
    <row r="173" spans="2:23" ht="12.75" x14ac:dyDescent="0.2">
      <c r="B173" s="1121"/>
      <c r="C173" s="1151"/>
      <c r="D173" s="1293">
        <f t="shared" si="3"/>
        <v>9</v>
      </c>
      <c r="E173" s="3100"/>
      <c r="F173" s="3101"/>
      <c r="G173" s="3102"/>
      <c r="H173" s="1303" t="s">
        <v>12</v>
      </c>
      <c r="I173" s="391"/>
      <c r="J173" s="2514"/>
      <c r="K173" s="3103"/>
      <c r="L173" s="3104"/>
      <c r="M173" s="1635"/>
      <c r="N173" s="1636"/>
      <c r="O173" s="1636"/>
      <c r="P173" s="1636"/>
      <c r="Q173" s="1636"/>
      <c r="R173" s="1143"/>
      <c r="V173" s="144">
        <f t="shared" si="1"/>
        <v>0</v>
      </c>
      <c r="W173" s="144">
        <f t="shared" si="2"/>
        <v>0</v>
      </c>
    </row>
    <row r="174" spans="2:23" ht="12.75" x14ac:dyDescent="0.2">
      <c r="B174" s="1121"/>
      <c r="C174" s="1151"/>
      <c r="D174" s="1293">
        <f t="shared" si="3"/>
        <v>10</v>
      </c>
      <c r="E174" s="3100"/>
      <c r="F174" s="3101"/>
      <c r="G174" s="3102"/>
      <c r="H174" s="1303" t="s">
        <v>12</v>
      </c>
      <c r="I174" s="391"/>
      <c r="J174" s="2514"/>
      <c r="K174" s="3103"/>
      <c r="L174" s="3104"/>
      <c r="M174" s="1635"/>
      <c r="N174" s="1636"/>
      <c r="O174" s="1636"/>
      <c r="P174" s="1636"/>
      <c r="Q174" s="1636"/>
      <c r="R174" s="1143"/>
      <c r="V174" s="144">
        <f t="shared" si="1"/>
        <v>0</v>
      </c>
      <c r="W174" s="144">
        <f t="shared" si="2"/>
        <v>0</v>
      </c>
    </row>
    <row r="175" spans="2:23" ht="14.25" customHeight="1" x14ac:dyDescent="0.2">
      <c r="B175" s="1121"/>
      <c r="C175" s="1151"/>
      <c r="D175" s="1293"/>
      <c r="E175" s="3208"/>
      <c r="F175" s="3209"/>
      <c r="G175" s="3209"/>
      <c r="H175" s="3209"/>
      <c r="I175" s="3209"/>
      <c r="J175" s="3209"/>
      <c r="K175" s="3209"/>
      <c r="L175" s="3209"/>
      <c r="M175" s="1612"/>
      <c r="N175" s="1605"/>
      <c r="O175" s="1605"/>
      <c r="P175" s="1605"/>
      <c r="Q175" s="1605"/>
      <c r="R175" s="1143"/>
      <c r="V175" s="310"/>
      <c r="W175" s="310"/>
    </row>
    <row r="176" spans="2:23" ht="16.5" customHeight="1" x14ac:dyDescent="0.2">
      <c r="B176" s="1121"/>
      <c r="C176" s="1151"/>
      <c r="D176" s="1297"/>
      <c r="E176" s="3202" t="s">
        <v>749</v>
      </c>
      <c r="F176" s="3202"/>
      <c r="G176" s="3202"/>
      <c r="H176" s="3202"/>
      <c r="I176" s="3202"/>
      <c r="J176" s="210">
        <f>SUM(Sheet44AE.NoOfMonths)</f>
        <v>0</v>
      </c>
      <c r="K176" s="3060">
        <f>SUM(Sheet44AE.PresumptiveIncome)</f>
        <v>0</v>
      </c>
      <c r="L176" s="3061"/>
      <c r="M176" s="1613"/>
      <c r="N176" s="1606"/>
      <c r="O176" s="1606"/>
      <c r="P176" s="1606"/>
      <c r="Q176" s="1606"/>
      <c r="R176" s="1143"/>
      <c r="V176" s="310"/>
      <c r="W176" s="310"/>
    </row>
    <row r="177" spans="2:18" ht="16.5" customHeight="1" x14ac:dyDescent="0.2">
      <c r="B177" s="1121"/>
      <c r="C177" s="1151"/>
      <c r="D177" s="1297" t="s">
        <v>290</v>
      </c>
      <c r="E177" s="3171" t="s">
        <v>9683</v>
      </c>
      <c r="F177" s="3166"/>
      <c r="G177" s="3166"/>
      <c r="H177" s="3166"/>
      <c r="I177" s="3166"/>
      <c r="J177" s="3167"/>
      <c r="K177" s="3060">
        <f>SUM(Sheet44AE.PresumptiveIncome)</f>
        <v>0</v>
      </c>
      <c r="L177" s="3061"/>
      <c r="M177" s="1613"/>
      <c r="N177" s="1606"/>
      <c r="O177" s="1606"/>
      <c r="P177" s="1606"/>
      <c r="Q177" s="1606"/>
      <c r="R177" s="1143"/>
    </row>
    <row r="178" spans="2:18" ht="27" customHeight="1" x14ac:dyDescent="0.2">
      <c r="B178" s="1121"/>
      <c r="C178" s="1151"/>
      <c r="D178" s="3171" t="s">
        <v>9405</v>
      </c>
      <c r="E178" s="3166"/>
      <c r="F178" s="3166"/>
      <c r="G178" s="3166"/>
      <c r="H178" s="3166"/>
      <c r="I178" s="3166"/>
      <c r="J178" s="3166"/>
      <c r="K178" s="3166"/>
      <c r="L178" s="3166"/>
      <c r="M178" s="1609"/>
      <c r="N178" s="1603"/>
      <c r="O178" s="1603"/>
      <c r="P178" s="1603"/>
      <c r="Q178" s="1603"/>
      <c r="R178" s="1143"/>
    </row>
    <row r="179" spans="2:18" ht="26.25" customHeight="1" x14ac:dyDescent="0.2">
      <c r="B179" s="1121"/>
      <c r="C179" s="1151"/>
      <c r="D179" s="3202">
        <v>64</v>
      </c>
      <c r="E179" s="3171" t="s">
        <v>13053</v>
      </c>
      <c r="F179" s="3166"/>
      <c r="G179" s="3166"/>
      <c r="H179" s="3166"/>
      <c r="I179" s="3166"/>
      <c r="J179" s="3166"/>
      <c r="K179" s="3166"/>
      <c r="L179" s="3166"/>
      <c r="M179" s="1609"/>
      <c r="N179" s="1603"/>
      <c r="O179" s="1603"/>
      <c r="P179" s="1603"/>
      <c r="Q179" s="1603"/>
      <c r="R179" s="1143"/>
    </row>
    <row r="180" spans="2:18" ht="12.75" x14ac:dyDescent="0.2">
      <c r="B180" s="1121"/>
      <c r="C180" s="1151"/>
      <c r="D180" s="3202"/>
      <c r="E180" s="3203" t="s">
        <v>287</v>
      </c>
      <c r="F180" s="3200" t="s">
        <v>7690</v>
      </c>
      <c r="G180" s="3200"/>
      <c r="H180" s="3200"/>
      <c r="I180" s="3200"/>
      <c r="J180" s="3200"/>
      <c r="K180" s="3200"/>
      <c r="L180" s="3171"/>
      <c r="M180" s="1609"/>
      <c r="N180" s="1603"/>
      <c r="O180" s="1603"/>
      <c r="P180" s="1603"/>
      <c r="Q180" s="1603"/>
      <c r="R180" s="1143"/>
    </row>
    <row r="181" spans="2:18" ht="12.75" customHeight="1" x14ac:dyDescent="0.2">
      <c r="B181" s="1121"/>
      <c r="C181" s="3211"/>
      <c r="D181" s="3202"/>
      <c r="E181" s="3204"/>
      <c r="F181" s="3202" t="s">
        <v>27</v>
      </c>
      <c r="G181" s="3171" t="s">
        <v>9739</v>
      </c>
      <c r="H181" s="3166"/>
      <c r="I181" s="3166"/>
      <c r="J181" s="3166"/>
      <c r="K181" s="3167"/>
      <c r="L181" s="1599">
        <f>SUM(PL_64ia1,PL_64ia2)</f>
        <v>0</v>
      </c>
      <c r="M181" s="1607"/>
      <c r="N181" s="782"/>
      <c r="O181" s="782"/>
      <c r="P181" s="782"/>
      <c r="Q181" s="782"/>
      <c r="R181" s="1637"/>
    </row>
    <row r="182" spans="2:18" ht="25.5" customHeight="1" x14ac:dyDescent="0.2">
      <c r="B182" s="1121"/>
      <c r="C182" s="3211"/>
      <c r="D182" s="3202"/>
      <c r="E182" s="3204"/>
      <c r="F182" s="3202"/>
      <c r="G182" s="1066">
        <v>1</v>
      </c>
      <c r="H182" s="3206" t="s">
        <v>13009</v>
      </c>
      <c r="I182" s="3206"/>
      <c r="J182" s="3206"/>
      <c r="K182" s="3206"/>
      <c r="L182" s="220"/>
      <c r="M182" s="1629"/>
      <c r="N182" s="1630"/>
      <c r="O182" s="1630"/>
      <c r="P182" s="1630"/>
      <c r="Q182" s="1630"/>
      <c r="R182" s="1143"/>
    </row>
    <row r="183" spans="2:18" ht="12.75" x14ac:dyDescent="0.2">
      <c r="B183" s="1121"/>
      <c r="C183" s="3211"/>
      <c r="D183" s="3202"/>
      <c r="E183" s="3204"/>
      <c r="F183" s="3202"/>
      <c r="G183" s="1066">
        <v>2</v>
      </c>
      <c r="H183" s="3206" t="s">
        <v>9392</v>
      </c>
      <c r="I183" s="3206"/>
      <c r="J183" s="3206"/>
      <c r="K183" s="3206"/>
      <c r="L183" s="220"/>
      <c r="M183" s="1629"/>
      <c r="N183" s="1630"/>
      <c r="O183" s="1630"/>
      <c r="P183" s="1630"/>
      <c r="Q183" s="1630"/>
      <c r="R183" s="1143"/>
    </row>
    <row r="184" spans="2:18" ht="12.75" x14ac:dyDescent="0.2">
      <c r="B184" s="1121"/>
      <c r="C184" s="3211"/>
      <c r="D184" s="3202"/>
      <c r="E184" s="3204"/>
      <c r="F184" s="1066" t="s">
        <v>28</v>
      </c>
      <c r="G184" s="3201" t="s">
        <v>514</v>
      </c>
      <c r="H184" s="3201"/>
      <c r="I184" s="3201"/>
      <c r="J184" s="3201"/>
      <c r="K184" s="3201"/>
      <c r="L184" s="220"/>
      <c r="M184" s="1629"/>
      <c r="N184" s="1630"/>
      <c r="O184" s="1630"/>
      <c r="P184" s="1630"/>
      <c r="Q184" s="1630"/>
      <c r="R184" s="1143"/>
    </row>
    <row r="185" spans="2:18" ht="12.75" x14ac:dyDescent="0.2">
      <c r="B185" s="1121"/>
      <c r="C185" s="3211"/>
      <c r="D185" s="3202"/>
      <c r="E185" s="3204"/>
      <c r="F185" s="1066" t="s">
        <v>29</v>
      </c>
      <c r="G185" s="3201" t="s">
        <v>515</v>
      </c>
      <c r="H185" s="3201"/>
      <c r="I185" s="3201"/>
      <c r="J185" s="3201"/>
      <c r="K185" s="3201"/>
      <c r="L185" s="220"/>
      <c r="M185" s="1629"/>
      <c r="N185" s="1630"/>
      <c r="O185" s="1630"/>
      <c r="P185" s="1630"/>
      <c r="Q185" s="1630"/>
      <c r="R185" s="1143"/>
    </row>
    <row r="186" spans="2:18" ht="12.75" x14ac:dyDescent="0.2">
      <c r="B186" s="1121"/>
      <c r="C186" s="3211"/>
      <c r="D186" s="3202"/>
      <c r="E186" s="3205"/>
      <c r="F186" s="1066" t="s">
        <v>36</v>
      </c>
      <c r="G186" s="3200" t="s">
        <v>516</v>
      </c>
      <c r="H186" s="3200"/>
      <c r="I186" s="3200"/>
      <c r="J186" s="3200"/>
      <c r="K186" s="3200"/>
      <c r="L186" s="1599">
        <f>MAX(0,(PL_64ib-PL_64ic))</f>
        <v>0</v>
      </c>
      <c r="M186" s="1607"/>
      <c r="N186" s="782"/>
      <c r="O186" s="782"/>
      <c r="P186" s="782"/>
      <c r="Q186" s="782"/>
      <c r="R186" s="1143"/>
    </row>
    <row r="187" spans="2:18" ht="12.75" customHeight="1" x14ac:dyDescent="0.2">
      <c r="B187" s="1121"/>
      <c r="C187" s="3211"/>
      <c r="D187" s="3202"/>
      <c r="E187" s="3213" t="s">
        <v>290</v>
      </c>
      <c r="F187" s="3200" t="s">
        <v>7691</v>
      </c>
      <c r="G187" s="3200"/>
      <c r="H187" s="3200"/>
      <c r="I187" s="3200"/>
      <c r="J187" s="3200"/>
      <c r="K187" s="3200"/>
      <c r="L187" s="3171"/>
      <c r="M187" s="1609"/>
      <c r="N187" s="1603"/>
      <c r="O187" s="1603"/>
      <c r="P187" s="1603"/>
      <c r="Q187" s="1603"/>
      <c r="R187" s="1143"/>
    </row>
    <row r="188" spans="2:18" ht="12.75" customHeight="1" x14ac:dyDescent="0.2">
      <c r="B188" s="1121"/>
      <c r="C188" s="3211"/>
      <c r="D188" s="3202"/>
      <c r="E188" s="3214"/>
      <c r="F188" s="1066" t="s">
        <v>27</v>
      </c>
      <c r="G188" s="3171" t="s">
        <v>9406</v>
      </c>
      <c r="H188" s="3166"/>
      <c r="I188" s="3166"/>
      <c r="J188" s="3166"/>
      <c r="K188" s="3167"/>
      <c r="L188" s="1599">
        <f>SUM(PL_64iia_i,PL_64iia_ii)</f>
        <v>0</v>
      </c>
      <c r="M188" s="1607"/>
      <c r="N188" s="782"/>
      <c r="O188" s="782"/>
      <c r="P188" s="782"/>
      <c r="Q188" s="782"/>
      <c r="R188" s="1143"/>
    </row>
    <row r="189" spans="2:18" ht="24.75" customHeight="1" x14ac:dyDescent="0.2">
      <c r="B189" s="1121"/>
      <c r="C189" s="3211"/>
      <c r="D189" s="3202"/>
      <c r="E189" s="3214"/>
      <c r="F189" s="1292"/>
      <c r="G189" s="1066" t="s">
        <v>287</v>
      </c>
      <c r="H189" s="3166" t="s">
        <v>12997</v>
      </c>
      <c r="I189" s="3166"/>
      <c r="J189" s="3166"/>
      <c r="K189" s="3167"/>
      <c r="L189" s="220"/>
      <c r="M189" s="1629"/>
      <c r="N189" s="1630"/>
      <c r="O189" s="1630"/>
      <c r="P189" s="1630"/>
      <c r="Q189" s="1630"/>
      <c r="R189" s="1143"/>
    </row>
    <row r="190" spans="2:18" ht="12.75" customHeight="1" x14ac:dyDescent="0.2">
      <c r="B190" s="1121"/>
      <c r="C190" s="3211"/>
      <c r="D190" s="3202"/>
      <c r="E190" s="3214"/>
      <c r="F190" s="1292"/>
      <c r="G190" s="1066" t="s">
        <v>290</v>
      </c>
      <c r="H190" s="3166" t="s">
        <v>9392</v>
      </c>
      <c r="I190" s="3166"/>
      <c r="J190" s="3166"/>
      <c r="K190" s="3167"/>
      <c r="L190" s="220"/>
      <c r="M190" s="1629"/>
      <c r="N190" s="1630"/>
      <c r="O190" s="1630"/>
      <c r="P190" s="1630"/>
      <c r="Q190" s="1630"/>
      <c r="R190" s="1143"/>
    </row>
    <row r="191" spans="2:18" ht="12.75" customHeight="1" x14ac:dyDescent="0.2">
      <c r="B191" s="1121"/>
      <c r="C191" s="3211"/>
      <c r="D191" s="3202"/>
      <c r="E191" s="3214"/>
      <c r="F191" s="1066" t="s">
        <v>28</v>
      </c>
      <c r="G191" s="3200" t="s">
        <v>514</v>
      </c>
      <c r="H191" s="3200"/>
      <c r="I191" s="3200"/>
      <c r="J191" s="3200"/>
      <c r="K191" s="3200"/>
      <c r="L191" s="220"/>
      <c r="M191" s="1629"/>
      <c r="N191" s="1630"/>
      <c r="O191" s="1630"/>
      <c r="P191" s="1630"/>
      <c r="Q191" s="1630"/>
      <c r="R191" s="1143"/>
    </row>
    <row r="192" spans="2:18" ht="12.75" customHeight="1" x14ac:dyDescent="0.2">
      <c r="B192" s="1121"/>
      <c r="C192" s="3211"/>
      <c r="D192" s="3202"/>
      <c r="E192" s="3214"/>
      <c r="F192" s="1066" t="s">
        <v>29</v>
      </c>
      <c r="G192" s="3200" t="s">
        <v>515</v>
      </c>
      <c r="H192" s="3200"/>
      <c r="I192" s="3200"/>
      <c r="J192" s="3200"/>
      <c r="K192" s="3200"/>
      <c r="L192" s="220"/>
      <c r="M192" s="1629"/>
      <c r="N192" s="1630"/>
      <c r="O192" s="1630"/>
      <c r="P192" s="1630"/>
      <c r="Q192" s="1630"/>
      <c r="R192" s="1143"/>
    </row>
    <row r="193" spans="2:18" ht="12.75" customHeight="1" x14ac:dyDescent="0.2">
      <c r="B193" s="1121"/>
      <c r="C193" s="3211"/>
      <c r="D193" s="3202"/>
      <c r="E193" s="3215"/>
      <c r="F193" s="1066" t="s">
        <v>36</v>
      </c>
      <c r="G193" s="3200" t="s">
        <v>516</v>
      </c>
      <c r="H193" s="3200"/>
      <c r="I193" s="3200"/>
      <c r="J193" s="3200"/>
      <c r="K193" s="3200"/>
      <c r="L193" s="1599">
        <f>MAX(0,(PL_64iib-PL_64iic))</f>
        <v>0</v>
      </c>
      <c r="M193" s="1607"/>
      <c r="N193" s="782"/>
      <c r="O193" s="782"/>
      <c r="P193" s="782"/>
      <c r="Q193" s="782"/>
      <c r="R193" s="1143"/>
    </row>
    <row r="194" spans="2:18" ht="12.75" customHeight="1" x14ac:dyDescent="0.2">
      <c r="B194" s="1121"/>
      <c r="C194" s="3211"/>
      <c r="D194" s="3202"/>
      <c r="E194" s="1066" t="s">
        <v>293</v>
      </c>
      <c r="F194" s="3171" t="s">
        <v>9740</v>
      </c>
      <c r="G194" s="3166"/>
      <c r="H194" s="3166"/>
      <c r="I194" s="3166"/>
      <c r="J194" s="3166"/>
      <c r="K194" s="3167"/>
      <c r="L194" s="1599">
        <f>PL_64id+PL_64iid</f>
        <v>0</v>
      </c>
      <c r="M194" s="1607"/>
      <c r="N194" s="782"/>
      <c r="O194" s="782"/>
      <c r="P194" s="782"/>
      <c r="Q194" s="782"/>
      <c r="R194" s="1143"/>
    </row>
    <row r="195" spans="2:18" ht="12.75" customHeight="1" x14ac:dyDescent="0.2">
      <c r="B195" s="1121"/>
      <c r="C195" s="3211"/>
      <c r="D195" s="3202">
        <v>65</v>
      </c>
      <c r="E195" s="1066" t="s">
        <v>287</v>
      </c>
      <c r="F195" s="3171" t="s">
        <v>9407</v>
      </c>
      <c r="G195" s="3166"/>
      <c r="H195" s="3166"/>
      <c r="I195" s="3166"/>
      <c r="J195" s="3166"/>
      <c r="K195" s="3167"/>
      <c r="L195" s="220"/>
      <c r="M195" s="1629"/>
      <c r="N195" s="1630"/>
      <c r="O195" s="1630"/>
      <c r="P195" s="1630"/>
      <c r="Q195" s="1630"/>
      <c r="R195" s="1143"/>
    </row>
    <row r="196" spans="2:18" ht="12.75" customHeight="1" x14ac:dyDescent="0.2">
      <c r="B196" s="1121"/>
      <c r="C196" s="3211"/>
      <c r="D196" s="3202"/>
      <c r="E196" s="1066" t="s">
        <v>290</v>
      </c>
      <c r="F196" s="3171" t="s">
        <v>9408</v>
      </c>
      <c r="G196" s="3166"/>
      <c r="H196" s="3166"/>
      <c r="I196" s="3166"/>
      <c r="J196" s="3166"/>
      <c r="K196" s="3167"/>
      <c r="L196" s="220"/>
      <c r="M196" s="1629"/>
      <c r="N196" s="1630"/>
      <c r="O196" s="1630"/>
      <c r="P196" s="1630"/>
      <c r="Q196" s="1630"/>
      <c r="R196" s="1143"/>
    </row>
    <row r="197" spans="2:18" ht="12.75" customHeight="1" x14ac:dyDescent="0.2">
      <c r="B197" s="1121"/>
      <c r="C197" s="3211"/>
      <c r="D197" s="3202"/>
      <c r="E197" s="1066" t="s">
        <v>293</v>
      </c>
      <c r="F197" s="3171" t="s">
        <v>9409</v>
      </c>
      <c r="G197" s="3166"/>
      <c r="H197" s="3166"/>
      <c r="I197" s="3166"/>
      <c r="J197" s="3166"/>
      <c r="K197" s="3167"/>
      <c r="L197" s="220"/>
      <c r="M197" s="1629"/>
      <c r="N197" s="1630"/>
      <c r="O197" s="1630"/>
      <c r="P197" s="1630"/>
      <c r="Q197" s="1630"/>
      <c r="R197" s="1143"/>
    </row>
    <row r="198" spans="2:18" ht="12.75" customHeight="1" x14ac:dyDescent="0.2">
      <c r="B198" s="1121"/>
      <c r="C198" s="3212"/>
      <c r="D198" s="3202"/>
      <c r="E198" s="1066" t="s">
        <v>296</v>
      </c>
      <c r="F198" s="3171" t="s">
        <v>9410</v>
      </c>
      <c r="G198" s="3166"/>
      <c r="H198" s="3166"/>
      <c r="I198" s="3166"/>
      <c r="J198" s="3166"/>
      <c r="K198" s="3167"/>
      <c r="L198" s="1599">
        <f>PL_65ii-PL_65iii</f>
        <v>0</v>
      </c>
      <c r="M198" s="1607"/>
      <c r="N198" s="782"/>
      <c r="O198" s="782"/>
      <c r="P198" s="782"/>
      <c r="Q198" s="782"/>
      <c r="R198" s="1143"/>
    </row>
    <row r="199" spans="2:18" ht="15" customHeight="1" thickBot="1" x14ac:dyDescent="0.25">
      <c r="B199" s="1141"/>
      <c r="C199" s="1144"/>
      <c r="D199" s="1144"/>
      <c r="E199" s="1144"/>
      <c r="F199" s="1144"/>
      <c r="G199" s="1144"/>
      <c r="H199" s="1144"/>
      <c r="I199" s="1144"/>
      <c r="J199" s="1144"/>
      <c r="K199" s="1144"/>
      <c r="L199" s="1144"/>
      <c r="M199" s="1638"/>
      <c r="N199" s="1638"/>
      <c r="O199" s="1638"/>
      <c r="P199" s="1638"/>
      <c r="Q199" s="1638"/>
      <c r="R199" s="1589"/>
    </row>
    <row r="200" spans="2:18" ht="20.25" customHeight="1" x14ac:dyDescent="0.2"/>
    <row r="202" spans="2:18" customFormat="1" ht="20.25" hidden="1" customHeight="1" x14ac:dyDescent="0.25"/>
    <row r="203" spans="2:18" customFormat="1" ht="20.25" hidden="1" customHeight="1" x14ac:dyDescent="0.25"/>
    <row r="204" spans="2:18" customFormat="1" ht="20.25" hidden="1" customHeight="1" x14ac:dyDescent="0.25"/>
    <row r="205" spans="2:18" customFormat="1" ht="20.25" hidden="1" customHeight="1" x14ac:dyDescent="0.25"/>
    <row r="206" spans="2:18" customFormat="1" ht="20.25" hidden="1" customHeight="1" x14ac:dyDescent="0.25"/>
    <row r="207" spans="2:18" customFormat="1" ht="20.25" hidden="1" customHeight="1" x14ac:dyDescent="0.25"/>
    <row r="208" spans="2:18" customFormat="1" ht="20.25" hidden="1" customHeight="1" x14ac:dyDescent="0.25"/>
    <row r="209" customFormat="1" ht="20.25" hidden="1" customHeight="1" x14ac:dyDescent="0.25"/>
    <row r="210" customFormat="1" ht="20.25" hidden="1" customHeight="1" x14ac:dyDescent="0.25"/>
    <row r="211" customFormat="1" ht="20.25" hidden="1" customHeight="1" x14ac:dyDescent="0.25"/>
    <row r="212" customFormat="1" ht="20.25" hidden="1" customHeight="1" x14ac:dyDescent="0.25"/>
    <row r="213" customFormat="1" ht="20.25" hidden="1" customHeight="1" x14ac:dyDescent="0.25"/>
    <row r="214" customFormat="1" ht="20.25" hidden="1" customHeight="1" x14ac:dyDescent="0.25"/>
    <row r="215" customFormat="1" ht="20.25" hidden="1" customHeight="1" x14ac:dyDescent="0.25"/>
    <row r="216" customFormat="1" ht="20.25" hidden="1" customHeight="1" x14ac:dyDescent="0.25"/>
    <row r="217" customFormat="1" ht="20.25" hidden="1" customHeight="1" x14ac:dyDescent="0.25"/>
    <row r="218" customFormat="1" ht="20.25" hidden="1" customHeight="1" x14ac:dyDescent="0.25"/>
    <row r="219" customFormat="1" ht="20.25" hidden="1" customHeight="1" x14ac:dyDescent="0.25"/>
    <row r="220" customFormat="1" ht="20.25" hidden="1" customHeight="1" x14ac:dyDescent="0.25"/>
    <row r="221" customFormat="1" ht="20.25" hidden="1" customHeight="1" x14ac:dyDescent="0.25"/>
    <row r="222" customFormat="1" ht="20.25" hidden="1" customHeight="1" x14ac:dyDescent="0.25"/>
    <row r="223" customFormat="1" ht="20.25" hidden="1" customHeight="1" x14ac:dyDescent="0.25"/>
    <row r="224" customFormat="1" ht="20.25" hidden="1" customHeight="1" x14ac:dyDescent="0.25"/>
    <row r="225" customFormat="1" ht="20.25" hidden="1" customHeight="1" x14ac:dyDescent="0.25"/>
    <row r="226" customFormat="1" ht="20.25" hidden="1" customHeight="1" x14ac:dyDescent="0.25"/>
    <row r="227" customFormat="1" ht="20.25" hidden="1" customHeight="1" x14ac:dyDescent="0.25"/>
    <row r="228" customFormat="1" ht="20.25" hidden="1" customHeight="1" x14ac:dyDescent="0.25"/>
    <row r="229" customFormat="1" ht="20.25" hidden="1" customHeight="1" x14ac:dyDescent="0.25"/>
    <row r="230" customFormat="1" ht="20.25" hidden="1" customHeight="1" x14ac:dyDescent="0.25"/>
    <row r="231" customFormat="1" ht="20.25" hidden="1" customHeight="1" x14ac:dyDescent="0.25"/>
    <row r="232" customFormat="1" ht="20.25" hidden="1" customHeight="1" x14ac:dyDescent="0.25"/>
    <row r="233" customFormat="1" ht="20.25" hidden="1" customHeight="1" x14ac:dyDescent="0.25"/>
    <row r="234" customFormat="1" ht="20.25" hidden="1" customHeight="1" x14ac:dyDescent="0.25"/>
    <row r="235" customFormat="1" ht="20.25" hidden="1" customHeight="1" x14ac:dyDescent="0.25"/>
    <row r="236" customFormat="1" ht="20.25" hidden="1" customHeight="1" x14ac:dyDescent="0.25"/>
    <row r="237" customFormat="1" ht="20.25" hidden="1" customHeight="1" x14ac:dyDescent="0.25"/>
    <row r="238" customFormat="1" ht="20.25" hidden="1" customHeight="1" x14ac:dyDescent="0.25"/>
    <row r="239" customFormat="1" ht="20.25" hidden="1" customHeight="1" x14ac:dyDescent="0.25"/>
    <row r="240" customFormat="1" ht="20.25" hidden="1" customHeight="1" x14ac:dyDescent="0.25"/>
    <row r="241" customFormat="1" ht="20.25" hidden="1" customHeight="1" x14ac:dyDescent="0.25"/>
    <row r="242" customFormat="1" ht="20.25" hidden="1" customHeight="1" x14ac:dyDescent="0.25"/>
    <row r="243" customFormat="1" ht="20.25" hidden="1" customHeight="1" x14ac:dyDescent="0.25"/>
    <row r="244" customFormat="1" ht="20.25" hidden="1" customHeight="1" x14ac:dyDescent="0.25"/>
    <row r="245" customFormat="1" ht="20.25" hidden="1" customHeight="1" x14ac:dyDescent="0.25"/>
    <row r="246" customFormat="1" ht="20.25" hidden="1" customHeight="1" x14ac:dyDescent="0.25"/>
    <row r="247" customFormat="1" ht="20.25" hidden="1" customHeight="1" x14ac:dyDescent="0.25"/>
    <row r="248" customFormat="1" ht="20.25" hidden="1" customHeight="1" x14ac:dyDescent="0.25"/>
    <row r="249" customFormat="1" ht="20.25" hidden="1" customHeight="1" x14ac:dyDescent="0.25"/>
    <row r="250" customFormat="1" ht="20.25" hidden="1" customHeight="1" x14ac:dyDescent="0.25"/>
    <row r="251" customFormat="1" ht="20.25" hidden="1" customHeight="1" x14ac:dyDescent="0.25"/>
    <row r="252" customFormat="1" ht="20.25" hidden="1" customHeight="1" x14ac:dyDescent="0.25"/>
    <row r="253" customFormat="1" ht="20.25" hidden="1" customHeight="1" x14ac:dyDescent="0.25"/>
    <row r="254" customFormat="1" ht="20.25" hidden="1" customHeight="1" x14ac:dyDescent="0.25"/>
    <row r="255" customFormat="1" ht="20.25" hidden="1" customHeight="1" x14ac:dyDescent="0.25"/>
    <row r="256" customFormat="1" ht="20.25" hidden="1" customHeight="1" x14ac:dyDescent="0.25"/>
    <row r="257" customFormat="1" ht="20.25" hidden="1" customHeight="1" x14ac:dyDescent="0.25"/>
    <row r="258" customFormat="1" ht="20.25" hidden="1" customHeight="1" x14ac:dyDescent="0.25"/>
    <row r="259" customFormat="1" ht="20.25" hidden="1" customHeight="1" x14ac:dyDescent="0.25"/>
    <row r="260" customFormat="1" ht="20.25" hidden="1" customHeight="1" x14ac:dyDescent="0.25"/>
    <row r="261" customFormat="1" ht="20.25" hidden="1" customHeight="1" x14ac:dyDescent="0.25"/>
    <row r="262" customFormat="1" ht="20.25" hidden="1" customHeight="1" x14ac:dyDescent="0.25"/>
    <row r="263" customFormat="1" ht="20.25" hidden="1" customHeight="1" x14ac:dyDescent="0.25"/>
    <row r="264" customFormat="1" ht="20.25" hidden="1" customHeight="1" x14ac:dyDescent="0.25"/>
    <row r="265" customFormat="1" ht="20.25" hidden="1" customHeight="1" x14ac:dyDescent="0.25"/>
    <row r="266" customFormat="1" ht="20.25" hidden="1" customHeight="1" x14ac:dyDescent="0.25"/>
    <row r="267" customFormat="1" ht="20.25" hidden="1" customHeight="1" x14ac:dyDescent="0.25"/>
    <row r="268" customFormat="1" ht="20.25" hidden="1" customHeight="1" x14ac:dyDescent="0.25"/>
    <row r="269" customFormat="1" ht="20.25" hidden="1" customHeight="1" x14ac:dyDescent="0.25"/>
    <row r="270" customFormat="1" ht="20.25" hidden="1" customHeight="1" x14ac:dyDescent="0.25"/>
    <row r="271" customFormat="1" ht="20.25" hidden="1" customHeight="1" x14ac:dyDescent="0.25"/>
    <row r="272" customFormat="1" ht="20.25" hidden="1" customHeight="1" x14ac:dyDescent="0.25"/>
    <row r="273" customFormat="1" ht="20.25" hidden="1" customHeight="1" x14ac:dyDescent="0.25"/>
    <row r="274" customFormat="1" ht="20.25" hidden="1" customHeight="1" x14ac:dyDescent="0.25"/>
    <row r="275" customFormat="1" ht="20.25" hidden="1" customHeight="1" x14ac:dyDescent="0.25"/>
    <row r="276" customFormat="1" ht="20.25" hidden="1" customHeight="1" x14ac:dyDescent="0.25"/>
    <row r="277" customFormat="1" ht="20.25" hidden="1" customHeight="1" x14ac:dyDescent="0.25"/>
    <row r="278" customFormat="1" ht="20.25" hidden="1" customHeight="1" x14ac:dyDescent="0.25"/>
    <row r="279" customFormat="1" ht="20.25" hidden="1" customHeight="1" x14ac:dyDescent="0.25"/>
    <row r="280" customFormat="1" ht="20.25" hidden="1" customHeight="1" x14ac:dyDescent="0.25"/>
    <row r="281" customFormat="1" ht="20.25" hidden="1" customHeight="1" x14ac:dyDescent="0.25"/>
    <row r="282" customFormat="1" ht="20.25" hidden="1" customHeight="1" x14ac:dyDescent="0.25"/>
    <row r="283" customFormat="1" ht="20.25" hidden="1" customHeight="1" x14ac:dyDescent="0.25"/>
    <row r="284" customFormat="1" ht="20.25" hidden="1" customHeight="1" x14ac:dyDescent="0.25"/>
    <row r="285" customFormat="1" ht="20.25" hidden="1" customHeight="1" x14ac:dyDescent="0.25"/>
    <row r="286" customFormat="1" ht="20.25" hidden="1" customHeight="1" x14ac:dyDescent="0.25"/>
    <row r="287" customFormat="1" ht="20.25" hidden="1" customHeight="1" x14ac:dyDescent="0.25"/>
    <row r="288" customFormat="1" ht="20.25" hidden="1" customHeight="1" x14ac:dyDescent="0.25"/>
    <row r="289" customFormat="1" ht="20.25" hidden="1" customHeight="1" x14ac:dyDescent="0.25"/>
    <row r="290" customFormat="1" ht="20.25" hidden="1" customHeight="1" x14ac:dyDescent="0.25"/>
    <row r="291" customFormat="1" ht="20.25" hidden="1" customHeight="1" x14ac:dyDescent="0.25"/>
    <row r="292" customFormat="1" ht="20.25" hidden="1" customHeight="1" x14ac:dyDescent="0.25"/>
    <row r="293" customFormat="1" ht="20.25" hidden="1" customHeight="1" x14ac:dyDescent="0.25"/>
    <row r="294" customFormat="1" ht="20.25" hidden="1" customHeight="1" x14ac:dyDescent="0.25"/>
    <row r="295" customFormat="1" ht="20.25" hidden="1" customHeight="1" x14ac:dyDescent="0.25"/>
    <row r="296" customFormat="1" ht="20.25" hidden="1" customHeight="1" x14ac:dyDescent="0.25"/>
    <row r="297" customFormat="1" ht="20.25" hidden="1" customHeight="1" x14ac:dyDescent="0.25"/>
    <row r="298" customFormat="1" ht="20.25" hidden="1" customHeight="1" x14ac:dyDescent="0.25"/>
    <row r="299" customFormat="1" ht="20.25" hidden="1" customHeight="1" x14ac:dyDescent="0.25"/>
    <row r="300" customFormat="1" ht="20.25" hidden="1" customHeight="1" x14ac:dyDescent="0.25"/>
    <row r="301" customFormat="1" ht="20.25" hidden="1" customHeight="1" x14ac:dyDescent="0.25"/>
    <row r="302" customFormat="1" ht="20.25" hidden="1" customHeight="1" x14ac:dyDescent="0.25"/>
    <row r="303" customFormat="1" ht="20.25" hidden="1" customHeight="1" x14ac:dyDescent="0.25"/>
    <row r="304" customFormat="1" ht="20.25" hidden="1" customHeight="1" x14ac:dyDescent="0.25"/>
    <row r="305" customFormat="1" ht="20.25" hidden="1" customHeight="1" x14ac:dyDescent="0.25"/>
    <row r="306" customFormat="1" ht="20.25" hidden="1" customHeight="1" x14ac:dyDescent="0.25"/>
    <row r="307" customFormat="1" ht="20.25" hidden="1" customHeight="1" x14ac:dyDescent="0.25"/>
    <row r="308" customFormat="1" ht="20.25" hidden="1" customHeight="1" x14ac:dyDescent="0.25"/>
    <row r="309" customFormat="1" ht="20.25" hidden="1" customHeight="1" x14ac:dyDescent="0.25"/>
    <row r="310" customFormat="1" ht="20.25" hidden="1" customHeight="1" x14ac:dyDescent="0.25"/>
    <row r="311" customFormat="1" ht="20.25" hidden="1" customHeight="1" x14ac:dyDescent="0.25"/>
    <row r="312" customFormat="1" ht="20.25" hidden="1" customHeight="1" x14ac:dyDescent="0.25"/>
    <row r="313" customFormat="1" ht="20.25" hidden="1" customHeight="1" x14ac:dyDescent="0.25"/>
    <row r="314" customFormat="1" ht="20.25" hidden="1" customHeight="1" x14ac:dyDescent="0.25"/>
    <row r="315" customFormat="1" ht="20.25" hidden="1" customHeight="1" x14ac:dyDescent="0.25"/>
    <row r="316" customFormat="1" ht="20.25" hidden="1" customHeight="1" x14ac:dyDescent="0.25"/>
    <row r="317" customFormat="1" ht="20.25" hidden="1" customHeight="1" x14ac:dyDescent="0.25"/>
    <row r="318" customFormat="1" ht="20.25" hidden="1" customHeight="1" x14ac:dyDescent="0.25"/>
    <row r="319" customFormat="1" ht="20.25" hidden="1" customHeight="1" x14ac:dyDescent="0.25"/>
    <row r="320" customFormat="1" ht="20.25" hidden="1" customHeight="1" x14ac:dyDescent="0.25"/>
    <row r="321" customFormat="1" ht="20.25" hidden="1" customHeight="1" x14ac:dyDescent="0.25"/>
    <row r="322" customFormat="1" ht="20.25" hidden="1" customHeight="1" x14ac:dyDescent="0.25"/>
    <row r="323" customFormat="1" ht="20.25" hidden="1" customHeight="1" x14ac:dyDescent="0.25"/>
    <row r="324" customFormat="1" ht="20.25" hidden="1" customHeight="1" x14ac:dyDescent="0.25"/>
    <row r="325" customFormat="1" ht="20.25" hidden="1" customHeight="1" x14ac:dyDescent="0.25"/>
    <row r="326" customFormat="1" ht="20.25" hidden="1" customHeight="1" x14ac:dyDescent="0.25"/>
    <row r="327" customFormat="1" ht="20.25" hidden="1" customHeight="1" x14ac:dyDescent="0.25"/>
    <row r="328" customFormat="1" ht="20.25" hidden="1" customHeight="1" x14ac:dyDescent="0.25"/>
    <row r="329" customFormat="1" ht="20.25" hidden="1" customHeight="1" x14ac:dyDescent="0.25"/>
    <row r="330" customFormat="1" ht="20.25" hidden="1" customHeight="1" x14ac:dyDescent="0.25"/>
    <row r="331" customFormat="1" ht="20.25" hidden="1" customHeight="1" x14ac:dyDescent="0.25"/>
    <row r="332" customFormat="1" ht="20.25" hidden="1" customHeight="1" x14ac:dyDescent="0.25"/>
    <row r="333" customFormat="1" ht="20.25" hidden="1" customHeight="1" x14ac:dyDescent="0.25"/>
    <row r="334" customFormat="1" ht="20.25" hidden="1" customHeight="1" x14ac:dyDescent="0.25"/>
    <row r="335" customFormat="1" ht="20.25" hidden="1" customHeight="1" x14ac:dyDescent="0.25"/>
    <row r="336" customFormat="1" ht="20.25" hidden="1" customHeight="1" x14ac:dyDescent="0.25"/>
    <row r="337" customFormat="1" ht="20.25" hidden="1" customHeight="1" x14ac:dyDescent="0.25"/>
    <row r="338" customFormat="1" ht="20.25" hidden="1" customHeight="1" x14ac:dyDescent="0.25"/>
    <row r="339" customFormat="1" ht="20.25" hidden="1" customHeight="1" x14ac:dyDescent="0.25"/>
    <row r="340" customFormat="1" ht="20.25" hidden="1" customHeight="1" x14ac:dyDescent="0.25"/>
    <row r="341" customFormat="1" ht="20.25" hidden="1" customHeight="1" x14ac:dyDescent="0.25"/>
    <row r="342" customFormat="1" ht="20.25" hidden="1" customHeight="1" x14ac:dyDescent="0.25"/>
    <row r="343" customFormat="1" ht="20.25" hidden="1" customHeight="1" x14ac:dyDescent="0.25"/>
    <row r="344" customFormat="1" ht="20.25" hidden="1" customHeight="1" x14ac:dyDescent="0.25"/>
    <row r="345" customFormat="1" ht="20.25" hidden="1" customHeight="1" x14ac:dyDescent="0.25"/>
    <row r="346" customFormat="1" ht="20.25" hidden="1" customHeight="1" x14ac:dyDescent="0.25"/>
    <row r="347" customFormat="1" ht="20.25" hidden="1" customHeight="1" x14ac:dyDescent="0.25"/>
    <row r="348" customFormat="1" ht="20.25" hidden="1" customHeight="1" x14ac:dyDescent="0.25"/>
    <row r="349" customFormat="1" ht="20.25" hidden="1" customHeight="1" x14ac:dyDescent="0.25"/>
    <row r="350" customFormat="1" ht="20.25" hidden="1" customHeight="1" x14ac:dyDescent="0.25"/>
    <row r="351" customFormat="1" ht="20.25" hidden="1" customHeight="1" x14ac:dyDescent="0.25"/>
    <row r="352" customFormat="1" ht="20.25" hidden="1" customHeight="1" x14ac:dyDescent="0.25"/>
    <row r="353" customFormat="1" ht="20.25" hidden="1" customHeight="1" x14ac:dyDescent="0.25"/>
    <row r="354" customFormat="1" ht="20.25" hidden="1" customHeight="1" x14ac:dyDescent="0.25"/>
    <row r="355" customFormat="1" ht="20.25" hidden="1" customHeight="1" x14ac:dyDescent="0.25"/>
    <row r="356" customFormat="1" ht="20.25" hidden="1" customHeight="1" x14ac:dyDescent="0.25"/>
    <row r="357" customFormat="1" ht="20.25" hidden="1" customHeight="1" x14ac:dyDescent="0.25"/>
    <row r="358" customFormat="1" ht="20.25" hidden="1" customHeight="1" x14ac:dyDescent="0.25"/>
    <row r="359" customFormat="1" ht="20.25" hidden="1" customHeight="1" x14ac:dyDescent="0.25"/>
    <row r="360" customFormat="1" ht="20.25" hidden="1" customHeight="1" x14ac:dyDescent="0.25"/>
    <row r="361" customFormat="1" ht="20.25" hidden="1" customHeight="1" x14ac:dyDescent="0.25"/>
    <row r="362" customFormat="1" ht="20.25" hidden="1" customHeight="1" x14ac:dyDescent="0.25"/>
    <row r="363" customFormat="1" ht="20.25" hidden="1" customHeight="1" x14ac:dyDescent="0.25"/>
    <row r="364" customFormat="1" ht="20.25" hidden="1" customHeight="1" x14ac:dyDescent="0.25"/>
    <row r="365" customFormat="1" ht="20.25" hidden="1" customHeight="1" x14ac:dyDescent="0.25"/>
    <row r="366" customFormat="1" ht="20.25" hidden="1" customHeight="1" x14ac:dyDescent="0.25"/>
    <row r="367" customFormat="1" ht="20.25" hidden="1" customHeight="1" x14ac:dyDescent="0.25"/>
    <row r="368" customFormat="1" ht="20.25" hidden="1" customHeight="1" x14ac:dyDescent="0.25"/>
    <row r="369" customFormat="1" ht="20.25" hidden="1" customHeight="1" x14ac:dyDescent="0.25"/>
    <row r="370" customFormat="1" ht="20.25" hidden="1" customHeight="1" x14ac:dyDescent="0.25"/>
    <row r="371" customFormat="1" ht="20.25" hidden="1" customHeight="1" x14ac:dyDescent="0.25"/>
    <row r="372" customFormat="1" ht="20.25" hidden="1" customHeight="1" x14ac:dyDescent="0.25"/>
    <row r="373" customFormat="1" ht="20.25" hidden="1" customHeight="1" x14ac:dyDescent="0.25"/>
    <row r="374" customFormat="1" ht="20.25" hidden="1" customHeight="1" x14ac:dyDescent="0.25"/>
    <row r="375" customFormat="1" ht="20.25" hidden="1" customHeight="1" x14ac:dyDescent="0.25"/>
    <row r="376" customFormat="1" ht="20.25" hidden="1" customHeight="1" x14ac:dyDescent="0.25"/>
    <row r="377" customFormat="1" ht="20.25" hidden="1" customHeight="1" x14ac:dyDescent="0.25"/>
    <row r="378" customFormat="1" ht="20.25" hidden="1" customHeight="1" x14ac:dyDescent="0.25"/>
    <row r="379" customFormat="1" ht="20.25" hidden="1" customHeight="1" x14ac:dyDescent="0.25"/>
    <row r="380" customFormat="1" ht="20.25" hidden="1" customHeight="1" x14ac:dyDescent="0.25"/>
    <row r="381" customFormat="1" ht="20.25" hidden="1" customHeight="1" x14ac:dyDescent="0.25"/>
    <row r="382" customFormat="1" ht="20.25" hidden="1" customHeight="1" x14ac:dyDescent="0.25"/>
    <row r="383" customFormat="1" ht="20.25" hidden="1" customHeight="1" x14ac:dyDescent="0.25"/>
    <row r="384" customFormat="1" ht="20.25" hidden="1" customHeight="1" x14ac:dyDescent="0.25"/>
    <row r="385" customFormat="1" ht="20.25" hidden="1" customHeight="1" x14ac:dyDescent="0.25"/>
    <row r="386" customFormat="1" ht="20.25" hidden="1" customHeight="1" x14ac:dyDescent="0.25"/>
    <row r="387" customFormat="1" ht="20.25" hidden="1" customHeight="1" x14ac:dyDescent="0.25"/>
    <row r="388" customFormat="1" ht="20.25" hidden="1" customHeight="1" x14ac:dyDescent="0.25"/>
    <row r="389" customFormat="1" ht="20.25" hidden="1" customHeight="1" x14ac:dyDescent="0.25"/>
    <row r="390" customFormat="1" ht="20.25" hidden="1" customHeight="1" x14ac:dyDescent="0.25"/>
    <row r="391" customFormat="1" ht="20.25" hidden="1" customHeight="1" x14ac:dyDescent="0.25"/>
    <row r="392" customFormat="1" ht="20.25" hidden="1" customHeight="1" x14ac:dyDescent="0.25"/>
    <row r="393" customFormat="1" ht="20.25" hidden="1" customHeight="1" x14ac:dyDescent="0.25"/>
    <row r="394" customFormat="1" ht="20.25" hidden="1" customHeight="1" x14ac:dyDescent="0.25"/>
    <row r="395" customFormat="1" ht="20.25" hidden="1" customHeight="1" x14ac:dyDescent="0.25"/>
    <row r="396" customFormat="1" ht="20.25" hidden="1" customHeight="1" x14ac:dyDescent="0.25"/>
    <row r="397" customFormat="1" ht="20.25" hidden="1" customHeight="1" x14ac:dyDescent="0.25"/>
    <row r="398" customFormat="1" ht="20.25" hidden="1" customHeight="1" x14ac:dyDescent="0.25"/>
    <row r="399" customFormat="1" ht="20.25" hidden="1" customHeight="1" x14ac:dyDescent="0.25"/>
    <row r="400" customFormat="1" ht="20.25" hidden="1" customHeight="1" x14ac:dyDescent="0.25"/>
    <row r="401" customFormat="1" ht="20.25" hidden="1" customHeight="1" x14ac:dyDescent="0.25"/>
    <row r="402" customFormat="1" ht="20.25" hidden="1" customHeight="1" x14ac:dyDescent="0.25"/>
    <row r="403" customFormat="1" ht="20.25" hidden="1" customHeight="1" x14ac:dyDescent="0.25"/>
    <row r="404" customFormat="1" ht="20.25" hidden="1" customHeight="1" x14ac:dyDescent="0.25"/>
    <row r="405" customFormat="1" ht="20.25" hidden="1" customHeight="1" x14ac:dyDescent="0.25"/>
    <row r="406" customFormat="1" ht="20.25" hidden="1" customHeight="1" x14ac:dyDescent="0.25"/>
    <row r="407" customFormat="1" ht="20.25" hidden="1" customHeight="1" x14ac:dyDescent="0.25"/>
    <row r="408" customFormat="1" ht="20.25" hidden="1" customHeight="1" x14ac:dyDescent="0.25"/>
    <row r="409" customFormat="1" ht="20.25" hidden="1" customHeight="1" x14ac:dyDescent="0.25"/>
    <row r="410" customFormat="1" ht="20.25" hidden="1" customHeight="1" x14ac:dyDescent="0.25"/>
    <row r="411" customFormat="1" ht="20.25" hidden="1" customHeight="1" x14ac:dyDescent="0.25"/>
    <row r="412" customFormat="1" ht="20.25" hidden="1" customHeight="1" x14ac:dyDescent="0.25"/>
    <row r="413" customFormat="1" ht="20.25" hidden="1" customHeight="1" x14ac:dyDescent="0.25"/>
    <row r="414" customFormat="1" ht="20.25" hidden="1" customHeight="1" x14ac:dyDescent="0.25"/>
    <row r="415" customFormat="1" ht="20.25" hidden="1" customHeight="1" x14ac:dyDescent="0.25"/>
    <row r="416" customFormat="1" ht="20.25" hidden="1" customHeight="1" x14ac:dyDescent="0.25"/>
    <row r="417" customFormat="1" ht="20.25" hidden="1" customHeight="1" x14ac:dyDescent="0.25"/>
    <row r="418" customFormat="1" ht="20.25" hidden="1" customHeight="1" x14ac:dyDescent="0.25"/>
    <row r="419" customFormat="1" ht="20.25" hidden="1" customHeight="1" x14ac:dyDescent="0.25"/>
    <row r="420" customFormat="1" ht="20.25" hidden="1" customHeight="1" x14ac:dyDescent="0.25"/>
    <row r="421" customFormat="1" ht="20.25" hidden="1" customHeight="1" x14ac:dyDescent="0.25"/>
    <row r="422" customFormat="1" ht="20.25" hidden="1" customHeight="1" x14ac:dyDescent="0.25"/>
    <row r="423" customFormat="1" ht="20.25" hidden="1" customHeight="1" x14ac:dyDescent="0.25"/>
    <row r="424" customFormat="1" ht="20.25" hidden="1" customHeight="1" x14ac:dyDescent="0.25"/>
    <row r="425" customFormat="1" ht="20.25" hidden="1" customHeight="1" x14ac:dyDescent="0.25"/>
    <row r="426" customFormat="1" ht="20.25" hidden="1" customHeight="1" x14ac:dyDescent="0.25"/>
    <row r="427" customFormat="1" ht="20.25" hidden="1" customHeight="1" x14ac:dyDescent="0.25"/>
    <row r="428" customFormat="1" ht="20.25" hidden="1" customHeight="1" x14ac:dyDescent="0.25"/>
    <row r="429" customFormat="1" ht="20.25" hidden="1" customHeight="1" x14ac:dyDescent="0.25"/>
    <row r="430" customFormat="1" ht="20.25" hidden="1" customHeight="1" x14ac:dyDescent="0.25"/>
    <row r="431" customFormat="1" ht="20.25" hidden="1" customHeight="1" x14ac:dyDescent="0.25"/>
    <row r="432" customFormat="1" ht="20.25" hidden="1" customHeight="1" x14ac:dyDescent="0.25"/>
    <row r="433" customFormat="1" ht="20.25" hidden="1" customHeight="1" x14ac:dyDescent="0.25"/>
    <row r="434" customFormat="1" ht="20.25" hidden="1" customHeight="1" x14ac:dyDescent="0.25"/>
    <row r="435" customFormat="1" ht="20.25" hidden="1" customHeight="1" x14ac:dyDescent="0.25"/>
    <row r="436" customFormat="1" ht="20.25" hidden="1" customHeight="1" x14ac:dyDescent="0.25"/>
    <row r="437" customFormat="1" ht="20.25" hidden="1" customHeight="1" x14ac:dyDescent="0.25"/>
    <row r="438" customFormat="1" ht="20.25" hidden="1" customHeight="1" x14ac:dyDescent="0.25"/>
    <row r="439" customFormat="1" ht="20.25" hidden="1" customHeight="1" x14ac:dyDescent="0.25"/>
    <row r="440" customFormat="1" ht="20.25" hidden="1" customHeight="1" x14ac:dyDescent="0.25"/>
    <row r="441" customFormat="1" ht="20.25" hidden="1" customHeight="1" x14ac:dyDescent="0.25"/>
    <row r="442" customFormat="1" ht="20.25" hidden="1" customHeight="1" x14ac:dyDescent="0.25"/>
    <row r="443" customFormat="1" ht="20.25" hidden="1" customHeight="1" x14ac:dyDescent="0.25"/>
    <row r="444" customFormat="1" ht="20.25" hidden="1" customHeight="1" x14ac:dyDescent="0.25"/>
    <row r="445" customFormat="1" ht="20.25" hidden="1" customHeight="1" x14ac:dyDescent="0.25"/>
    <row r="446" customFormat="1" ht="20.25" hidden="1" customHeight="1" x14ac:dyDescent="0.25"/>
    <row r="447" customFormat="1" ht="20.25" hidden="1" customHeight="1" x14ac:dyDescent="0.25"/>
    <row r="448" customFormat="1" ht="20.25" hidden="1" customHeight="1" x14ac:dyDescent="0.25"/>
    <row r="449" customFormat="1" ht="20.25" hidden="1" customHeight="1" x14ac:dyDescent="0.25"/>
    <row r="450" customFormat="1" ht="20.25" hidden="1" customHeight="1" x14ac:dyDescent="0.25"/>
    <row r="451" customFormat="1" ht="20.25" hidden="1" customHeight="1" x14ac:dyDescent="0.25"/>
    <row r="452" customFormat="1" ht="20.25" hidden="1" customHeight="1" x14ac:dyDescent="0.25"/>
    <row r="453" customFormat="1" ht="20.25" hidden="1" customHeight="1" x14ac:dyDescent="0.25"/>
    <row r="454" customFormat="1" ht="20.25" hidden="1" customHeight="1" x14ac:dyDescent="0.25"/>
    <row r="455" customFormat="1" ht="20.25" hidden="1" customHeight="1" x14ac:dyDescent="0.25"/>
    <row r="456" customFormat="1" ht="20.25" hidden="1" customHeight="1" x14ac:dyDescent="0.25"/>
    <row r="457" customFormat="1" ht="20.25" hidden="1" customHeight="1" x14ac:dyDescent="0.25"/>
    <row r="458" customFormat="1" ht="20.25" hidden="1" customHeight="1" x14ac:dyDescent="0.25"/>
    <row r="459" customFormat="1" ht="20.25" hidden="1" customHeight="1" x14ac:dyDescent="0.25"/>
    <row r="460" customFormat="1" ht="20.25" hidden="1" customHeight="1" x14ac:dyDescent="0.25"/>
    <row r="461" customFormat="1" ht="20.25" hidden="1" customHeight="1" x14ac:dyDescent="0.25"/>
    <row r="462" customFormat="1" ht="20.25" hidden="1" customHeight="1" x14ac:dyDescent="0.25"/>
    <row r="463" customFormat="1" ht="20.25" hidden="1" customHeight="1" x14ac:dyDescent="0.25"/>
    <row r="464" customFormat="1" ht="20.25" hidden="1" customHeight="1" x14ac:dyDescent="0.25"/>
    <row r="465" customFormat="1" ht="20.25" hidden="1" customHeight="1" x14ac:dyDescent="0.25"/>
    <row r="466" customFormat="1" ht="20.25" hidden="1" customHeight="1" x14ac:dyDescent="0.25"/>
    <row r="467" customFormat="1" ht="20.25" hidden="1" customHeight="1" x14ac:dyDescent="0.25"/>
    <row r="468" customFormat="1" ht="20.25" hidden="1" customHeight="1" x14ac:dyDescent="0.25"/>
    <row r="469" customFormat="1" ht="20.25" hidden="1" customHeight="1" x14ac:dyDescent="0.25"/>
    <row r="470" customFormat="1" ht="20.25" hidden="1" customHeight="1" x14ac:dyDescent="0.25"/>
    <row r="471" customFormat="1" ht="20.25" hidden="1" customHeight="1" x14ac:dyDescent="0.25"/>
    <row r="472" customFormat="1" ht="20.25" hidden="1" customHeight="1" x14ac:dyDescent="0.25"/>
    <row r="473" customFormat="1" ht="20.25" hidden="1" customHeight="1" x14ac:dyDescent="0.25"/>
    <row r="474" customFormat="1" ht="20.25" hidden="1" customHeight="1" x14ac:dyDescent="0.25"/>
    <row r="475" customFormat="1" ht="20.25" hidden="1" customHeight="1" x14ac:dyDescent="0.25"/>
    <row r="476" customFormat="1" ht="20.25" hidden="1" customHeight="1" x14ac:dyDescent="0.25"/>
    <row r="477" customFormat="1" ht="20.25" hidden="1" customHeight="1" x14ac:dyDescent="0.25"/>
    <row r="478" customFormat="1" ht="20.25" hidden="1" customHeight="1" x14ac:dyDescent="0.25"/>
    <row r="479" customFormat="1" ht="20.25" hidden="1" customHeight="1" x14ac:dyDescent="0.25"/>
    <row r="480" customFormat="1" ht="20.25" hidden="1" customHeight="1" x14ac:dyDescent="0.25"/>
    <row r="481" customFormat="1" ht="20.25" hidden="1" customHeight="1" x14ac:dyDescent="0.25"/>
    <row r="482" customFormat="1" ht="20.25" hidden="1" customHeight="1" x14ac:dyDescent="0.25"/>
    <row r="483" customFormat="1" ht="20.25" hidden="1" customHeight="1" x14ac:dyDescent="0.25"/>
    <row r="484" customFormat="1" ht="20.25" hidden="1" customHeight="1" x14ac:dyDescent="0.25"/>
    <row r="485" customFormat="1" ht="20.25" hidden="1" customHeight="1" x14ac:dyDescent="0.25"/>
    <row r="486" customFormat="1" ht="20.25" hidden="1" customHeight="1" x14ac:dyDescent="0.25"/>
    <row r="487" customFormat="1" ht="20.25" hidden="1" customHeight="1" x14ac:dyDescent="0.25"/>
    <row r="488" customFormat="1" ht="20.25" hidden="1" customHeight="1" x14ac:dyDescent="0.25"/>
    <row r="489" customFormat="1" ht="20.25" hidden="1" customHeight="1" x14ac:dyDescent="0.25"/>
    <row r="490" customFormat="1" ht="20.25" hidden="1" customHeight="1" x14ac:dyDescent="0.25"/>
    <row r="491" customFormat="1" ht="20.25" hidden="1" customHeight="1" x14ac:dyDescent="0.25"/>
    <row r="492" customFormat="1" ht="20.25" hidden="1" customHeight="1" x14ac:dyDescent="0.25"/>
    <row r="493" customFormat="1" ht="20.25" hidden="1" customHeight="1" x14ac:dyDescent="0.25"/>
    <row r="494" customFormat="1" ht="20.25" hidden="1" customHeight="1" x14ac:dyDescent="0.25"/>
    <row r="495" customFormat="1" ht="20.25" hidden="1" customHeight="1" x14ac:dyDescent="0.25"/>
    <row r="496" customFormat="1" ht="20.25" hidden="1" customHeight="1" x14ac:dyDescent="0.25"/>
    <row r="497" customFormat="1" ht="20.25" hidden="1" customHeight="1" x14ac:dyDescent="0.25"/>
    <row r="498" customFormat="1" ht="20.25" hidden="1" customHeight="1" x14ac:dyDescent="0.25"/>
    <row r="499" customFormat="1" ht="20.25" hidden="1" customHeight="1" x14ac:dyDescent="0.25"/>
    <row r="500" customFormat="1" ht="20.25" hidden="1" customHeight="1" x14ac:dyDescent="0.25"/>
    <row r="501" customFormat="1" ht="20.25" hidden="1" customHeight="1" x14ac:dyDescent="0.25"/>
    <row r="502" customFormat="1" ht="20.25" hidden="1" customHeight="1" x14ac:dyDescent="0.25"/>
    <row r="503" customFormat="1" ht="20.25" hidden="1" customHeight="1" x14ac:dyDescent="0.25"/>
    <row r="504" customFormat="1" ht="20.25" hidden="1" customHeight="1" x14ac:dyDescent="0.25"/>
    <row r="505" customFormat="1" ht="20.25" hidden="1" customHeight="1" x14ac:dyDescent="0.25"/>
    <row r="506" customFormat="1" ht="20.25" hidden="1" customHeight="1" x14ac:dyDescent="0.25"/>
    <row r="507" customFormat="1" ht="20.25" hidden="1" customHeight="1" x14ac:dyDescent="0.25"/>
    <row r="508" customFormat="1" ht="20.25" hidden="1" customHeight="1" x14ac:dyDescent="0.25"/>
    <row r="509" customFormat="1" ht="20.25" hidden="1" customHeight="1" x14ac:dyDescent="0.25"/>
    <row r="510" customFormat="1" ht="20.25" hidden="1" customHeight="1" x14ac:dyDescent="0.25"/>
    <row r="511" customFormat="1" ht="20.25" hidden="1" customHeight="1" x14ac:dyDescent="0.25"/>
    <row r="512" customFormat="1" ht="20.25" hidden="1" customHeight="1" x14ac:dyDescent="0.25"/>
    <row r="513" customFormat="1" ht="20.25" hidden="1" customHeight="1" x14ac:dyDescent="0.25"/>
    <row r="514" customFormat="1" ht="20.25" hidden="1" customHeight="1" x14ac:dyDescent="0.25"/>
    <row r="515" customFormat="1" ht="20.25" hidden="1" customHeight="1" x14ac:dyDescent="0.25"/>
    <row r="516" customFormat="1" ht="20.25" hidden="1" customHeight="1" x14ac:dyDescent="0.25"/>
    <row r="517" customFormat="1" ht="20.25" hidden="1" customHeight="1" x14ac:dyDescent="0.25"/>
    <row r="518" customFormat="1" ht="20.25" hidden="1" customHeight="1" x14ac:dyDescent="0.25"/>
    <row r="519" customFormat="1" ht="20.25" hidden="1" customHeight="1" x14ac:dyDescent="0.25"/>
    <row r="520" customFormat="1" ht="20.25" hidden="1" customHeight="1" x14ac:dyDescent="0.25"/>
    <row r="521" customFormat="1" ht="20.25" hidden="1" customHeight="1" x14ac:dyDescent="0.25"/>
    <row r="522" customFormat="1" ht="20.25" hidden="1" customHeight="1" x14ac:dyDescent="0.25"/>
    <row r="523" customFormat="1" ht="20.25" hidden="1" customHeight="1" x14ac:dyDescent="0.25"/>
    <row r="524" customFormat="1" ht="20.25" hidden="1" customHeight="1" x14ac:dyDescent="0.25"/>
    <row r="525" customFormat="1" ht="20.25" hidden="1" customHeight="1" x14ac:dyDescent="0.25"/>
    <row r="526" customFormat="1" ht="20.25" hidden="1" customHeight="1" x14ac:dyDescent="0.25"/>
    <row r="527" customFormat="1" ht="20.25" hidden="1" customHeight="1" x14ac:dyDescent="0.25"/>
    <row r="528" customFormat="1" ht="20.25" hidden="1" customHeight="1" x14ac:dyDescent="0.25"/>
    <row r="529" customFormat="1" ht="20.25" hidden="1" customHeight="1" x14ac:dyDescent="0.25"/>
    <row r="530" customFormat="1" ht="20.25" hidden="1" customHeight="1" x14ac:dyDescent="0.25"/>
    <row r="531" customFormat="1" ht="20.25" hidden="1" customHeight="1" x14ac:dyDescent="0.25"/>
    <row r="532" customFormat="1" ht="20.25" hidden="1" customHeight="1" x14ac:dyDescent="0.25"/>
    <row r="533" customFormat="1" ht="20.25" hidden="1" customHeight="1" x14ac:dyDescent="0.25"/>
    <row r="534" customFormat="1" ht="20.25" hidden="1" customHeight="1" x14ac:dyDescent="0.25"/>
    <row r="535" customFormat="1" ht="20.25" hidden="1" customHeight="1" x14ac:dyDescent="0.25"/>
    <row r="536" customFormat="1" ht="20.25" hidden="1" customHeight="1" x14ac:dyDescent="0.25"/>
    <row r="537" customFormat="1" ht="20.25" hidden="1" customHeight="1" x14ac:dyDescent="0.25"/>
    <row r="538" customFormat="1" ht="20.25" hidden="1" customHeight="1" x14ac:dyDescent="0.25"/>
    <row r="539" customFormat="1" ht="20.25" hidden="1" customHeight="1" x14ac:dyDescent="0.25"/>
    <row r="540" customFormat="1" ht="20.25" hidden="1" customHeight="1" x14ac:dyDescent="0.25"/>
    <row r="541" customFormat="1" ht="20.25" hidden="1" customHeight="1" x14ac:dyDescent="0.25"/>
    <row r="542" customFormat="1" ht="20.25" hidden="1" customHeight="1" x14ac:dyDescent="0.25"/>
    <row r="543" customFormat="1" ht="20.25" hidden="1" customHeight="1" x14ac:dyDescent="0.25"/>
    <row r="544" customFormat="1" ht="20.25" hidden="1" customHeight="1" x14ac:dyDescent="0.25"/>
    <row r="545" customFormat="1" ht="20.25" hidden="1" customHeight="1" x14ac:dyDescent="0.25"/>
    <row r="546" customFormat="1" ht="20.25" hidden="1" customHeight="1" x14ac:dyDescent="0.25"/>
    <row r="547" customFormat="1" ht="20.25" hidden="1" customHeight="1" x14ac:dyDescent="0.25"/>
    <row r="548" customFormat="1" ht="20.25" hidden="1" customHeight="1" x14ac:dyDescent="0.25"/>
    <row r="549" customFormat="1" ht="20.25" hidden="1" customHeight="1" x14ac:dyDescent="0.25"/>
    <row r="550" customFormat="1" ht="20.25" hidden="1" customHeight="1" x14ac:dyDescent="0.25"/>
    <row r="551" customFormat="1" ht="20.25" hidden="1" customHeight="1" x14ac:dyDescent="0.25"/>
    <row r="552" customFormat="1" ht="20.25" hidden="1" customHeight="1" x14ac:dyDescent="0.25"/>
    <row r="553" customFormat="1" ht="20.25" hidden="1" customHeight="1" x14ac:dyDescent="0.25"/>
    <row r="554" customFormat="1" ht="20.25" hidden="1" customHeight="1" x14ac:dyDescent="0.25"/>
    <row r="555" customFormat="1" ht="20.25" hidden="1" customHeight="1" x14ac:dyDescent="0.25"/>
    <row r="556" customFormat="1" ht="20.25" hidden="1" customHeight="1" x14ac:dyDescent="0.25"/>
    <row r="557" customFormat="1" ht="20.25" hidden="1" customHeight="1" x14ac:dyDescent="0.25"/>
    <row r="558" customFormat="1" ht="20.25" hidden="1" customHeight="1" x14ac:dyDescent="0.25"/>
    <row r="559" customFormat="1" ht="20.25" hidden="1" customHeight="1" x14ac:dyDescent="0.25"/>
    <row r="560" customFormat="1" ht="20.25" hidden="1" customHeight="1" x14ac:dyDescent="0.25"/>
    <row r="561" customFormat="1" ht="20.25" hidden="1" customHeight="1" x14ac:dyDescent="0.25"/>
    <row r="562" customFormat="1" ht="20.25" hidden="1" customHeight="1" x14ac:dyDescent="0.25"/>
    <row r="563" customFormat="1" ht="20.25" hidden="1" customHeight="1" x14ac:dyDescent="0.25"/>
    <row r="564" customFormat="1" ht="20.25" hidden="1" customHeight="1" x14ac:dyDescent="0.25"/>
    <row r="565" customFormat="1" ht="20.25" hidden="1" customHeight="1" x14ac:dyDescent="0.25"/>
    <row r="566" customFormat="1" ht="20.25" hidden="1" customHeight="1" x14ac:dyDescent="0.25"/>
    <row r="567" customFormat="1" ht="20.25" hidden="1" customHeight="1" x14ac:dyDescent="0.25"/>
    <row r="568" customFormat="1" ht="20.25" hidden="1" customHeight="1" x14ac:dyDescent="0.25"/>
    <row r="569" customFormat="1" ht="20.25" hidden="1" customHeight="1" x14ac:dyDescent="0.25"/>
    <row r="570" customFormat="1" ht="20.25" hidden="1" customHeight="1" x14ac:dyDescent="0.25"/>
    <row r="571" customFormat="1" ht="20.25" hidden="1" customHeight="1" x14ac:dyDescent="0.25"/>
    <row r="572" customFormat="1" ht="20.25" hidden="1" customHeight="1" x14ac:dyDescent="0.25"/>
    <row r="573" customFormat="1" ht="20.25" hidden="1" customHeight="1" x14ac:dyDescent="0.25"/>
    <row r="574" customFormat="1" ht="20.25" hidden="1" customHeight="1" x14ac:dyDescent="0.25"/>
    <row r="575" customFormat="1" ht="20.25" hidden="1" customHeight="1" x14ac:dyDescent="0.25"/>
    <row r="576" customFormat="1" ht="20.25" hidden="1" customHeight="1" x14ac:dyDescent="0.25"/>
    <row r="577" customFormat="1" ht="20.25" hidden="1" customHeight="1" x14ac:dyDescent="0.25"/>
    <row r="578" customFormat="1" ht="20.25" hidden="1" customHeight="1" x14ac:dyDescent="0.25"/>
    <row r="579" customFormat="1" ht="20.25" hidden="1" customHeight="1" x14ac:dyDescent="0.25"/>
    <row r="580" customFormat="1" ht="20.25" hidden="1" customHeight="1" x14ac:dyDescent="0.25"/>
    <row r="581" customFormat="1" ht="20.25" hidden="1" customHeight="1" x14ac:dyDescent="0.25"/>
    <row r="582" customFormat="1" ht="20.25" hidden="1" customHeight="1" x14ac:dyDescent="0.25"/>
    <row r="583" customFormat="1" ht="20.25" hidden="1" customHeight="1" x14ac:dyDescent="0.25"/>
    <row r="584" customFormat="1" ht="20.25" hidden="1" customHeight="1" x14ac:dyDescent="0.25"/>
    <row r="585" customFormat="1" ht="20.25" hidden="1" customHeight="1" x14ac:dyDescent="0.25"/>
    <row r="586" customFormat="1" ht="20.25" hidden="1" customHeight="1" x14ac:dyDescent="0.25"/>
    <row r="587" customFormat="1" ht="20.25" hidden="1" customHeight="1" x14ac:dyDescent="0.25"/>
    <row r="588" customFormat="1" ht="20.25" hidden="1" customHeight="1" x14ac:dyDescent="0.25"/>
    <row r="589" customFormat="1" ht="20.25" hidden="1" customHeight="1" x14ac:dyDescent="0.25"/>
    <row r="590" customFormat="1" ht="20.25" hidden="1" customHeight="1" x14ac:dyDescent="0.25"/>
    <row r="591" customFormat="1" ht="20.25" hidden="1" customHeight="1" x14ac:dyDescent="0.25"/>
    <row r="592" customFormat="1" ht="20.25" hidden="1" customHeight="1" x14ac:dyDescent="0.25"/>
    <row r="593" customFormat="1" ht="20.25" hidden="1" customHeight="1" x14ac:dyDescent="0.25"/>
    <row r="594" customFormat="1" ht="20.25" hidden="1" customHeight="1" x14ac:dyDescent="0.25"/>
    <row r="595" customFormat="1" ht="20.25" hidden="1" customHeight="1" x14ac:dyDescent="0.25"/>
    <row r="596" customFormat="1" ht="20.25" hidden="1" customHeight="1" x14ac:dyDescent="0.25"/>
    <row r="597" customFormat="1" ht="20.25" hidden="1" customHeight="1" x14ac:dyDescent="0.25"/>
    <row r="598" customFormat="1" ht="20.25" hidden="1" customHeight="1" x14ac:dyDescent="0.25"/>
    <row r="599" customFormat="1" ht="20.25" hidden="1" customHeight="1" x14ac:dyDescent="0.25"/>
    <row r="600" customFormat="1" ht="20.25" hidden="1" customHeight="1" x14ac:dyDescent="0.25"/>
    <row r="601" customFormat="1" ht="20.25" hidden="1" customHeight="1" x14ac:dyDescent="0.25"/>
    <row r="602" customFormat="1" ht="20.25" hidden="1" customHeight="1" x14ac:dyDescent="0.25"/>
    <row r="603" customFormat="1" ht="20.25" hidden="1" customHeight="1" x14ac:dyDescent="0.25"/>
    <row r="604" customFormat="1" ht="20.25" hidden="1" customHeight="1" x14ac:dyDescent="0.25"/>
    <row r="605" customFormat="1" ht="20.25" hidden="1" customHeight="1" x14ac:dyDescent="0.25"/>
    <row r="606" customFormat="1" ht="20.25" hidden="1" customHeight="1" x14ac:dyDescent="0.25"/>
    <row r="607" customFormat="1" ht="20.25" hidden="1" customHeight="1" x14ac:dyDescent="0.25"/>
    <row r="608" customFormat="1" ht="20.25" hidden="1" customHeight="1" x14ac:dyDescent="0.25"/>
    <row r="609" customFormat="1" ht="20.25" hidden="1" customHeight="1" x14ac:dyDescent="0.25"/>
    <row r="610" customFormat="1" ht="20.25" hidden="1" customHeight="1" x14ac:dyDescent="0.25"/>
    <row r="611" customFormat="1" ht="20.25" hidden="1" customHeight="1" x14ac:dyDescent="0.25"/>
    <row r="612" customFormat="1" ht="20.25" hidden="1" customHeight="1" x14ac:dyDescent="0.25"/>
    <row r="613" customFormat="1" ht="20.25" hidden="1" customHeight="1" x14ac:dyDescent="0.25"/>
    <row r="614" customFormat="1" ht="20.25" hidden="1" customHeight="1" x14ac:dyDescent="0.25"/>
    <row r="615" customFormat="1" ht="20.25" hidden="1" customHeight="1" x14ac:dyDescent="0.25"/>
    <row r="616" customFormat="1" ht="20.25" hidden="1" customHeight="1" x14ac:dyDescent="0.25"/>
    <row r="617" customFormat="1" ht="20.25" hidden="1" customHeight="1" x14ac:dyDescent="0.25"/>
    <row r="618" customFormat="1" ht="20.25" hidden="1" customHeight="1" x14ac:dyDescent="0.25"/>
    <row r="619" customFormat="1" ht="20.25" hidden="1" customHeight="1" x14ac:dyDescent="0.25"/>
    <row r="620" customFormat="1" ht="20.25" hidden="1" customHeight="1" x14ac:dyDescent="0.25"/>
    <row r="621" customFormat="1" ht="20.25" hidden="1" customHeight="1" x14ac:dyDescent="0.25"/>
    <row r="622" customFormat="1" ht="20.25" hidden="1" customHeight="1" x14ac:dyDescent="0.25"/>
    <row r="623" customFormat="1" ht="20.25" hidden="1" customHeight="1" x14ac:dyDescent="0.25"/>
    <row r="624" customFormat="1" ht="20.25" hidden="1" customHeight="1" x14ac:dyDescent="0.25"/>
    <row r="625" customFormat="1" ht="20.25" hidden="1" customHeight="1" x14ac:dyDescent="0.25"/>
    <row r="626" customFormat="1" ht="20.25" hidden="1" customHeight="1" x14ac:dyDescent="0.25"/>
    <row r="627" customFormat="1" ht="20.25" hidden="1" customHeight="1" x14ac:dyDescent="0.25"/>
    <row r="628" customFormat="1" ht="20.25" hidden="1" customHeight="1" x14ac:dyDescent="0.25"/>
    <row r="629" customFormat="1" ht="20.25" hidden="1" customHeight="1" x14ac:dyDescent="0.25"/>
    <row r="630" customFormat="1" ht="20.25" hidden="1" customHeight="1" x14ac:dyDescent="0.25"/>
    <row r="631" customFormat="1" ht="20.25" hidden="1" customHeight="1" x14ac:dyDescent="0.25"/>
    <row r="632" customFormat="1" ht="20.25" hidden="1" customHeight="1" x14ac:dyDescent="0.25"/>
    <row r="633" customFormat="1" ht="20.25" hidden="1" customHeight="1" x14ac:dyDescent="0.25"/>
    <row r="634" customFormat="1" ht="20.25" hidden="1" customHeight="1" x14ac:dyDescent="0.25"/>
    <row r="635" customFormat="1" ht="20.25" hidden="1" customHeight="1" x14ac:dyDescent="0.25"/>
    <row r="636" customFormat="1" ht="20.25" hidden="1" customHeight="1" x14ac:dyDescent="0.25"/>
    <row r="637" customFormat="1" ht="20.25" hidden="1" customHeight="1" x14ac:dyDescent="0.25"/>
    <row r="638" customFormat="1" ht="20.25" hidden="1" customHeight="1" x14ac:dyDescent="0.25"/>
    <row r="639" customFormat="1" ht="20.25" hidden="1" customHeight="1" x14ac:dyDescent="0.25"/>
    <row r="640" customFormat="1" ht="20.25" hidden="1" customHeight="1" x14ac:dyDescent="0.25"/>
    <row r="641" customFormat="1" ht="20.25" hidden="1" customHeight="1" x14ac:dyDescent="0.25"/>
    <row r="642" customFormat="1" ht="20.25" hidden="1" customHeight="1" x14ac:dyDescent="0.25"/>
    <row r="643" customFormat="1" ht="20.25" hidden="1" customHeight="1" x14ac:dyDescent="0.25"/>
    <row r="644" customFormat="1" ht="20.25" hidden="1" customHeight="1" x14ac:dyDescent="0.25"/>
    <row r="645" customFormat="1" ht="20.25" hidden="1" customHeight="1" x14ac:dyDescent="0.25"/>
    <row r="646" customFormat="1" ht="20.25" hidden="1" customHeight="1" x14ac:dyDescent="0.25"/>
    <row r="647" customFormat="1" ht="20.25" hidden="1" customHeight="1" x14ac:dyDescent="0.25"/>
    <row r="648" customFormat="1" ht="20.25" hidden="1" customHeight="1" x14ac:dyDescent="0.25"/>
    <row r="649" customFormat="1" ht="20.25" hidden="1" customHeight="1" x14ac:dyDescent="0.25"/>
    <row r="650" customFormat="1" ht="20.25" hidden="1" customHeight="1" x14ac:dyDescent="0.25"/>
    <row r="651" customFormat="1" ht="20.25" hidden="1" customHeight="1" x14ac:dyDescent="0.25"/>
    <row r="652" customFormat="1" ht="20.25" hidden="1" customHeight="1" x14ac:dyDescent="0.25"/>
    <row r="653" customFormat="1" ht="20.25" hidden="1" customHeight="1" x14ac:dyDescent="0.25"/>
    <row r="654" customFormat="1" ht="20.25" hidden="1" customHeight="1" x14ac:dyDescent="0.25"/>
    <row r="655" customFormat="1" ht="20.25" hidden="1" customHeight="1" x14ac:dyDescent="0.25"/>
    <row r="656" customFormat="1" ht="20.25" hidden="1" customHeight="1" x14ac:dyDescent="0.25"/>
    <row r="657" customFormat="1" ht="20.25" hidden="1" customHeight="1" x14ac:dyDescent="0.25"/>
    <row r="658" customFormat="1" ht="20.25" hidden="1" customHeight="1" x14ac:dyDescent="0.25"/>
    <row r="659" customFormat="1" ht="20.25" hidden="1" customHeight="1" x14ac:dyDescent="0.25"/>
    <row r="660" customFormat="1" ht="20.25" hidden="1" customHeight="1" x14ac:dyDescent="0.25"/>
    <row r="661" customFormat="1" ht="20.25" hidden="1" customHeight="1" x14ac:dyDescent="0.25"/>
    <row r="662" customFormat="1" ht="20.25" hidden="1" customHeight="1" x14ac:dyDescent="0.25"/>
    <row r="663" customFormat="1" ht="20.25" hidden="1" customHeight="1" x14ac:dyDescent="0.25"/>
    <row r="664" customFormat="1" ht="20.25" hidden="1" customHeight="1" x14ac:dyDescent="0.25"/>
    <row r="665" customFormat="1" ht="20.25" hidden="1" customHeight="1" x14ac:dyDescent="0.25"/>
    <row r="666" customFormat="1" ht="20.25" hidden="1" customHeight="1" x14ac:dyDescent="0.25"/>
    <row r="667" customFormat="1" ht="20.25" hidden="1" customHeight="1" x14ac:dyDescent="0.25"/>
    <row r="668" customFormat="1" ht="20.25" hidden="1" customHeight="1" x14ac:dyDescent="0.25"/>
    <row r="669" customFormat="1" ht="20.25" hidden="1" customHeight="1" x14ac:dyDescent="0.25"/>
    <row r="670" customFormat="1" ht="20.25" hidden="1" customHeight="1" x14ac:dyDescent="0.25"/>
    <row r="671" customFormat="1" ht="20.25" hidden="1" customHeight="1" x14ac:dyDescent="0.25"/>
    <row r="672" customFormat="1" ht="20.25" hidden="1" customHeight="1" x14ac:dyDescent="0.25"/>
    <row r="673" customFormat="1" ht="20.25" hidden="1" customHeight="1" x14ac:dyDescent="0.25"/>
    <row r="674" customFormat="1" ht="20.25" hidden="1" customHeight="1" x14ac:dyDescent="0.25"/>
    <row r="675" customFormat="1" ht="20.25" hidden="1" customHeight="1" x14ac:dyDescent="0.25"/>
    <row r="676" customFormat="1" ht="20.25" hidden="1" customHeight="1" x14ac:dyDescent="0.25"/>
    <row r="677" customFormat="1" ht="20.25" hidden="1" customHeight="1" x14ac:dyDescent="0.25"/>
    <row r="678" customFormat="1" ht="20.25" hidden="1" customHeight="1" x14ac:dyDescent="0.25"/>
    <row r="679" customFormat="1" ht="20.25" hidden="1" customHeight="1" x14ac:dyDescent="0.25"/>
    <row r="680" customFormat="1" ht="20.25" hidden="1" customHeight="1" x14ac:dyDescent="0.25"/>
    <row r="681" customFormat="1" ht="20.25" hidden="1" customHeight="1" x14ac:dyDescent="0.25"/>
    <row r="682" customFormat="1" ht="20.25" hidden="1" customHeight="1" x14ac:dyDescent="0.25"/>
    <row r="683" customFormat="1" ht="20.25" hidden="1" customHeight="1" x14ac:dyDescent="0.25"/>
    <row r="684" customFormat="1" ht="20.25" hidden="1" customHeight="1" x14ac:dyDescent="0.25"/>
    <row r="685" customFormat="1" ht="20.25" hidden="1" customHeight="1" x14ac:dyDescent="0.25"/>
    <row r="686" customFormat="1" ht="20.25" hidden="1" customHeight="1" x14ac:dyDescent="0.25"/>
    <row r="687" customFormat="1" ht="20.25" hidden="1" customHeight="1" x14ac:dyDescent="0.25"/>
    <row r="688" customFormat="1" ht="20.25" hidden="1" customHeight="1" x14ac:dyDescent="0.25"/>
    <row r="689" customFormat="1" ht="20.25" hidden="1" customHeight="1" x14ac:dyDescent="0.25"/>
    <row r="690" customFormat="1" ht="20.25" hidden="1" customHeight="1" x14ac:dyDescent="0.25"/>
    <row r="691" customFormat="1" ht="20.25" hidden="1" customHeight="1" x14ac:dyDescent="0.25"/>
    <row r="692" customFormat="1" ht="20.25" hidden="1" customHeight="1" x14ac:dyDescent="0.25"/>
    <row r="693" customFormat="1" ht="20.25" hidden="1" customHeight="1" x14ac:dyDescent="0.25"/>
    <row r="694" customFormat="1" ht="20.25" hidden="1" customHeight="1" x14ac:dyDescent="0.25"/>
    <row r="695" customFormat="1" ht="20.25" hidden="1" customHeight="1" x14ac:dyDescent="0.25"/>
    <row r="696" customFormat="1" ht="20.25" hidden="1" customHeight="1" x14ac:dyDescent="0.25"/>
    <row r="697" customFormat="1" ht="20.25" hidden="1" customHeight="1" x14ac:dyDescent="0.25"/>
    <row r="698" customFormat="1" ht="20.25" hidden="1" customHeight="1" x14ac:dyDescent="0.25"/>
    <row r="699" customFormat="1" ht="20.25" hidden="1" customHeight="1" x14ac:dyDescent="0.25"/>
    <row r="700" customFormat="1" ht="20.25" hidden="1" customHeight="1" x14ac:dyDescent="0.25"/>
    <row r="701" customFormat="1" ht="20.25" hidden="1" customHeight="1" x14ac:dyDescent="0.25"/>
    <row r="702" customFormat="1" ht="20.25" hidden="1" customHeight="1" x14ac:dyDescent="0.25"/>
    <row r="703" customFormat="1" ht="20.25" hidden="1" customHeight="1" x14ac:dyDescent="0.25"/>
    <row r="704" customFormat="1" ht="20.25" hidden="1" customHeight="1" x14ac:dyDescent="0.25"/>
    <row r="705" customFormat="1" ht="20.25" hidden="1" customHeight="1" x14ac:dyDescent="0.25"/>
    <row r="706" customFormat="1" ht="20.25" hidden="1" customHeight="1" x14ac:dyDescent="0.25"/>
    <row r="707" customFormat="1" ht="20.25" hidden="1" customHeight="1" x14ac:dyDescent="0.25"/>
    <row r="708" customFormat="1" ht="20.25" hidden="1" customHeight="1" x14ac:dyDescent="0.25"/>
    <row r="709" customFormat="1" ht="20.25" hidden="1" customHeight="1" x14ac:dyDescent="0.25"/>
    <row r="710" customFormat="1" ht="20.25" hidden="1" customHeight="1" x14ac:dyDescent="0.25"/>
    <row r="711" customFormat="1" ht="20.25" hidden="1" customHeight="1" x14ac:dyDescent="0.25"/>
    <row r="712" customFormat="1" ht="20.25" hidden="1" customHeight="1" x14ac:dyDescent="0.25"/>
    <row r="713" customFormat="1" ht="20.25" hidden="1" customHeight="1" x14ac:dyDescent="0.25"/>
    <row r="714" customFormat="1" ht="20.25" hidden="1" customHeight="1" x14ac:dyDescent="0.25"/>
    <row r="715" customFormat="1" ht="20.25" hidden="1" customHeight="1" x14ac:dyDescent="0.25"/>
    <row r="716" customFormat="1" ht="20.25" hidden="1" customHeight="1" x14ac:dyDescent="0.25"/>
    <row r="717" customFormat="1" ht="20.25" hidden="1" customHeight="1" x14ac:dyDescent="0.25"/>
    <row r="718" customFormat="1" ht="20.25" hidden="1" customHeight="1" x14ac:dyDescent="0.25"/>
    <row r="719" customFormat="1" ht="20.25" hidden="1" customHeight="1" x14ac:dyDescent="0.25"/>
    <row r="720" customFormat="1" ht="20.25" hidden="1" customHeight="1" x14ac:dyDescent="0.25"/>
    <row r="721" customFormat="1" ht="20.25" hidden="1" customHeight="1" x14ac:dyDescent="0.25"/>
    <row r="722" customFormat="1" ht="20.25" hidden="1" customHeight="1" x14ac:dyDescent="0.25"/>
    <row r="723" customFormat="1" ht="20.25" hidden="1" customHeight="1" x14ac:dyDescent="0.25"/>
    <row r="724" customFormat="1" ht="20.25" hidden="1" customHeight="1" x14ac:dyDescent="0.25"/>
    <row r="725" customFormat="1" ht="20.25" hidden="1" customHeight="1" x14ac:dyDescent="0.25"/>
    <row r="726" customFormat="1" ht="20.25" hidden="1" customHeight="1" x14ac:dyDescent="0.25"/>
    <row r="727" customFormat="1" ht="20.25" hidden="1" customHeight="1" x14ac:dyDescent="0.25"/>
    <row r="728" customFormat="1" ht="20.25" hidden="1" customHeight="1" x14ac:dyDescent="0.25"/>
    <row r="729" customFormat="1" ht="20.25" hidden="1" customHeight="1" x14ac:dyDescent="0.25"/>
    <row r="730" customFormat="1" ht="20.25" hidden="1" customHeight="1" x14ac:dyDescent="0.25"/>
    <row r="731" customFormat="1" ht="20.25" hidden="1" customHeight="1" x14ac:dyDescent="0.25"/>
    <row r="732" customFormat="1" ht="20.25" hidden="1" customHeight="1" x14ac:dyDescent="0.25"/>
    <row r="733" customFormat="1" ht="20.25" hidden="1" customHeight="1" x14ac:dyDescent="0.25"/>
    <row r="734" customFormat="1" ht="20.25" hidden="1" customHeight="1" x14ac:dyDescent="0.25"/>
    <row r="735" customFormat="1" ht="20.25" hidden="1" customHeight="1" x14ac:dyDescent="0.25"/>
    <row r="736" customFormat="1" ht="20.25" hidden="1" customHeight="1" x14ac:dyDescent="0.25"/>
    <row r="737" customFormat="1" ht="20.25" hidden="1" customHeight="1" x14ac:dyDescent="0.25"/>
    <row r="738" customFormat="1" ht="20.25" hidden="1" customHeight="1" x14ac:dyDescent="0.25"/>
    <row r="739" customFormat="1" ht="20.25" hidden="1" customHeight="1" x14ac:dyDescent="0.25"/>
    <row r="740" customFormat="1" ht="20.25" hidden="1" customHeight="1" x14ac:dyDescent="0.25"/>
    <row r="741" customFormat="1" ht="20.25" hidden="1" customHeight="1" x14ac:dyDescent="0.25"/>
    <row r="742" customFormat="1" ht="20.25" hidden="1" customHeight="1" x14ac:dyDescent="0.25"/>
    <row r="743" customFormat="1" ht="20.25" hidden="1" customHeight="1" x14ac:dyDescent="0.25"/>
    <row r="744" customFormat="1" ht="20.25" hidden="1" customHeight="1" x14ac:dyDescent="0.25"/>
    <row r="745" customFormat="1" ht="20.25" hidden="1" customHeight="1" x14ac:dyDescent="0.25"/>
    <row r="746" customFormat="1" ht="20.25" hidden="1" customHeight="1" x14ac:dyDescent="0.25"/>
    <row r="747" customFormat="1" ht="20.25" hidden="1" customHeight="1" x14ac:dyDescent="0.25"/>
    <row r="748" customFormat="1" ht="20.25" hidden="1" customHeight="1" x14ac:dyDescent="0.25"/>
    <row r="749" customFormat="1" ht="20.25" hidden="1" customHeight="1" x14ac:dyDescent="0.25"/>
    <row r="750" customFormat="1" ht="20.25" hidden="1" customHeight="1" x14ac:dyDescent="0.25"/>
    <row r="751" customFormat="1" ht="20.25" hidden="1" customHeight="1" x14ac:dyDescent="0.25"/>
    <row r="752" customFormat="1" ht="20.25" hidden="1" customHeight="1" x14ac:dyDescent="0.25"/>
    <row r="753" customFormat="1" ht="20.25" hidden="1" customHeight="1" x14ac:dyDescent="0.25"/>
    <row r="754" customFormat="1" ht="20.25" hidden="1" customHeight="1" x14ac:dyDescent="0.25"/>
    <row r="755" customFormat="1" ht="20.25" hidden="1" customHeight="1" x14ac:dyDescent="0.25"/>
    <row r="756" customFormat="1" ht="20.25" hidden="1" customHeight="1" x14ac:dyDescent="0.25"/>
    <row r="757" customFormat="1" ht="20.25" hidden="1" customHeight="1" x14ac:dyDescent="0.25"/>
    <row r="758" customFormat="1" ht="20.25" hidden="1" customHeight="1" x14ac:dyDescent="0.25"/>
    <row r="759" customFormat="1" ht="20.25" hidden="1" customHeight="1" x14ac:dyDescent="0.25"/>
    <row r="760" customFormat="1" ht="20.25" hidden="1" customHeight="1" x14ac:dyDescent="0.25"/>
    <row r="761" customFormat="1" ht="20.25" hidden="1" customHeight="1" x14ac:dyDescent="0.25"/>
    <row r="762" customFormat="1" ht="20.25" hidden="1" customHeight="1" x14ac:dyDescent="0.25"/>
    <row r="763" customFormat="1" ht="20.25" hidden="1" customHeight="1" x14ac:dyDescent="0.25"/>
    <row r="764" customFormat="1" ht="20.25" hidden="1" customHeight="1" x14ac:dyDescent="0.25"/>
    <row r="765" customFormat="1" ht="20.25" hidden="1" customHeight="1" x14ac:dyDescent="0.25"/>
    <row r="766" customFormat="1" ht="20.25" hidden="1" customHeight="1" x14ac:dyDescent="0.25"/>
    <row r="767" customFormat="1" ht="20.25" hidden="1" customHeight="1" x14ac:dyDescent="0.25"/>
    <row r="768" customFormat="1" ht="20.25" hidden="1" customHeight="1" x14ac:dyDescent="0.25"/>
    <row r="769" customFormat="1" ht="20.25" hidden="1" customHeight="1" x14ac:dyDescent="0.25"/>
    <row r="770" customFormat="1" ht="20.25" hidden="1" customHeight="1" x14ac:dyDescent="0.25"/>
    <row r="771" customFormat="1" ht="20.25" hidden="1" customHeight="1" x14ac:dyDescent="0.25"/>
    <row r="772" customFormat="1" ht="20.25" hidden="1" customHeight="1" x14ac:dyDescent="0.25"/>
    <row r="773" customFormat="1" ht="20.25" hidden="1" customHeight="1" x14ac:dyDescent="0.25"/>
    <row r="774" customFormat="1" ht="20.25" hidden="1" customHeight="1" x14ac:dyDescent="0.25"/>
    <row r="775" customFormat="1" ht="20.25" hidden="1" customHeight="1" x14ac:dyDescent="0.25"/>
    <row r="776" customFormat="1" ht="20.25" hidden="1" customHeight="1" x14ac:dyDescent="0.25"/>
    <row r="777" customFormat="1" ht="20.25" hidden="1" customHeight="1" x14ac:dyDescent="0.25"/>
    <row r="778" customFormat="1" ht="20.25" hidden="1" customHeight="1" x14ac:dyDescent="0.25"/>
    <row r="779" customFormat="1" ht="20.25" hidden="1" customHeight="1" x14ac:dyDescent="0.25"/>
    <row r="780" customFormat="1" ht="20.25" hidden="1" customHeight="1" x14ac:dyDescent="0.25"/>
    <row r="781" customFormat="1" ht="20.25" hidden="1" customHeight="1" x14ac:dyDescent="0.25"/>
    <row r="782" customFormat="1" ht="20.25" hidden="1" customHeight="1" x14ac:dyDescent="0.25"/>
    <row r="783" customFormat="1" ht="20.25" hidden="1" customHeight="1" x14ac:dyDescent="0.25"/>
    <row r="784" customFormat="1" ht="20.25" hidden="1" customHeight="1" x14ac:dyDescent="0.25"/>
    <row r="785" customFormat="1" ht="20.25" hidden="1" customHeight="1" x14ac:dyDescent="0.25"/>
    <row r="786" customFormat="1" ht="20.25" hidden="1" customHeight="1" x14ac:dyDescent="0.25"/>
    <row r="787" customFormat="1" ht="20.25" hidden="1" customHeight="1" x14ac:dyDescent="0.25"/>
    <row r="788" customFormat="1" ht="20.25" hidden="1" customHeight="1" x14ac:dyDescent="0.25"/>
    <row r="789" customFormat="1" ht="20.25" hidden="1" customHeight="1" x14ac:dyDescent="0.25"/>
    <row r="790" customFormat="1" ht="20.25" hidden="1" customHeight="1" x14ac:dyDescent="0.25"/>
    <row r="791" customFormat="1" ht="20.25" hidden="1" customHeight="1" x14ac:dyDescent="0.25"/>
    <row r="792" customFormat="1" ht="20.25" hidden="1" customHeight="1" x14ac:dyDescent="0.25"/>
    <row r="793" customFormat="1" ht="20.25" hidden="1" customHeight="1" x14ac:dyDescent="0.25"/>
    <row r="794" customFormat="1" ht="20.25" hidden="1" customHeight="1" x14ac:dyDescent="0.25"/>
    <row r="795" customFormat="1" ht="20.25" hidden="1" customHeight="1" x14ac:dyDescent="0.25"/>
    <row r="796" customFormat="1" ht="20.25" hidden="1" customHeight="1" x14ac:dyDescent="0.25"/>
    <row r="797" customFormat="1" ht="20.25" hidden="1" customHeight="1" x14ac:dyDescent="0.25"/>
    <row r="798" customFormat="1" ht="20.25" hidden="1" customHeight="1" x14ac:dyDescent="0.25"/>
    <row r="799" customFormat="1" ht="20.25" hidden="1" customHeight="1" x14ac:dyDescent="0.25"/>
    <row r="800" customFormat="1" ht="20.25" hidden="1" customHeight="1" x14ac:dyDescent="0.25"/>
    <row r="801" customFormat="1" ht="20.25" hidden="1" customHeight="1" x14ac:dyDescent="0.25"/>
    <row r="802" customFormat="1" ht="20.25" hidden="1" customHeight="1" x14ac:dyDescent="0.25"/>
    <row r="803" customFormat="1" ht="20.25" hidden="1" customHeight="1" x14ac:dyDescent="0.25"/>
    <row r="804" customFormat="1" ht="20.25" hidden="1" customHeight="1" x14ac:dyDescent="0.25"/>
    <row r="805" customFormat="1" ht="20.25" hidden="1" customHeight="1" x14ac:dyDescent="0.25"/>
    <row r="806" customFormat="1" ht="20.25" hidden="1" customHeight="1" x14ac:dyDescent="0.25"/>
    <row r="807" customFormat="1" ht="20.25" hidden="1" customHeight="1" x14ac:dyDescent="0.25"/>
    <row r="808" customFormat="1" ht="20.25" hidden="1" customHeight="1" x14ac:dyDescent="0.25"/>
    <row r="809" customFormat="1" ht="20.25" hidden="1" customHeight="1" x14ac:dyDescent="0.25"/>
    <row r="810" customFormat="1" ht="20.25" hidden="1" customHeight="1" x14ac:dyDescent="0.25"/>
    <row r="811" customFormat="1" ht="20.25" hidden="1" customHeight="1" x14ac:dyDescent="0.25"/>
    <row r="812" customFormat="1" ht="20.25" hidden="1" customHeight="1" x14ac:dyDescent="0.25"/>
    <row r="813" customFormat="1" ht="20.25" hidden="1" customHeight="1" x14ac:dyDescent="0.25"/>
    <row r="814" customFormat="1" ht="20.25" hidden="1" customHeight="1" x14ac:dyDescent="0.25"/>
    <row r="815" customFormat="1" ht="20.25" hidden="1" customHeight="1" x14ac:dyDescent="0.25"/>
    <row r="816" customFormat="1" ht="20.25" hidden="1" customHeight="1" x14ac:dyDescent="0.25"/>
    <row r="817" customFormat="1" ht="20.25" hidden="1" customHeight="1" x14ac:dyDescent="0.25"/>
    <row r="818" customFormat="1" ht="20.25" hidden="1" customHeight="1" x14ac:dyDescent="0.25"/>
    <row r="819" customFormat="1" ht="20.25" hidden="1" customHeight="1" x14ac:dyDescent="0.25"/>
    <row r="820" customFormat="1" ht="20.25" hidden="1" customHeight="1" x14ac:dyDescent="0.25"/>
    <row r="821" customFormat="1" ht="20.25" hidden="1" customHeight="1" x14ac:dyDescent="0.25"/>
    <row r="822" customFormat="1" ht="20.25" hidden="1" customHeight="1" x14ac:dyDescent="0.25"/>
    <row r="823" customFormat="1" ht="20.25" hidden="1" customHeight="1" x14ac:dyDescent="0.25"/>
    <row r="824" customFormat="1" ht="20.25" hidden="1" customHeight="1" x14ac:dyDescent="0.25"/>
    <row r="825" customFormat="1" ht="20.25" hidden="1" customHeight="1" x14ac:dyDescent="0.25"/>
    <row r="826" customFormat="1" ht="20.25" hidden="1" customHeight="1" x14ac:dyDescent="0.25"/>
    <row r="827" customFormat="1" ht="20.25" hidden="1" customHeight="1" x14ac:dyDescent="0.25"/>
    <row r="828" customFormat="1" ht="20.25" hidden="1" customHeight="1" x14ac:dyDescent="0.25"/>
    <row r="829" customFormat="1" ht="20.25" hidden="1" customHeight="1" x14ac:dyDescent="0.25"/>
    <row r="830" customFormat="1" ht="20.25" hidden="1" customHeight="1" x14ac:dyDescent="0.25"/>
    <row r="831" customFormat="1" ht="20.25" hidden="1" customHeight="1" x14ac:dyDescent="0.25"/>
    <row r="832" customFormat="1" ht="20.25" hidden="1" customHeight="1" x14ac:dyDescent="0.25"/>
    <row r="833" customFormat="1" ht="20.25" hidden="1" customHeight="1" x14ac:dyDescent="0.25"/>
    <row r="834" customFormat="1" ht="20.25" hidden="1" customHeight="1" x14ac:dyDescent="0.25"/>
    <row r="835" customFormat="1" ht="20.25" hidden="1" customHeight="1" x14ac:dyDescent="0.25"/>
    <row r="836" customFormat="1" ht="20.25" hidden="1" customHeight="1" x14ac:dyDescent="0.25"/>
    <row r="837" customFormat="1" ht="20.25" hidden="1" customHeight="1" x14ac:dyDescent="0.25"/>
    <row r="838" customFormat="1" ht="20.25" hidden="1" customHeight="1" x14ac:dyDescent="0.25"/>
    <row r="839" customFormat="1" ht="20.25" hidden="1" customHeight="1" x14ac:dyDescent="0.25"/>
    <row r="840" customFormat="1" ht="20.25" hidden="1" customHeight="1" x14ac:dyDescent="0.25"/>
    <row r="841" customFormat="1" ht="20.25" hidden="1" customHeight="1" x14ac:dyDescent="0.25"/>
    <row r="842" customFormat="1" ht="20.25" hidden="1" customHeight="1" x14ac:dyDescent="0.25"/>
    <row r="843" customFormat="1" ht="20.25" hidden="1" customHeight="1" x14ac:dyDescent="0.25"/>
    <row r="844" customFormat="1" ht="20.25" hidden="1" customHeight="1" x14ac:dyDescent="0.25"/>
    <row r="845" customFormat="1" ht="20.25" hidden="1" customHeight="1" x14ac:dyDescent="0.25"/>
    <row r="846" customFormat="1" ht="20.25" hidden="1" customHeight="1" x14ac:dyDescent="0.25"/>
    <row r="847" customFormat="1" ht="20.25" hidden="1" customHeight="1" x14ac:dyDescent="0.25"/>
    <row r="848" customFormat="1" ht="20.25" hidden="1" customHeight="1" x14ac:dyDescent="0.25"/>
    <row r="849" customFormat="1" ht="20.25" hidden="1" customHeight="1" x14ac:dyDescent="0.25"/>
    <row r="850" customFormat="1" ht="20.25" hidden="1" customHeight="1" x14ac:dyDescent="0.25"/>
    <row r="851" customFormat="1" ht="20.25" hidden="1" customHeight="1" x14ac:dyDescent="0.25"/>
    <row r="852" customFormat="1" ht="20.25" hidden="1" customHeight="1" x14ac:dyDescent="0.25"/>
    <row r="853" customFormat="1" ht="20.25" hidden="1" customHeight="1" x14ac:dyDescent="0.25"/>
    <row r="854" customFormat="1" ht="20.25" hidden="1" customHeight="1" x14ac:dyDescent="0.25"/>
    <row r="855" customFormat="1" ht="20.25" hidden="1" customHeight="1" x14ac:dyDescent="0.25"/>
    <row r="856" customFormat="1" ht="20.25" hidden="1" customHeight="1" x14ac:dyDescent="0.25"/>
    <row r="857" customFormat="1" ht="20.25" hidden="1" customHeight="1" x14ac:dyDescent="0.25"/>
    <row r="858" customFormat="1" ht="20.25" hidden="1" customHeight="1" x14ac:dyDescent="0.25"/>
    <row r="859" customFormat="1" ht="20.25" hidden="1" customHeight="1" x14ac:dyDescent="0.25"/>
    <row r="860" customFormat="1" ht="20.25" hidden="1" customHeight="1" x14ac:dyDescent="0.25"/>
    <row r="861" customFormat="1" ht="20.25" hidden="1" customHeight="1" x14ac:dyDescent="0.25"/>
    <row r="862" customFormat="1" ht="20.25" hidden="1" customHeight="1" x14ac:dyDescent="0.25"/>
    <row r="863" customFormat="1" ht="20.25" hidden="1" customHeight="1" x14ac:dyDescent="0.25"/>
    <row r="864" customFormat="1" ht="20.25" hidden="1" customHeight="1" x14ac:dyDescent="0.25"/>
    <row r="865" customFormat="1" ht="20.25" hidden="1" customHeight="1" x14ac:dyDescent="0.25"/>
    <row r="866" customFormat="1" ht="20.25" hidden="1" customHeight="1" x14ac:dyDescent="0.25"/>
    <row r="867" customFormat="1" ht="20.25" hidden="1" customHeight="1" x14ac:dyDescent="0.25"/>
    <row r="868" customFormat="1" ht="20.25" hidden="1" customHeight="1" x14ac:dyDescent="0.25"/>
    <row r="869" customFormat="1" ht="20.25" hidden="1" customHeight="1" x14ac:dyDescent="0.25"/>
    <row r="870" customFormat="1" ht="20.25" hidden="1" customHeight="1" x14ac:dyDescent="0.25"/>
    <row r="871" customFormat="1" ht="20.25" hidden="1" customHeight="1" x14ac:dyDescent="0.25"/>
    <row r="872" customFormat="1" ht="20.25" hidden="1" customHeight="1" x14ac:dyDescent="0.25"/>
    <row r="873" customFormat="1" ht="20.25" hidden="1" customHeight="1" x14ac:dyDescent="0.25"/>
    <row r="874" customFormat="1" ht="20.25" hidden="1" customHeight="1" x14ac:dyDescent="0.25"/>
    <row r="875" customFormat="1" ht="20.25" hidden="1" customHeight="1" x14ac:dyDescent="0.25"/>
    <row r="876" customFormat="1" ht="20.25" hidden="1" customHeight="1" x14ac:dyDescent="0.25"/>
    <row r="877" customFormat="1" ht="20.25" hidden="1" customHeight="1" x14ac:dyDescent="0.25"/>
    <row r="878" customFormat="1" ht="20.25" hidden="1" customHeight="1" x14ac:dyDescent="0.25"/>
    <row r="879" customFormat="1" ht="20.25" hidden="1" customHeight="1" x14ac:dyDescent="0.25"/>
    <row r="880" customFormat="1" ht="20.25" hidden="1" customHeight="1" x14ac:dyDescent="0.25"/>
    <row r="881" customFormat="1" ht="20.25" hidden="1" customHeight="1" x14ac:dyDescent="0.25"/>
    <row r="882" customFormat="1" ht="20.25" hidden="1" customHeight="1" x14ac:dyDescent="0.25"/>
    <row r="883" customFormat="1" ht="20.25" hidden="1" customHeight="1" x14ac:dyDescent="0.25"/>
    <row r="884" customFormat="1" ht="20.25" hidden="1" customHeight="1" x14ac:dyDescent="0.25"/>
    <row r="885" customFormat="1" ht="20.25" hidden="1" customHeight="1" x14ac:dyDescent="0.25"/>
    <row r="886" customFormat="1" ht="20.25" hidden="1" customHeight="1" x14ac:dyDescent="0.25"/>
    <row r="887" customFormat="1" ht="20.25" hidden="1" customHeight="1" x14ac:dyDescent="0.25"/>
    <row r="888" customFormat="1" ht="20.25" hidden="1" customHeight="1" x14ac:dyDescent="0.25"/>
    <row r="889" customFormat="1" ht="20.25" hidden="1" customHeight="1" x14ac:dyDescent="0.25"/>
    <row r="890" customFormat="1" ht="20.25" hidden="1" customHeight="1" x14ac:dyDescent="0.25"/>
    <row r="891" customFormat="1" ht="20.25" hidden="1" customHeight="1" x14ac:dyDescent="0.25"/>
    <row r="892" customFormat="1" ht="20.25" hidden="1" customHeight="1" x14ac:dyDescent="0.25"/>
    <row r="893" customFormat="1" ht="20.25" hidden="1" customHeight="1" x14ac:dyDescent="0.25"/>
    <row r="894" customFormat="1" ht="20.25" hidden="1" customHeight="1" x14ac:dyDescent="0.25"/>
    <row r="895" customFormat="1" ht="20.25" hidden="1" customHeight="1" x14ac:dyDescent="0.25"/>
    <row r="896" customFormat="1" ht="20.25" hidden="1" customHeight="1" x14ac:dyDescent="0.25"/>
    <row r="897" customFormat="1" ht="20.25" hidden="1" customHeight="1" x14ac:dyDescent="0.25"/>
    <row r="898" customFormat="1" ht="20.25" hidden="1" customHeight="1" x14ac:dyDescent="0.25"/>
    <row r="899" customFormat="1" ht="20.25" hidden="1" customHeight="1" x14ac:dyDescent="0.25"/>
    <row r="900" customFormat="1" ht="20.25" hidden="1" customHeight="1" x14ac:dyDescent="0.25"/>
    <row r="901" customFormat="1" ht="20.25" hidden="1" customHeight="1" x14ac:dyDescent="0.25"/>
    <row r="902" customFormat="1" ht="20.25" hidden="1" customHeight="1" x14ac:dyDescent="0.25"/>
    <row r="903" customFormat="1" ht="20.25" hidden="1" customHeight="1" x14ac:dyDescent="0.25"/>
    <row r="904" customFormat="1" ht="20.25" hidden="1" customHeight="1" x14ac:dyDescent="0.25"/>
    <row r="905" customFormat="1" ht="20.25" hidden="1" customHeight="1" x14ac:dyDescent="0.25"/>
    <row r="906" customFormat="1" ht="20.25" hidden="1" customHeight="1" x14ac:dyDescent="0.25"/>
    <row r="907" customFormat="1" ht="20.25" hidden="1" customHeight="1" x14ac:dyDescent="0.25"/>
    <row r="908" customFormat="1" ht="20.25" hidden="1" customHeight="1" x14ac:dyDescent="0.25"/>
    <row r="909" customFormat="1" ht="20.25" hidden="1" customHeight="1" x14ac:dyDescent="0.25"/>
    <row r="910" customFormat="1" ht="20.25" hidden="1" customHeight="1" x14ac:dyDescent="0.25"/>
    <row r="911" customFormat="1" ht="20.25" hidden="1" customHeight="1" x14ac:dyDescent="0.25"/>
    <row r="912" customFormat="1" ht="20.25" hidden="1" customHeight="1" x14ac:dyDescent="0.25"/>
    <row r="913" customFormat="1" ht="20.25" hidden="1" customHeight="1" x14ac:dyDescent="0.25"/>
    <row r="914" customFormat="1" ht="20.25" hidden="1" customHeight="1" x14ac:dyDescent="0.25"/>
    <row r="915" customFormat="1" ht="20.25" hidden="1" customHeight="1" x14ac:dyDescent="0.25"/>
    <row r="916" customFormat="1" ht="20.25" hidden="1" customHeight="1" x14ac:dyDescent="0.25"/>
    <row r="917" customFormat="1" ht="20.25" hidden="1" customHeight="1" x14ac:dyDescent="0.25"/>
    <row r="918" customFormat="1" ht="20.25" hidden="1" customHeight="1" x14ac:dyDescent="0.25"/>
    <row r="919" customFormat="1" ht="20.25" hidden="1" customHeight="1" x14ac:dyDescent="0.25"/>
    <row r="920" customFormat="1" ht="20.25" hidden="1" customHeight="1" x14ac:dyDescent="0.25"/>
    <row r="921" customFormat="1" ht="20.25" hidden="1" customHeight="1" x14ac:dyDescent="0.25"/>
    <row r="922" customFormat="1" ht="20.25" hidden="1" customHeight="1" x14ac:dyDescent="0.25"/>
    <row r="923" customFormat="1" ht="20.25" hidden="1" customHeight="1" x14ac:dyDescent="0.25"/>
    <row r="924" customFormat="1" ht="20.25" hidden="1" customHeight="1" x14ac:dyDescent="0.25"/>
    <row r="925" customFormat="1" ht="20.25" hidden="1" customHeight="1" x14ac:dyDescent="0.25"/>
    <row r="926" customFormat="1" ht="20.25" hidden="1" customHeight="1" x14ac:dyDescent="0.25"/>
    <row r="927" customFormat="1" ht="20.25" hidden="1" customHeight="1" x14ac:dyDescent="0.25"/>
    <row r="928" customFormat="1" ht="20.25" hidden="1" customHeight="1" x14ac:dyDescent="0.25"/>
    <row r="929" customFormat="1" ht="20.25" hidden="1" customHeight="1" x14ac:dyDescent="0.25"/>
    <row r="930" customFormat="1" ht="20.25" hidden="1" customHeight="1" x14ac:dyDescent="0.25"/>
    <row r="931" customFormat="1" ht="20.25" hidden="1" customHeight="1" x14ac:dyDescent="0.25"/>
    <row r="932" customFormat="1" ht="20.25" hidden="1" customHeight="1" x14ac:dyDescent="0.25"/>
    <row r="933" customFormat="1" ht="20.25" hidden="1" customHeight="1" x14ac:dyDescent="0.25"/>
    <row r="934" customFormat="1" ht="20.25" hidden="1" customHeight="1" x14ac:dyDescent="0.25"/>
    <row r="935" customFormat="1" ht="20.25" hidden="1" customHeight="1" x14ac:dyDescent="0.25"/>
    <row r="936" customFormat="1" ht="20.25" hidden="1" customHeight="1" x14ac:dyDescent="0.25"/>
    <row r="937" customFormat="1" ht="20.25" hidden="1" customHeight="1" x14ac:dyDescent="0.25"/>
    <row r="938" customFormat="1" ht="20.25" hidden="1" customHeight="1" x14ac:dyDescent="0.25"/>
    <row r="939" customFormat="1" ht="20.25" hidden="1" customHeight="1" x14ac:dyDescent="0.25"/>
    <row r="940" customFormat="1" ht="20.25" hidden="1" customHeight="1" x14ac:dyDescent="0.25"/>
    <row r="941" customFormat="1" ht="20.25" hidden="1" customHeight="1" x14ac:dyDescent="0.25"/>
    <row r="942" customFormat="1" ht="20.25" hidden="1" customHeight="1" x14ac:dyDescent="0.25"/>
    <row r="943" customFormat="1" ht="20.25" hidden="1" customHeight="1" x14ac:dyDescent="0.25"/>
    <row r="944" customFormat="1" ht="20.25" hidden="1" customHeight="1" x14ac:dyDescent="0.25"/>
    <row r="945" customFormat="1" ht="20.25" hidden="1" customHeight="1" x14ac:dyDescent="0.25"/>
    <row r="946" customFormat="1" ht="20.25" hidden="1" customHeight="1" x14ac:dyDescent="0.25"/>
    <row r="947" customFormat="1" ht="20.25" hidden="1" customHeight="1" x14ac:dyDescent="0.25"/>
    <row r="948" customFormat="1" ht="20.25" hidden="1" customHeight="1" x14ac:dyDescent="0.25"/>
    <row r="949" customFormat="1" ht="20.25" hidden="1" customHeight="1" x14ac:dyDescent="0.25"/>
    <row r="950" customFormat="1" ht="20.25" hidden="1" customHeight="1" x14ac:dyDescent="0.25"/>
    <row r="951" customFormat="1" ht="20.25" hidden="1" customHeight="1" x14ac:dyDescent="0.25"/>
    <row r="952" customFormat="1" ht="20.25" hidden="1" customHeight="1" x14ac:dyDescent="0.25"/>
    <row r="953" customFormat="1" ht="20.25" hidden="1" customHeight="1" x14ac:dyDescent="0.25"/>
    <row r="954" customFormat="1" ht="20.25" hidden="1" customHeight="1" x14ac:dyDescent="0.25"/>
    <row r="955" customFormat="1" ht="20.25" hidden="1" customHeight="1" x14ac:dyDescent="0.25"/>
    <row r="956" customFormat="1" ht="20.25" hidden="1" customHeight="1" x14ac:dyDescent="0.25"/>
    <row r="957" customFormat="1" ht="20.25" hidden="1" customHeight="1" x14ac:dyDescent="0.25"/>
    <row r="958" customFormat="1" ht="20.25" hidden="1" customHeight="1" x14ac:dyDescent="0.25"/>
    <row r="959" customFormat="1" ht="20.25" hidden="1" customHeight="1" x14ac:dyDescent="0.25"/>
    <row r="960" customFormat="1" ht="20.25" hidden="1" customHeight="1" x14ac:dyDescent="0.25"/>
    <row r="961" customFormat="1" ht="20.25" hidden="1" customHeight="1" x14ac:dyDescent="0.25"/>
    <row r="962" customFormat="1" ht="20.25" hidden="1" customHeight="1" x14ac:dyDescent="0.25"/>
    <row r="963" customFormat="1" ht="20.25" hidden="1" customHeight="1" x14ac:dyDescent="0.25"/>
    <row r="964" customFormat="1" ht="20.25" hidden="1" customHeight="1" x14ac:dyDescent="0.25"/>
    <row r="965" customFormat="1" ht="20.25" hidden="1" customHeight="1" x14ac:dyDescent="0.25"/>
    <row r="966" customFormat="1" ht="20.25" hidden="1" customHeight="1" x14ac:dyDescent="0.25"/>
    <row r="967" customFormat="1" ht="20.25" hidden="1" customHeight="1" x14ac:dyDescent="0.25"/>
    <row r="968" customFormat="1" ht="20.25" hidden="1" customHeight="1" x14ac:dyDescent="0.25"/>
    <row r="969" customFormat="1" ht="20.25" hidden="1" customHeight="1" x14ac:dyDescent="0.25"/>
    <row r="970" customFormat="1" ht="20.25" hidden="1" customHeight="1" x14ac:dyDescent="0.25"/>
    <row r="971" customFormat="1" ht="20.25" hidden="1" customHeight="1" x14ac:dyDescent="0.25"/>
    <row r="972" customFormat="1" ht="20.25" hidden="1" customHeight="1" x14ac:dyDescent="0.25"/>
    <row r="973" customFormat="1" ht="20.25" hidden="1" customHeight="1" x14ac:dyDescent="0.25"/>
    <row r="974" customFormat="1" ht="20.25" hidden="1" customHeight="1" x14ac:dyDescent="0.25"/>
    <row r="975" customFormat="1" ht="20.25" hidden="1" customHeight="1" x14ac:dyDescent="0.25"/>
    <row r="976" customFormat="1" ht="20.25" hidden="1" customHeight="1" x14ac:dyDescent="0.25"/>
    <row r="977" customFormat="1" ht="20.25" hidden="1" customHeight="1" x14ac:dyDescent="0.25"/>
    <row r="978" customFormat="1" ht="20.25" hidden="1" customHeight="1" x14ac:dyDescent="0.25"/>
    <row r="979" customFormat="1" ht="20.25" hidden="1" customHeight="1" x14ac:dyDescent="0.25"/>
    <row r="980" customFormat="1" ht="20.25" hidden="1" customHeight="1" x14ac:dyDescent="0.25"/>
    <row r="981" customFormat="1" ht="20.25" hidden="1" customHeight="1" x14ac:dyDescent="0.25"/>
    <row r="982" customFormat="1" ht="20.25" hidden="1" customHeight="1" x14ac:dyDescent="0.25"/>
    <row r="983" customFormat="1" ht="20.25" hidden="1" customHeight="1" x14ac:dyDescent="0.25"/>
    <row r="984" customFormat="1" ht="20.25" hidden="1" customHeight="1" x14ac:dyDescent="0.25"/>
    <row r="985" customFormat="1" ht="20.25" hidden="1" customHeight="1" x14ac:dyDescent="0.25"/>
    <row r="986" customFormat="1" ht="20.25" hidden="1" customHeight="1" x14ac:dyDescent="0.25"/>
    <row r="987" customFormat="1" ht="20.25" hidden="1" customHeight="1" x14ac:dyDescent="0.25"/>
    <row r="988" customFormat="1" ht="20.25" hidden="1" customHeight="1" x14ac:dyDescent="0.25"/>
    <row r="989" customFormat="1" ht="20.25" hidden="1" customHeight="1" x14ac:dyDescent="0.25"/>
    <row r="990" customFormat="1" ht="20.25" hidden="1" customHeight="1" x14ac:dyDescent="0.25"/>
    <row r="991" customFormat="1" ht="20.25" hidden="1" customHeight="1" x14ac:dyDescent="0.25"/>
    <row r="992" customFormat="1" ht="20.25" hidden="1" customHeight="1" x14ac:dyDescent="0.25"/>
    <row r="993" customFormat="1" ht="20.25" hidden="1" customHeight="1" x14ac:dyDescent="0.25"/>
    <row r="994" customFormat="1" ht="20.25" hidden="1" customHeight="1" x14ac:dyDescent="0.25"/>
    <row r="995" customFormat="1" ht="20.25" hidden="1" customHeight="1" x14ac:dyDescent="0.25"/>
    <row r="996" customFormat="1" ht="20.25" hidden="1" customHeight="1" x14ac:dyDescent="0.25"/>
    <row r="997" customFormat="1" ht="20.25" hidden="1" customHeight="1" x14ac:dyDescent="0.25"/>
    <row r="998" customFormat="1" ht="20.25" hidden="1" customHeight="1" x14ac:dyDescent="0.25"/>
    <row r="999" customFormat="1" ht="20.25" hidden="1" customHeight="1" x14ac:dyDescent="0.25"/>
    <row r="1000" customFormat="1" ht="20.25" hidden="1" customHeight="1" x14ac:dyDescent="0.25"/>
  </sheetData>
  <sheetProtection algorithmName="SHA-512" hashValue="jiLD/Pr87JJZkMk5YnrFTD6vUO7IyNCbdwI1iFbgOZphEqfyGwRbSt5/sxZ2jySpvNsaQCCLkYrkEFTEhSrO0Q==" saltValue="fBHXai1s8rTGrFvc3Pt48Q==" spinCount="100000" sheet="1" objects="1" scenarios="1"/>
  <mergeCells count="246">
    <mergeCell ref="E119:O119"/>
    <mergeCell ref="D178:L178"/>
    <mergeCell ref="E179:L179"/>
    <mergeCell ref="F180:L180"/>
    <mergeCell ref="E172:G172"/>
    <mergeCell ref="K164:L164"/>
    <mergeCell ref="K165:L165"/>
    <mergeCell ref="K166:L166"/>
    <mergeCell ref="K177:L177"/>
    <mergeCell ref="E177:J177"/>
    <mergeCell ref="K161:L161"/>
    <mergeCell ref="E161:G161"/>
    <mergeCell ref="K167:L167"/>
    <mergeCell ref="K168:L168"/>
    <mergeCell ref="K176:L176"/>
    <mergeCell ref="H160:J160"/>
    <mergeCell ref="K172:L172"/>
    <mergeCell ref="E166:G166"/>
    <mergeCell ref="H161:J161"/>
    <mergeCell ref="E169:G169"/>
    <mergeCell ref="E160:G160"/>
    <mergeCell ref="E176:I176"/>
    <mergeCell ref="E167:G167"/>
    <mergeCell ref="E168:G168"/>
    <mergeCell ref="E165:G165"/>
    <mergeCell ref="E162:G162"/>
    <mergeCell ref="H162:J162"/>
    <mergeCell ref="E170:G170"/>
    <mergeCell ref="E173:G173"/>
    <mergeCell ref="K173:L173"/>
    <mergeCell ref="E171:G171"/>
    <mergeCell ref="K171:L171"/>
    <mergeCell ref="E163:L163"/>
    <mergeCell ref="E175:L175"/>
    <mergeCell ref="F197:K197"/>
    <mergeCell ref="G185:K185"/>
    <mergeCell ref="G188:K188"/>
    <mergeCell ref="F187:L187"/>
    <mergeCell ref="K162:L162"/>
    <mergeCell ref="E164:G164"/>
    <mergeCell ref="C181:C198"/>
    <mergeCell ref="D195:D198"/>
    <mergeCell ref="F195:K195"/>
    <mergeCell ref="F196:K196"/>
    <mergeCell ref="F194:K194"/>
    <mergeCell ref="H190:K190"/>
    <mergeCell ref="F198:K198"/>
    <mergeCell ref="G191:K191"/>
    <mergeCell ref="K169:L169"/>
    <mergeCell ref="K170:L170"/>
    <mergeCell ref="E187:E193"/>
    <mergeCell ref="H189:K189"/>
    <mergeCell ref="D179:D194"/>
    <mergeCell ref="G181:K181"/>
    <mergeCell ref="H182:K182"/>
    <mergeCell ref="G193:K193"/>
    <mergeCell ref="G186:K186"/>
    <mergeCell ref="G184:K184"/>
    <mergeCell ref="F181:F183"/>
    <mergeCell ref="E180:E186"/>
    <mergeCell ref="H183:K183"/>
    <mergeCell ref="G192:K192"/>
    <mergeCell ref="K160:L160"/>
    <mergeCell ref="F147:J147"/>
    <mergeCell ref="H153:J153"/>
    <mergeCell ref="H154:J154"/>
    <mergeCell ref="K148:L148"/>
    <mergeCell ref="F148:J148"/>
    <mergeCell ref="K155:L155"/>
    <mergeCell ref="K156:L156"/>
    <mergeCell ref="D157:L157"/>
    <mergeCell ref="H159:J159"/>
    <mergeCell ref="K159:L159"/>
    <mergeCell ref="E158:L158"/>
    <mergeCell ref="F156:J156"/>
    <mergeCell ref="E159:G159"/>
    <mergeCell ref="K151:L151"/>
    <mergeCell ref="E154:G154"/>
    <mergeCell ref="H151:J151"/>
    <mergeCell ref="H152:J152"/>
    <mergeCell ref="F155:J155"/>
    <mergeCell ref="K145:L145"/>
    <mergeCell ref="K147:L147"/>
    <mergeCell ref="E151:G151"/>
    <mergeCell ref="E152:G152"/>
    <mergeCell ref="F145:J145"/>
    <mergeCell ref="E150:L150"/>
    <mergeCell ref="K153:L153"/>
    <mergeCell ref="K154:L154"/>
    <mergeCell ref="E153:G153"/>
    <mergeCell ref="E146:J146"/>
    <mergeCell ref="K146:L146"/>
    <mergeCell ref="E118:Q118"/>
    <mergeCell ref="C131:C137"/>
    <mergeCell ref="E133:J133"/>
    <mergeCell ref="C138:C152"/>
    <mergeCell ref="D146:D148"/>
    <mergeCell ref="E140:G140"/>
    <mergeCell ref="E131:J131"/>
    <mergeCell ref="H140:J140"/>
    <mergeCell ref="E125:L125"/>
    <mergeCell ref="K126:L127"/>
    <mergeCell ref="H141:J141"/>
    <mergeCell ref="K144:L144"/>
    <mergeCell ref="K140:L140"/>
    <mergeCell ref="H139:J139"/>
    <mergeCell ref="F128:J128"/>
    <mergeCell ref="E132:J132"/>
    <mergeCell ref="K141:L141"/>
    <mergeCell ref="E139:G139"/>
    <mergeCell ref="E136:J136"/>
    <mergeCell ref="E137:J137"/>
    <mergeCell ref="H142:J142"/>
    <mergeCell ref="K152:L152"/>
    <mergeCell ref="D149:L149"/>
    <mergeCell ref="D143:D145"/>
    <mergeCell ref="F120:H120"/>
    <mergeCell ref="F121:J121"/>
    <mergeCell ref="E122:J122"/>
    <mergeCell ref="F144:J144"/>
    <mergeCell ref="E143:J143"/>
    <mergeCell ref="E138:L138"/>
    <mergeCell ref="E135:J135"/>
    <mergeCell ref="K139:L139"/>
    <mergeCell ref="E141:G141"/>
    <mergeCell ref="E142:G142"/>
    <mergeCell ref="K143:L143"/>
    <mergeCell ref="K142:L142"/>
    <mergeCell ref="E134:J134"/>
    <mergeCell ref="E130:J130"/>
    <mergeCell ref="E129:J129"/>
    <mergeCell ref="C3:E3"/>
    <mergeCell ref="F3:L3"/>
    <mergeCell ref="C5:C16"/>
    <mergeCell ref="C26:C91"/>
    <mergeCell ref="E5:J5"/>
    <mergeCell ref="F6:H6"/>
    <mergeCell ref="F23:J23"/>
    <mergeCell ref="F51:H51"/>
    <mergeCell ref="F34:H34"/>
    <mergeCell ref="K33:L42"/>
    <mergeCell ref="E52:J52"/>
    <mergeCell ref="F42:H42"/>
    <mergeCell ref="F44:H44"/>
    <mergeCell ref="F63:H63"/>
    <mergeCell ref="F91:J91"/>
    <mergeCell ref="F37:H37"/>
    <mergeCell ref="F36:H36"/>
    <mergeCell ref="F48:H48"/>
    <mergeCell ref="F59:H59"/>
    <mergeCell ref="E77:J77"/>
    <mergeCell ref="F47:H47"/>
    <mergeCell ref="F50:H50"/>
    <mergeCell ref="F49:H49"/>
    <mergeCell ref="E54:J54"/>
    <mergeCell ref="F8:H8"/>
    <mergeCell ref="F24:H24"/>
    <mergeCell ref="E55:J55"/>
    <mergeCell ref="E73:J73"/>
    <mergeCell ref="F64:H64"/>
    <mergeCell ref="F68:H68"/>
    <mergeCell ref="F9:H9"/>
    <mergeCell ref="F16:J16"/>
    <mergeCell ref="E56:J56"/>
    <mergeCell ref="F15:H15"/>
    <mergeCell ref="F38:H38"/>
    <mergeCell ref="F35:H35"/>
    <mergeCell ref="E26:J26"/>
    <mergeCell ref="F41:H41"/>
    <mergeCell ref="E29:J29"/>
    <mergeCell ref="E28:J28"/>
    <mergeCell ref="F43:J43"/>
    <mergeCell ref="F39:H39"/>
    <mergeCell ref="E58:L58"/>
    <mergeCell ref="F89:H89"/>
    <mergeCell ref="K44:L50"/>
    <mergeCell ref="F115:G115"/>
    <mergeCell ref="F103:G103"/>
    <mergeCell ref="F90:H90"/>
    <mergeCell ref="F110:J110"/>
    <mergeCell ref="F104:G104"/>
    <mergeCell ref="F109:G109"/>
    <mergeCell ref="E101:J101"/>
    <mergeCell ref="F108:G108"/>
    <mergeCell ref="F107:G107"/>
    <mergeCell ref="K67:L68"/>
    <mergeCell ref="K63:L64"/>
    <mergeCell ref="F61:J61"/>
    <mergeCell ref="F65:J65"/>
    <mergeCell ref="E78:J78"/>
    <mergeCell ref="G100:J100"/>
    <mergeCell ref="F111:J111"/>
    <mergeCell ref="E46:J46"/>
    <mergeCell ref="E70:J70"/>
    <mergeCell ref="E72:J72"/>
    <mergeCell ref="F60:H60"/>
    <mergeCell ref="F45:H45"/>
    <mergeCell ref="E57:J57"/>
    <mergeCell ref="E4:J4"/>
    <mergeCell ref="F14:H14"/>
    <mergeCell ref="F11:H11"/>
    <mergeCell ref="E71:J71"/>
    <mergeCell ref="F69:J69"/>
    <mergeCell ref="E27:J27"/>
    <mergeCell ref="E30:J30"/>
    <mergeCell ref="K81:L90"/>
    <mergeCell ref="F86:H86"/>
    <mergeCell ref="F87:H87"/>
    <mergeCell ref="F88:H88"/>
    <mergeCell ref="F82:H82"/>
    <mergeCell ref="F83:H83"/>
    <mergeCell ref="F84:H84"/>
    <mergeCell ref="F85:H85"/>
    <mergeCell ref="F7:H7"/>
    <mergeCell ref="E66:J66"/>
    <mergeCell ref="E74:J74"/>
    <mergeCell ref="E25:J25"/>
    <mergeCell ref="F40:H40"/>
    <mergeCell ref="E31:J31"/>
    <mergeCell ref="F33:H33"/>
    <mergeCell ref="E32:J32"/>
    <mergeCell ref="E53:J53"/>
    <mergeCell ref="F117:G117"/>
    <mergeCell ref="E75:J75"/>
    <mergeCell ref="E79:J79"/>
    <mergeCell ref="E93:J93"/>
    <mergeCell ref="F113:G113"/>
    <mergeCell ref="E92:J92"/>
    <mergeCell ref="E174:G174"/>
    <mergeCell ref="K174:L174"/>
    <mergeCell ref="K59:L60"/>
    <mergeCell ref="F67:H67"/>
    <mergeCell ref="E62:J62"/>
    <mergeCell ref="F114:G114"/>
    <mergeCell ref="F127:H127"/>
    <mergeCell ref="F126:H126"/>
    <mergeCell ref="F102:G102"/>
    <mergeCell ref="F105:G105"/>
    <mergeCell ref="E80:J80"/>
    <mergeCell ref="E81:J81"/>
    <mergeCell ref="E76:J76"/>
    <mergeCell ref="F116:G116"/>
    <mergeCell ref="E112:L112"/>
    <mergeCell ref="F106:G106"/>
    <mergeCell ref="E123:J123"/>
    <mergeCell ref="E124:J124"/>
  </mergeCells>
  <dataValidations xWindow="1008" yWindow="408" count="105">
    <dataValidation type="whole" allowBlank="1" showErrorMessage="1" errorTitle="OthDutyTaxCess" error="OthDutyTaxCess  Non negative, no decimal, upto 99,999,999,999,999" sqref="L99:L102 L27 L91:L92 L69 L61 L51 L65 L121:Q121">
      <formula1>0</formula1>
      <formula2>99999999999999</formula2>
    </dataValidation>
    <dataValidation type="whole" allowBlank="1" showErrorMessage="1" errorTitle="Amount" error="Amount should be  Non negative, no decimal, upto 99,999,999,999,999" sqref="J6">
      <formula1>0</formula1>
      <formula2>99999999999999</formula2>
    </dataValidation>
    <dataValidation type="whole" allowBlank="1" showErrorMessage="1" errorTitle="Amount" error="Amount  Non negative, no decimal, upto 99,999,999,999,999" sqref="J7:J9 J95:J98 J18:J21 J103:J109">
      <formula1>0</formula1>
      <formula2>99999999999999</formula2>
    </dataValidation>
    <dataValidation type="whole" allowBlank="1" showErrorMessage="1" errorTitle="ProfitOnSaleFixedAsset" error="ProfitOnSaleFixedAsset  Non negative, no decimal, upto 99,999,999,999,999" sqref="L25">
      <formula1>-99999999999999</formula1>
      <formula2>99999999999999</formula2>
    </dataValidation>
    <dataValidation type="whole" allowBlank="1" showErrorMessage="1" errorTitle="ProfitOnSaleFixedAsset" error="ProfitOnSaleFixedAsset  Non negative, no decimal, upto 99,999,999,999,999" sqref="J22 L24">
      <formula1>0</formula1>
      <formula2>99999999999999</formula2>
    </dataValidation>
    <dataValidation type="textLength" operator="lessThanOrEqual" allowBlank="1" showErrorMessage="1" errorTitle="Specify Nature" error="Nature should not exceed 125 characters" sqref="H95:H98 H18:H21">
      <formula1>125</formula1>
    </dataValidation>
    <dataValidation type="whole" allowBlank="1" showErrorMessage="1" errorTitle="InterestExpdr" error="InterestExpdr  Non negative, no decimal, upto 99,999,999,999,999" sqref="J126:J127 L128:Q128">
      <formula1>0</formula1>
      <formula2>99999999999999</formula2>
    </dataValidation>
    <dataValidation type="whole" allowBlank="1" showErrorMessage="1" errorTitle="TotEmployeeComp" error="TotEmployeeComp  Non negative, no decimal, upto 99,999,999,999,999" sqref="L43">
      <formula1>0</formula1>
      <formula2>99999999999999</formula2>
    </dataValidation>
    <dataValidation type="list" allowBlank="1" showErrorMessage="1" errorTitle="To Non Resident" error="Select Y for Yes and N for No" sqref="J44">
      <formula1>"Yes,No"</formula1>
    </dataValidation>
    <dataValidation type="whole" allowBlank="1" showErrorMessage="1" error="Non negative, no decimal, upto 99,999,999,999,999" sqref="J45">
      <formula1>0</formula1>
      <formula2>99999999999999</formula2>
    </dataValidation>
    <dataValidation type="textLength" operator="equal" allowBlank="1" showErrorMessage="1" errorTitle="PAN" error="Should be valid 10 digit PAN with 1st 5 alphabets next 4 digits and last alphabet" sqref="H103:H109">
      <formula1>10</formula1>
    </dataValidation>
    <dataValidation type="whole" allowBlank="1" showErrorMessage="1" errorTitle="Amount" error="MiscOthIncome  Non negative, no decimal, upto 99,999,999,999,999" sqref="J120">
      <formula1>0</formula1>
      <formula2>99999999999999</formula2>
    </dataValidation>
    <dataValidation type="whole" allowBlank="1" showErrorMessage="1" error=" Non negative, no decimal, upto 99,999,999,999,999" sqref="J59:J60 J82:J90">
      <formula1>0</formula1>
      <formula2>99999999999999</formula2>
    </dataValidation>
    <dataValidation type="whole" allowBlank="1" showErrorMessage="1" errorTitle="Amount" error="Amount  Non negative, no decimal, upto 99,999,999,999,999" sqref="J10:J13">
      <formula1>-99999999999999</formula1>
      <formula2>99999999999999</formula2>
    </dataValidation>
    <dataValidation type="whole" allowBlank="1" showErrorMessage="1" errorTitle="Amount " error="Amount  Non negative, no decimal, upto 99,999,999,999,999" sqref="J14">
      <formula1>-99999999999999</formula1>
      <formula2>99999999999999</formula2>
    </dataValidation>
    <dataValidation type="whole" allowBlank="1" showErrorMessage="1" errorTitle="Amount" error="Amount Non negative, no decimal, upto 99,999,999,999,999" sqref="J15">
      <formula1>-99999999999999</formula1>
      <formula2>99999999999999</formula2>
    </dataValidation>
    <dataValidation type="whole" allowBlank="1" showErrorMessage="1" errorTitle="Freight" error="Freight  Non negative, no decimal, upto 99,999,999,999,999" sqref="L26">
      <formula1>0</formula1>
      <formula2>99999999999999</formula2>
    </dataValidation>
    <dataValidation type="whole" allowBlank="1" showErrorMessage="1" errorTitle="PowerAndFuel" error="PowerAndFuel  Non negative, no decimal, upto 99,999,999,999,999" sqref="L28">
      <formula1>0</formula1>
      <formula2>99999999999999</formula2>
    </dataValidation>
    <dataValidation type="whole" allowBlank="1" showErrorMessage="1" errorTitle="Rents" error="Rents  Non negative, no decimal, upto 99,999,999,999,999" sqref="L29">
      <formula1>0</formula1>
      <formula2>99999999999999</formula2>
    </dataValidation>
    <dataValidation type="whole" allowBlank="1" showErrorMessage="1" errorTitle="RepairToBuilding" error="RepairToBuilding  Non negative, no decimal, upto 99,999,999,999,999" sqref="L30">
      <formula1>0</formula1>
      <formula2>99999999999999</formula2>
    </dataValidation>
    <dataValidation type="whole" allowBlank="1" showErrorMessage="1" errorTitle="CompensationToEmployees" error="CompensationToEmployees  Non negative, no decimal, upto 99,999,999,999,999" sqref="L31">
      <formula1>0</formula1>
      <formula2>99999999999999</formula2>
    </dataValidation>
    <dataValidation type="whole" allowBlank="1" showErrorMessage="1" errorTitle="SalariesAndwages" error="SalariesAndwages  Non negative, no decimal, upto 99,999,999,999,999" sqref="J33">
      <formula1>0</formula1>
      <formula2>99999999999999</formula2>
    </dataValidation>
    <dataValidation type="whole" allowBlank="1" showErrorMessage="1" errorTitle="Bonus" error="Bonus  Non negative, no decimal, upto 99,999,999,999,999" sqref="J34">
      <formula1>0</formula1>
      <formula2>99999999999999</formula2>
    </dataValidation>
    <dataValidation type="whole" allowBlank="1" showErrorMessage="1" errorTitle="Reimbursement" error="Reimbursement  Non negative, no decimal, upto 99,999,999,999,999" sqref="J35">
      <formula1>0</formula1>
      <formula2>99999999999999</formula2>
    </dataValidation>
    <dataValidation type="whole" allowBlank="1" showErrorMessage="1" errorTitle="LeaveEncashment" error="LeaveEncashment  Non negative, no decimal, upto 99,999,999,999,999" sqref="J36">
      <formula1>0</formula1>
      <formula2>99999999999999</formula2>
    </dataValidation>
    <dataValidation type="whole" allowBlank="1" showErrorMessage="1" errorTitle="LeaveTravelBenefits" error="LeaveTravelBenefits  Non negative, no decimal, upto 99,999,999,999,999" sqref="J37">
      <formula1>0</formula1>
      <formula2>99999999999999</formula2>
    </dataValidation>
    <dataValidation type="whole" allowBlank="1" showErrorMessage="1" errorTitle="ContributionApproved" error="ContributionApproved  Non negative, no decimal, upto 99,999,999,999,999" sqref="J38">
      <formula1>0</formula1>
      <formula2>99999999999999</formula2>
    </dataValidation>
    <dataValidation type="whole" allowBlank="1" showErrorMessage="1" errorTitle="ContributionRecognised" error="ContributionRecognised  Non negative, no decimal, upto 99,999,999,999,999" sqref="J39">
      <formula1>0</formula1>
      <formula2>99999999999999</formula2>
    </dataValidation>
    <dataValidation type="whole" allowBlank="1" showErrorMessage="1" errorTitle="ContributionRecognisedGratuity" error="ContributionRecognisedGratuity  Non negative, no decimal, upto 99,999,999,999,999" sqref="J40">
      <formula1>0</formula1>
      <formula2>99999999999999</formula2>
    </dataValidation>
    <dataValidation type="whole" allowBlank="1" showErrorMessage="1" errorTitle="ContributionToAnyFund" error="ContributionToAnyFund  Non negative, no decimal, upto 99,999,999,999,999" sqref="J41">
      <formula1>0</formula1>
      <formula2>99999999999999</formula2>
    </dataValidation>
    <dataValidation type="whole" allowBlank="1" showErrorMessage="1" errorTitle="OtherBenefits" error="OtherBenefits  Non negative, no decimal, upto 99,999,999,999,999" sqref="J42">
      <formula1>0</formula1>
      <formula2>99999999999999</formula2>
    </dataValidation>
    <dataValidation type="whole" allowBlank="1" showErrorMessage="1" errorTitle="MedicalInsurance" error="MedicalInsurance  Non negative, no decimal, upto 99,999,999,999,999" sqref="J47">
      <formula1>0</formula1>
      <formula2>99999999999999</formula2>
    </dataValidation>
    <dataValidation type="whole" allowBlank="1" showErrorMessage="1" errorTitle="LifeInsurance" error="LifeInsurance  Non negative, no decimal, upto 99,999,999,999,999" sqref="J48">
      <formula1>0</formula1>
      <formula2>99999999999999</formula2>
    </dataValidation>
    <dataValidation type="whole" allowBlank="1" showErrorMessage="1" errorTitle="KeymansInsurance" error="KeymansInsurance  Non negative, no decimal, upto 99,999,999,999,999" sqref="J49">
      <formula1>0</formula1>
      <formula2>99999999999999</formula2>
    </dataValidation>
    <dataValidation type="whole" allowBlank="1" showErrorMessage="1" errorTitle="OtherInsurance" error="OtherInsurance  Non negative, no decimal, upto 99,999,999,999,999" sqref="J50">
      <formula1>0</formula1>
      <formula2>99999999999999</formula2>
    </dataValidation>
    <dataValidation type="whole" allowBlank="1" showErrorMessage="1" errorTitle="workmenandstaffwelfare" error="workmenandstaffwelfare  Non negative, no decimal, upto 99,999,999,999,999" sqref="L52">
      <formula1>0</formula1>
      <formula2>99999999999999</formula2>
    </dataValidation>
    <dataValidation type="whole" allowBlank="1" showErrorMessage="1" errorTitle="Entertainment" error="Entertainment  Non negative, no decimal, upto 99,999,999,999,999" sqref="L53">
      <formula1>0</formula1>
      <formula2>99999999999999</formula2>
    </dataValidation>
    <dataValidation type="whole" allowBlank="1" showErrorMessage="1" errorTitle="Hospitality" error="Hospitality  Non negative, no decimal, upto 99,999,999,999,999" sqref="L54">
      <formula1>0</formula1>
      <formula2>99999999999999</formula2>
    </dataValidation>
    <dataValidation type="whole" allowBlank="1" showErrorMessage="1" errorTitle="Confrence" error="Confrence  Non negative, no decimal, upto 99,999,999,999,999" sqref="L55">
      <formula1>0</formula1>
      <formula2>99999999999999</formula2>
    </dataValidation>
    <dataValidation type="whole" allowBlank="1" showErrorMessage="1" errorTitle="SalesPromotion" error="SalesPromotion  Non negative, no decimal, upto 99,999,999,999,999" sqref="L56">
      <formula1>0</formula1>
      <formula2>99999999999999</formula2>
    </dataValidation>
    <dataValidation type="whole" allowBlank="1" showErrorMessage="1" errorTitle="Advertisement" error="Advertisement  Non negative, no decimal, upto 99,999,999,999,999" sqref="L57">
      <formula1>0</formula1>
      <formula2>99999999999999</formula2>
    </dataValidation>
    <dataValidation type="whole" allowBlank="1" showErrorMessage="1" error="  Non negative, no decimal, upto 99,999,999,999,999" sqref="J63:J64 J67:J68 L70:L80">
      <formula1>0</formula1>
      <formula2>99999999999999</formula2>
    </dataValidation>
    <dataValidation type="whole" allowBlank="1" showInputMessage="1" showErrorMessage="1" sqref="L4">
      <formula1>-99999999999999</formula1>
      <formula2>99999999999999</formula2>
    </dataValidation>
    <dataValidation type="list" allowBlank="1" showInputMessage="1" showErrorMessage="1" errorTitle="Business Code" error="Please select from the list" sqref="H140:J142">
      <formula1>NOB44AD</formula1>
    </dataValidation>
    <dataValidation type="textLength" operator="lessThanOrEqual" allowBlank="1" showInputMessage="1" showErrorMessage="1" errorTitle="Description" error="Description cannot be more than 75 characters" sqref="K140:K142 K152:Q154 K160:Q162">
      <formula1>75</formula1>
    </dataValidation>
    <dataValidation type="textLength" operator="lessThanOrEqual" allowBlank="1" showInputMessage="1" showErrorMessage="1" errorTitle="Name of the business" error="Name of the business cannot be more than 75 characters" sqref="E140:G142 E152:G154 D163 E160:G162">
      <formula1>75</formula1>
    </dataValidation>
    <dataValidation type="list" allowBlank="1" showInputMessage="1" showErrorMessage="1" errorTitle="Business Code" error="Please select from the list" sqref="H152:J154">
      <formula1>NOB44ADA</formula1>
    </dataValidation>
    <dataValidation type="list" allowBlank="1" showInputMessage="1" showErrorMessage="1" errorTitle="Business Code" error="Please select from the list" sqref="H160:J162">
      <formula1>NOB</formula1>
    </dataValidation>
    <dataValidation type="whole" allowBlank="1" showInputMessage="1" showErrorMessage="1" errorTitle="Gross turnover" error="Gross turnover should be non negative numeric ,upto 14 digits" sqref="K143">
      <formula1>0</formula1>
      <formula2>99999999999999</formula2>
    </dataValidation>
    <dataValidation type="whole" allowBlank="1" showInputMessage="1" showErrorMessage="1" sqref="J176 K177:Q177">
      <formula1>0</formula1>
      <formula2>99999999999999</formula2>
    </dataValidation>
    <dataValidation type="list" operator="lessThanOrEqual" allowBlank="1" showInputMessage="1" showErrorMessage="1" errorTitle="Owned/leased/hired" error="Please select from the list" sqref="H165:H174">
      <formula1>"(Select),Owned,Leased,Hired"</formula1>
    </dataValidation>
    <dataValidation type="whole" allowBlank="1" showInputMessage="1" showErrorMessage="1" errorTitle="Period of Holding" error="Period of Holding should be Between 1 to 12 months" sqref="J165:J174">
      <formula1>1</formula1>
      <formula2>12</formula2>
    </dataValidation>
    <dataValidation type="textLength" operator="lessThanOrEqual" allowBlank="1" showInputMessage="1" showErrorMessage="1" errorTitle="Registration Number" error="Registration number cannot exceed 10 characters" sqref="E175:E176">
      <formula1>10</formula1>
    </dataValidation>
    <dataValidation type="whole" allowBlank="1" showErrorMessage="1" errorTitle="PBIDTA" error="PBIDTA  Non negative, no decimal, upto 99,999,999,999,999" sqref="L124:Q124 L130:Q130 L137:Q137 M133:Q135 L133 L135">
      <formula1>-99999999999999</formula1>
      <formula2>99999999999999</formula2>
    </dataValidation>
    <dataValidation type="whole" allowBlank="1" showErrorMessage="1" errorTitle="DepreciationAmort" error="DepreciationAmort  Non negative, no decimal, upto 99,999,999,999,999" sqref="L129:Q129">
      <formula1>0</formula1>
      <formula2>99999999999999</formula2>
    </dataValidation>
    <dataValidation type="whole" allowBlank="1" showErrorMessage="1" errorTitle="OthDutyTaxCess" error="OthDutyTaxCess  Non negative, no decimal, upto 99,999,999,999,999" sqref="M123:Q123">
      <formula1>-99999999999999</formula1>
      <formula2>99999999999999</formula2>
    </dataValidation>
    <dataValidation type="whole" allowBlank="1" showErrorMessage="1" errorTitle="ProvForCurrTax" error="ProvForCurrTax  Non negative, no decimal, upto 99,999,999,999,999" sqref="M131:Q131">
      <formula1>-99999999999999</formula1>
      <formula2>99999999999999</formula2>
    </dataValidation>
    <dataValidation type="whole" allowBlank="1" showErrorMessage="1" errorTitle="ProvDefTax" error="ProvDefTax  Non negative, no decimal, upto 99,999,999,999,999" sqref="M132:Q132">
      <formula1>-99999999999999</formula1>
      <formula2>99999999999999</formula2>
    </dataValidation>
    <dataValidation type="whole" allowBlank="1" showErrorMessage="1" errorTitle="TrfToReserves" error="no decimal, upto 99,999,999,999,999" sqref="M136:Q136">
      <formula1>-99999999999999</formula1>
      <formula2>99999999999999</formula2>
    </dataValidation>
    <dataValidation type="whole" allowBlank="1" showErrorMessage="1" error=" Non negative, no decimal, upto 99,999,999,999,999" sqref="M122:Q122">
      <formula1>-99999999999999</formula1>
      <formula2>99999999999999</formula2>
    </dataValidation>
    <dataValidation type="whole" allowBlank="1" showInputMessage="1" showErrorMessage="1" errorTitle="Presumptive Income" error="Presumptive Income should be only Numeric, Non negative, No decimal upto 14 digits" sqref="M147:Q148">
      <formula1>0</formula1>
      <formula2>99999999999999</formula2>
    </dataValidation>
    <dataValidation type="whole" allowBlank="1" showErrorMessage="1" errorTitle="Through a/c payee" error="Numeric,Non negative, no decimal, upto 200,00,000" sqref="K144:Q145">
      <formula1>0</formula1>
      <formula2>20000000</formula2>
    </dataValidation>
    <dataValidation type="whole" allowBlank="1" showErrorMessage="1" errorTitle="Net Income" error="Net Income no decimal, upto 99,999,999,999,999" sqref="L198:Q198">
      <formula1>-99999999999999</formula1>
      <formula2>99999999999999</formula2>
    </dataValidation>
    <dataValidation type="whole" allowBlank="1" showErrorMessage="1" errorTitle="Gross Reciepts" error="Gross Reciepts  Non negative, no decimal, upto 99,999,999,999,999" sqref="K155:Q155">
      <formula1>0</formula1>
      <formula2>99999999999999</formula2>
    </dataValidation>
    <dataValidation type="whole" allowBlank="1" showErrorMessage="1" errorTitle="Presumptive Income" error="Presumptive Income  Non negative, no decimal, upto 99,999,999,999,999" sqref="M156:Q156">
      <formula1>0</formula1>
      <formula2>99999999999999</formula2>
    </dataValidation>
    <dataValidation type="whole" allowBlank="1" showInputMessage="1" showErrorMessage="1" errorTitle="Gross Turn Over" error="Gross Turn Over should be Numeric,Non Negative,No decimal upto 14 digits" sqref="L181:Q181">
      <formula1>0</formula1>
      <formula2>99999999999999</formula2>
    </dataValidation>
    <dataValidation type="whole" allowBlank="1" showInputMessage="1" showErrorMessage="1" errorTitle="Through a/c payee cheque " error="Through a/c payee cheque should be Numeric,Non Negative,No decimal upto 14 digits" sqref="L182:Q182">
      <formula1>0</formula1>
      <formula2>99999999999999</formula2>
    </dataValidation>
    <dataValidation type="whole" allowBlank="1" showInputMessage="1" showErrorMessage="1" errorTitle="Any Other mode" error="Any Other mode should be Numeric,Non Negative,No decimal upto 14 digits" sqref="L183:Q183">
      <formula1>0</formula1>
      <formula2>99999999999999</formula2>
    </dataValidation>
    <dataValidation type="whole" allowBlank="1" showInputMessage="1" showErrorMessage="1" errorTitle="Gross Profit" error="Gross Profit should be Numeric,Non Negative,No decimal upto 14 digits" sqref="M184:Q184">
      <formula1>0</formula1>
      <formula2>99999999999999</formula2>
    </dataValidation>
    <dataValidation type="whole" allowBlank="1" showInputMessage="1" showErrorMessage="1" errorTitle="Expenses " error="Expenses should be Numeric,Non Negative,No decimal upto 14 digits" sqref="L185:Q185">
      <formula1>0</formula1>
      <formula2>99999999999999</formula2>
    </dataValidation>
    <dataValidation type="whole" allowBlank="1" showInputMessage="1" showErrorMessage="1" errorTitle="Net Profit " error="Net Profit should be Numeric,No decimal upto 14 digits" sqref="M186:Q186">
      <formula1>-99999999999999</formula1>
      <formula2>99999999999999</formula2>
    </dataValidation>
    <dataValidation type="whole" allowBlank="1" showInputMessage="1" showErrorMessage="1" errorTitle="Gross reciepts" error="Gross reciepts should be Non Negative,Numeric,No decimal upto 14 digits" sqref="L188:Q188">
      <formula1>0</formula1>
      <formula2>99999999999999</formula2>
    </dataValidation>
    <dataValidation type="whole" allowBlank="1" showInputMessage="1" showErrorMessage="1" errorTitle="Through a/c payee cheque " error="Through a/c payee cheque should be Non Negative,Numeric,No decimal upto 14 digits" sqref="L189:Q189">
      <formula1>0</formula1>
      <formula2>99999999999999</formula2>
    </dataValidation>
    <dataValidation type="whole" allowBlank="1" showInputMessage="1" showErrorMessage="1" errorTitle="Any Other mode" error="Any Other mode should be Non Negative,Numeric,No decimal upto 14 digits" sqref="M190:Q192 L190 L192">
      <formula1>0</formula1>
      <formula2>99999999999999</formula2>
    </dataValidation>
    <dataValidation type="whole" allowBlank="1" showInputMessage="1" showErrorMessage="1" errorTitle="Net Profit" error="Net Profit should beNumeric,No decimal upto 14 digits" sqref="M193:Q193">
      <formula1>-99999999999999</formula1>
      <formula2>99999999999999</formula2>
    </dataValidation>
    <dataValidation type="whole" allowBlank="1" showInputMessage="1" showErrorMessage="1" errorTitle="Net Profit" error="Net Profit should be Numeric,No decimal upto 14 digits" sqref="L193:Q194">
      <formula1>-99999999999999</formula1>
      <formula2>99999999999999</formula2>
    </dataValidation>
    <dataValidation type="whole" allowBlank="1" showInputMessage="1" showErrorMessage="1" errorTitle="Total Profit" error="Total Profit should be Numeric,No decimal upto 14 digits" sqref="L194:Q194">
      <formula1>-99999999999999</formula1>
      <formula2>99999999999999</formula2>
    </dataValidation>
    <dataValidation type="whole" allowBlank="1" showErrorMessage="1" errorTitle="Turnover from speculative" error="Turnover from speculative  Non negative, no decimal, upto 99,999,999,999,999" sqref="L195:Q195">
      <formula1>0</formula1>
      <formula2>99999999999999</formula2>
    </dataValidation>
    <dataValidation type="whole" allowBlank="1" showErrorMessage="1" errorTitle="Gross Profit " error="Gross Profit   no decimal, upto 99,999,999,999,999" sqref="L196:Q196">
      <formula1>-99999999999999</formula1>
      <formula2>99999999999999</formula2>
    </dataValidation>
    <dataValidation type="whole" allowBlank="1" showErrorMessage="1" errorTitle="Expenditure" error="Expenditure Non negative, no decimal, upto 99,999,999,999,999" sqref="L197:Q197">
      <formula1>0</formula1>
      <formula2>99999999999999</formula2>
    </dataValidation>
    <dataValidation type="whole" allowBlank="1" showInputMessage="1" showErrorMessage="1" errorTitle="Presumptive Income" error="Presumptive Income should be Numeric,Non Negative,No decimal upto 14 digits" sqref="K176:Q176 K165:Q174">
      <formula1>0</formula1>
      <formula2>99999999999999</formula2>
    </dataValidation>
    <dataValidation type="textLength" operator="lessThanOrEqual" allowBlank="1" showInputMessage="1" showErrorMessage="1" errorTitle="Name" error="Name cannot be more than 125 characters" sqref="F114:G117">
      <formula1>125</formula1>
    </dataValidation>
    <dataValidation type="whole" allowBlank="1" showInputMessage="1" showErrorMessage="1" errorTitle="Amount" error="Amount should be Non negative, numeric,upto 14 digits" sqref="Q114:Q117">
      <formula1>0</formula1>
      <formula2>99999999999999</formula2>
    </dataValidation>
    <dataValidation type="textLength" operator="lessThanOrEqual" allowBlank="1" showInputMessage="1" showErrorMessage="1" errorTitle="ZipCode" error="Zipcode should be contain minimum of 1 or maximum of 8 Characters" sqref="P114:P117">
      <formula1>8</formula1>
    </dataValidation>
    <dataValidation type="whole" allowBlank="1" showInputMessage="1" showErrorMessage="1" errorTitle="Pincode" error="Pincode must be exactly 6 digits and should not start with zero" sqref="O114:O117">
      <formula1>100000</formula1>
      <formula2>999999</formula2>
    </dataValidation>
    <dataValidation type="list" allowBlank="1" showInputMessage="1" showErrorMessage="1" errorTitle="State" error="Please select from the list" sqref="M114:M117">
      <formula1>State</formula1>
    </dataValidation>
    <dataValidation type="list" operator="lessThanOrEqual" allowBlank="1" showInputMessage="1" showErrorMessage="1" errorTitle="Country" error="Please select from the list" sqref="N114:N117">
      <formula1>Country</formula1>
    </dataValidation>
    <dataValidation type="textLength" operator="lessThanOrEqual" allowBlank="1" showInputMessage="1" showErrorMessage="1" errorTitle="Flat/Door/Block No." error="Flat/Door/Block No. should not exceed 50 characters " sqref="H114:H117">
      <formula1>50</formula1>
    </dataValidation>
    <dataValidation type="textLength" operator="lessThanOrEqual" allowBlank="1" showInputMessage="1" showErrorMessage="1" errorTitle="Name of Premises" error="Name of Premises should not exceed 50 characters " sqref="I114:I117">
      <formula1>50</formula1>
    </dataValidation>
    <dataValidation type="textLength" operator="lessThanOrEqual" allowBlank="1" showInputMessage="1" showErrorMessage="1" errorTitle="Road/Street/Post Office" error="Road/Street/Post Office should not exceed 50 characters " sqref="J114:J117">
      <formula1>50</formula1>
    </dataValidation>
    <dataValidation type="textLength" operator="lessThanOrEqual" allowBlank="1" showInputMessage="1" showErrorMessage="1" errorTitle="Area" error="Area should not exceed 50 characters " sqref="K114:K117">
      <formula1>50</formula1>
    </dataValidation>
    <dataValidation type="textLength" operator="lessThanOrEqual" allowBlank="1" showInputMessage="1" showErrorMessage="1" errorTitle="Town/City/District" error="Town/City/District should not exceed 50 characters " sqref="L114:L117">
      <formula1>50</formula1>
    </dataValidation>
    <dataValidation type="whole" allowBlank="1" showErrorMessage="1" error="  no decimal, upto 99,999,999,999,999" sqref="L122">
      <formula1>-99999999999999</formula1>
      <formula2>99999999999999</formula2>
    </dataValidation>
    <dataValidation type="whole" allowBlank="1" showErrorMessage="1" errorTitle="Amount" error="Amount  , no decimal, upto 99,999,999,999,999" sqref="L123 L131:L132">
      <formula1>-99999999999999</formula1>
      <formula2>99999999999999</formula2>
    </dataValidation>
    <dataValidation type="whole" allowBlank="1" showErrorMessage="1" errorTitle="Amount" error="Amount , no decimal, upto 99,999,999,999,999" sqref="L134">
      <formula1>-99999999999999</formula1>
      <formula2>99999999999999</formula2>
    </dataValidation>
    <dataValidation type="whole" allowBlank="1" showErrorMessage="1" errorTitle="Amount" error="Amount no decimal, upto 99,999,999,999,999" sqref="L136">
      <formula1>-99999999999999</formula1>
      <formula2>99999999999999</formula2>
    </dataValidation>
    <dataValidation type="whole" allowBlank="1" showInputMessage="1" showErrorMessage="1" errorTitle="Any Other mode" error="Any Other mode should be ,Numeric,No decimal upto 14 digits" sqref="L191">
      <formula1>-99999999999999</formula1>
      <formula2>99999999999999</formula2>
    </dataValidation>
    <dataValidation type="whole" allowBlank="1" showInputMessage="1" showErrorMessage="1" errorTitle="Gross Profit" error="Gross Profit should be Numeric,No decimal upto 14 digits" sqref="L184">
      <formula1>-99999999999999</formula1>
      <formula2>99999999999999</formula2>
    </dataValidation>
    <dataValidation type="textLength" operator="equal" allowBlank="1" showInputMessage="1" showErrorMessage="1" errorTitle="Aadhar Number" error="Aadhaar Number should be exactly 12 digits" sqref="I103:I109">
      <formula1>12</formula1>
    </dataValidation>
    <dataValidation type="textLength" operator="lessThanOrEqual" allowBlank="1" showInputMessage="1" showErrorMessage="1" errorTitle="Registration Number" error="Registration number cannot exceed 11 characters" sqref="E165:G174">
      <formula1>11</formula1>
    </dataValidation>
    <dataValidation type="whole" allowBlank="1" showInputMessage="1" showErrorMessage="1" errorTitle="Presumptive Income" error="Presumptive Income should be only Numeric, Non negative, No decimal upto 8 digits" sqref="K147:L148">
      <formula1>0</formula1>
      <formula2>99999999</formula2>
    </dataValidation>
    <dataValidation type="whole" allowBlank="1" showErrorMessage="1" errorTitle="Presumptive Income" error="Presumptive Income  Non negative, no decimal, upto 7 digits" sqref="K156:L156">
      <formula1>0</formula1>
      <formula2>9999999</formula2>
    </dataValidation>
    <dataValidation type="whole" allowBlank="1" showInputMessage="1" showErrorMessage="1" errorTitle="Net Profit " error="Net Profit should be Numeric,No decimal upto 14 digits. Negative Not allowed _x000a_Loss cannot be claimed without maintenance of books of accounts" sqref="L186">
      <formula1>0</formula1>
      <formula2>99999999999999</formula2>
    </dataValidation>
    <dataValidation type="whole" allowBlank="1" showInputMessage="1" showErrorMessage="1" errorTitle="Net Profit" error="Net Profit should beNumeric,No decimal upto 14 digits" sqref="L193">
      <formula1>0</formula1>
      <formula2>99999999999999</formula2>
    </dataValidation>
    <dataValidation type="whole" allowBlank="1" showInputMessage="1" showErrorMessage="1" error="Please enter valid tonnage" sqref="I165:I174">
      <formula1>1</formula1>
      <formula2>100</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179" r:id="rId5" name="Button 11">
              <controlPr defaultSize="0" print="0" autoFill="0" autoPict="0" macro="[0]!CmdValidate_PL_Click">
                <anchor>
                  <from>
                    <xdr:col>12</xdr:col>
                    <xdr:colOff>114300</xdr:colOff>
                    <xdr:row>3</xdr:row>
                    <xdr:rowOff>95250</xdr:rowOff>
                  </from>
                  <to>
                    <xdr:col>13</xdr:col>
                    <xdr:colOff>533400</xdr:colOff>
                    <xdr:row>5</xdr:row>
                    <xdr:rowOff>57150</xdr:rowOff>
                  </to>
                </anchor>
              </controlPr>
            </control>
          </mc:Choice>
        </mc:AlternateContent>
        <mc:AlternateContent xmlns:mc="http://schemas.openxmlformats.org/markup-compatibility/2006">
          <mc:Choice Requires="x14">
            <control shapeId="7181" r:id="rId6" name="Button 13">
              <controlPr defaultSize="0" print="0" autoFill="0" autoPict="0" macro="[0]!Cmd_AddRows_PAN_Click">
                <anchor moveWithCells="1">
                  <from>
                    <xdr:col>5</xdr:col>
                    <xdr:colOff>28575</xdr:colOff>
                    <xdr:row>110</xdr:row>
                    <xdr:rowOff>76200</xdr:rowOff>
                  </from>
                  <to>
                    <xdr:col>7</xdr:col>
                    <xdr:colOff>276225</xdr:colOff>
                    <xdr:row>110</xdr:row>
                    <xdr:rowOff>342900</xdr:rowOff>
                  </to>
                </anchor>
              </controlPr>
            </control>
          </mc:Choice>
        </mc:AlternateContent>
        <mc:AlternateContent xmlns:mc="http://schemas.openxmlformats.org/markup-compatibility/2006">
          <mc:Choice Requires="x14">
            <control shapeId="7201" r:id="rId7" name="Button 33">
              <controlPr defaultSize="0" print="0" autoFill="0" autoPict="0" macro="[0]!Prev_Sheet">
                <anchor>
                  <from>
                    <xdr:col>12</xdr:col>
                    <xdr:colOff>114300</xdr:colOff>
                    <xdr:row>7</xdr:row>
                    <xdr:rowOff>66675</xdr:rowOff>
                  </from>
                  <to>
                    <xdr:col>13</xdr:col>
                    <xdr:colOff>533400</xdr:colOff>
                    <xdr:row>9</xdr:row>
                    <xdr:rowOff>19050</xdr:rowOff>
                  </to>
                </anchor>
              </controlPr>
            </control>
          </mc:Choice>
        </mc:AlternateContent>
        <mc:AlternateContent xmlns:mc="http://schemas.openxmlformats.org/markup-compatibility/2006">
          <mc:Choice Requires="x14">
            <control shapeId="7202" r:id="rId8" name="Button 34">
              <controlPr defaultSize="0" print="0" autoFill="0" autoPict="0" macro="[0]!Img_Home_Click">
                <anchor>
                  <from>
                    <xdr:col>12</xdr:col>
                    <xdr:colOff>114300</xdr:colOff>
                    <xdr:row>2</xdr:row>
                    <xdr:rowOff>171450</xdr:rowOff>
                  </from>
                  <to>
                    <xdr:col>13</xdr:col>
                    <xdr:colOff>533400</xdr:colOff>
                    <xdr:row>3</xdr:row>
                    <xdr:rowOff>66675</xdr:rowOff>
                  </to>
                </anchor>
              </controlPr>
            </control>
          </mc:Choice>
        </mc:AlternateContent>
        <mc:AlternateContent xmlns:mc="http://schemas.openxmlformats.org/markup-compatibility/2006">
          <mc:Choice Requires="x14">
            <control shapeId="7204" r:id="rId9" name="Button 36">
              <controlPr defaultSize="0" print="0" autoFill="0" autoPict="0" macro="[0]!Next_Sheet">
                <anchor>
                  <from>
                    <xdr:col>12</xdr:col>
                    <xdr:colOff>114300</xdr:colOff>
                    <xdr:row>5</xdr:row>
                    <xdr:rowOff>95250</xdr:rowOff>
                  </from>
                  <to>
                    <xdr:col>13</xdr:col>
                    <xdr:colOff>533400</xdr:colOff>
                    <xdr:row>7</xdr:row>
                    <xdr:rowOff>38100</xdr:rowOff>
                  </to>
                </anchor>
              </controlPr>
            </control>
          </mc:Choice>
        </mc:AlternateContent>
        <mc:AlternateContent xmlns:mc="http://schemas.openxmlformats.org/markup-compatibility/2006">
          <mc:Choice Requires="x14">
            <control shapeId="7205" r:id="rId10" name="Button 37">
              <controlPr defaultSize="0" print="0" autoFill="0" autoPict="0" macro="[0]!Instruction_Sheet">
                <anchor>
                  <from>
                    <xdr:col>12</xdr:col>
                    <xdr:colOff>114300</xdr:colOff>
                    <xdr:row>11</xdr:row>
                    <xdr:rowOff>104775</xdr:rowOff>
                  </from>
                  <to>
                    <xdr:col>13</xdr:col>
                    <xdr:colOff>533400</xdr:colOff>
                    <xdr:row>13</xdr:row>
                    <xdr:rowOff>57150</xdr:rowOff>
                  </to>
                </anchor>
              </controlPr>
            </control>
          </mc:Choice>
        </mc:AlternateContent>
        <mc:AlternateContent xmlns:mc="http://schemas.openxmlformats.org/markup-compatibility/2006">
          <mc:Choice Requires="x14">
            <control shapeId="7206" r:id="rId11" name="Button 38">
              <controlPr defaultSize="0" print="0" autoFill="0" autoPict="0" macro="[0]!WorksheetsPrint">
                <anchor>
                  <from>
                    <xdr:col>12</xdr:col>
                    <xdr:colOff>114300</xdr:colOff>
                    <xdr:row>10</xdr:row>
                    <xdr:rowOff>190500</xdr:rowOff>
                  </from>
                  <to>
                    <xdr:col>13</xdr:col>
                    <xdr:colOff>533400</xdr:colOff>
                    <xdr:row>11</xdr:row>
                    <xdr:rowOff>76200</xdr:rowOff>
                  </to>
                </anchor>
              </controlPr>
            </control>
          </mc:Choice>
        </mc:AlternateContent>
        <mc:AlternateContent xmlns:mc="http://schemas.openxmlformats.org/markup-compatibility/2006">
          <mc:Choice Requires="x14">
            <control shapeId="7207" r:id="rId12" name="Button 39">
              <controlPr defaultSize="0" print="0" autoFill="0" autoPict="0" macro="[0]!GenerateJSON.GenerateJSON">
                <anchor>
                  <from>
                    <xdr:col>12</xdr:col>
                    <xdr:colOff>114300</xdr:colOff>
                    <xdr:row>9</xdr:row>
                    <xdr:rowOff>57150</xdr:rowOff>
                  </from>
                  <to>
                    <xdr:col>13</xdr:col>
                    <xdr:colOff>533400</xdr:colOff>
                    <xdr:row>10</xdr:row>
                    <xdr:rowOff>152400</xdr:rowOff>
                  </to>
                </anchor>
              </controlPr>
            </control>
          </mc:Choice>
        </mc:AlternateContent>
        <mc:AlternateContent xmlns:mc="http://schemas.openxmlformats.org/markup-compatibility/2006">
          <mc:Choice Requires="x14">
            <control shapeId="7214" r:id="rId13" name="Button 46">
              <controlPr defaultSize="0" print="0" autoFill="0" autoPict="0" macro="[0]!Cmd_AddRows_Nature2_Click">
                <anchor moveWithCells="1">
                  <from>
                    <xdr:col>5</xdr:col>
                    <xdr:colOff>28575</xdr:colOff>
                    <xdr:row>22</xdr:row>
                    <xdr:rowOff>76200</xdr:rowOff>
                  </from>
                  <to>
                    <xdr:col>7</xdr:col>
                    <xdr:colOff>276225</xdr:colOff>
                    <xdr:row>22</xdr:row>
                    <xdr:rowOff>361950</xdr:rowOff>
                  </to>
                </anchor>
              </controlPr>
            </control>
          </mc:Choice>
        </mc:AlternateContent>
        <mc:AlternateContent xmlns:mc="http://schemas.openxmlformats.org/markup-compatibility/2006">
          <mc:Choice Requires="x14">
            <control shapeId="7215" r:id="rId14" name="Button 47">
              <controlPr defaultSize="0" print="0" autoFill="0" autoPict="0" macro="[0]!Cmd_AddRows_Nature3_Click">
                <anchor moveWithCells="1">
                  <from>
                    <xdr:col>6</xdr:col>
                    <xdr:colOff>28575</xdr:colOff>
                    <xdr:row>99</xdr:row>
                    <xdr:rowOff>76200</xdr:rowOff>
                  </from>
                  <to>
                    <xdr:col>7</xdr:col>
                    <xdr:colOff>790575</xdr:colOff>
                    <xdr:row>99</xdr:row>
                    <xdr:rowOff>342900</xdr:rowOff>
                  </to>
                </anchor>
              </controlPr>
            </control>
          </mc:Choice>
        </mc:AlternateContent>
        <mc:AlternateContent xmlns:mc="http://schemas.openxmlformats.org/markup-compatibility/2006">
          <mc:Choice Requires="x14">
            <control shapeId="7237" r:id="rId15" name="Button 69">
              <controlPr defaultSize="0" print="0" autoFill="0" autoPict="0" macro="[0]!Cmd_AddRows_OtherPAN_Click">
                <anchor moveWithCells="1" sizeWithCells="1">
                  <from>
                    <xdr:col>4</xdr:col>
                    <xdr:colOff>28575</xdr:colOff>
                    <xdr:row>117</xdr:row>
                    <xdr:rowOff>76200</xdr:rowOff>
                  </from>
                  <to>
                    <xdr:col>6</xdr:col>
                    <xdr:colOff>295275</xdr:colOff>
                    <xdr:row>117</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1000"/>
  <sheetViews>
    <sheetView showGridLines="0" showRowColHeaders="0" zoomScaleNormal="100" workbookViewId="0">
      <selection activeCell="L102" sqref="L102:L106"/>
    </sheetView>
  </sheetViews>
  <sheetFormatPr defaultColWidth="0" defaultRowHeight="12.75" zeroHeight="1" x14ac:dyDescent="0.2"/>
  <cols>
    <col min="1" max="1" width="3.28515625" style="113" customWidth="1"/>
    <col min="2" max="2" width="3.42578125" style="113" customWidth="1"/>
    <col min="3" max="3" width="3.5703125" style="113" customWidth="1"/>
    <col min="4" max="4" width="3.28515625" style="283" customWidth="1"/>
    <col min="5" max="5" width="4.140625" style="113" customWidth="1"/>
    <col min="6" max="6" width="3.42578125" style="113" customWidth="1"/>
    <col min="7" max="7" width="19.28515625" style="113" customWidth="1"/>
    <col min="8" max="8" width="37.28515625" style="113" customWidth="1"/>
    <col min="9" max="9" width="5.5703125" style="113" customWidth="1"/>
    <col min="10" max="10" width="18.140625" style="113" customWidth="1"/>
    <col min="11" max="11" width="5.85546875" style="283" customWidth="1"/>
    <col min="12" max="12" width="18" style="113" customWidth="1"/>
    <col min="13" max="13" width="4" style="117" customWidth="1"/>
    <col min="14" max="14" width="25.28515625" style="113" customWidth="1"/>
    <col min="15" max="15" width="26.5703125" style="113" hidden="1" customWidth="1"/>
    <col min="16" max="16384" width="9.140625" style="113" hidden="1"/>
  </cols>
  <sheetData>
    <row r="1" spans="2:13" ht="13.5" thickBot="1" x14ac:dyDescent="0.25"/>
    <row r="2" spans="2:13" x14ac:dyDescent="0.2">
      <c r="B2" s="1130"/>
      <c r="C2" s="1131"/>
      <c r="D2" s="1146"/>
      <c r="E2" s="1131"/>
      <c r="F2" s="1131"/>
      <c r="G2" s="1131"/>
      <c r="H2" s="1131"/>
      <c r="I2" s="1131"/>
      <c r="J2" s="1131"/>
      <c r="K2" s="1146"/>
      <c r="L2" s="1131"/>
      <c r="M2" s="1140"/>
    </row>
    <row r="3" spans="2:13" ht="17.25" customHeight="1" x14ac:dyDescent="0.2">
      <c r="B3" s="1121"/>
      <c r="C3" s="3254" t="s">
        <v>518</v>
      </c>
      <c r="D3" s="3255"/>
      <c r="E3" s="3256"/>
      <c r="F3" s="2994" t="s">
        <v>9428</v>
      </c>
      <c r="G3" s="2994"/>
      <c r="H3" s="2994"/>
      <c r="I3" s="2994"/>
      <c r="J3" s="2994"/>
      <c r="K3" s="2994"/>
      <c r="L3" s="2995"/>
      <c r="M3" s="1136"/>
    </row>
    <row r="4" spans="2:13" ht="16.5" customHeight="1" x14ac:dyDescent="0.2">
      <c r="B4" s="1121"/>
      <c r="C4" s="3012" t="s">
        <v>519</v>
      </c>
      <c r="D4" s="1302">
        <v>1</v>
      </c>
      <c r="E4" s="3227" t="s">
        <v>520</v>
      </c>
      <c r="F4" s="3006"/>
      <c r="G4" s="3006"/>
      <c r="H4" s="3006"/>
      <c r="I4" s="3006"/>
      <c r="J4" s="3260"/>
      <c r="K4" s="18">
        <v>1</v>
      </c>
      <c r="L4" s="390" t="s">
        <v>633</v>
      </c>
      <c r="M4" s="1136"/>
    </row>
    <row r="5" spans="2:13" ht="15" customHeight="1" x14ac:dyDescent="0.2">
      <c r="B5" s="1121"/>
      <c r="C5" s="3156"/>
      <c r="D5" s="456">
        <v>2</v>
      </c>
      <c r="E5" s="2993" t="s">
        <v>521</v>
      </c>
      <c r="F5" s="2994"/>
      <c r="G5" s="2994"/>
      <c r="H5" s="2994"/>
      <c r="I5" s="2994"/>
      <c r="J5" s="2995"/>
      <c r="K5" s="18">
        <v>2</v>
      </c>
      <c r="L5" s="390" t="s">
        <v>25</v>
      </c>
      <c r="M5" s="1136"/>
    </row>
    <row r="6" spans="2:13" ht="26.25" customHeight="1" x14ac:dyDescent="0.2">
      <c r="B6" s="1121"/>
      <c r="C6" s="3156"/>
      <c r="D6" s="1304" t="s">
        <v>768</v>
      </c>
      <c r="E6" s="2993" t="s">
        <v>8256</v>
      </c>
      <c r="F6" s="2994"/>
      <c r="G6" s="2994"/>
      <c r="H6" s="2994"/>
      <c r="I6" s="2994"/>
      <c r="J6" s="2995"/>
      <c r="K6" s="31" t="s">
        <v>768</v>
      </c>
      <c r="L6" s="1405">
        <f>ICDS.Total</f>
        <v>0</v>
      </c>
      <c r="M6" s="1136"/>
    </row>
    <row r="7" spans="2:13" ht="30.75" customHeight="1" x14ac:dyDescent="0.2">
      <c r="B7" s="1121"/>
      <c r="C7" s="3156"/>
      <c r="D7" s="1304" t="s">
        <v>769</v>
      </c>
      <c r="E7" s="2993" t="s">
        <v>8255</v>
      </c>
      <c r="F7" s="2994"/>
      <c r="G7" s="2994"/>
      <c r="H7" s="2994"/>
      <c r="I7" s="2994"/>
      <c r="J7" s="2995"/>
      <c r="K7" s="31" t="s">
        <v>769</v>
      </c>
      <c r="L7" s="1405">
        <f>ICDS.Totalb</f>
        <v>0</v>
      </c>
      <c r="M7" s="1136"/>
    </row>
    <row r="8" spans="2:13" ht="14.25" customHeight="1" x14ac:dyDescent="0.2">
      <c r="B8" s="1121"/>
      <c r="C8" s="3156"/>
      <c r="D8" s="1724">
        <v>4</v>
      </c>
      <c r="E8" s="2983" t="s">
        <v>7377</v>
      </c>
      <c r="F8" s="2984"/>
      <c r="G8" s="2984"/>
      <c r="H8" s="2984"/>
      <c r="I8" s="2984"/>
      <c r="J8" s="2984"/>
      <c r="K8" s="265"/>
      <c r="L8" s="266"/>
      <c r="M8" s="1136"/>
    </row>
    <row r="9" spans="2:13" ht="27" customHeight="1" x14ac:dyDescent="0.2">
      <c r="B9" s="1121"/>
      <c r="C9" s="3156"/>
      <c r="D9" s="1725"/>
      <c r="E9" s="1302" t="s">
        <v>27</v>
      </c>
      <c r="F9" s="2993" t="s">
        <v>522</v>
      </c>
      <c r="G9" s="2994"/>
      <c r="H9" s="2994"/>
      <c r="I9" s="2994"/>
      <c r="J9" s="2994"/>
      <c r="K9" s="31" t="s">
        <v>395</v>
      </c>
      <c r="L9" s="390" t="s">
        <v>12</v>
      </c>
      <c r="M9" s="1136"/>
    </row>
    <row r="10" spans="2:13" ht="25.5" customHeight="1" x14ac:dyDescent="0.2">
      <c r="B10" s="1121"/>
      <c r="C10" s="3156"/>
      <c r="D10" s="1725"/>
      <c r="E10" s="456" t="s">
        <v>28</v>
      </c>
      <c r="F10" s="2993" t="s">
        <v>523</v>
      </c>
      <c r="G10" s="2994"/>
      <c r="H10" s="2994"/>
      <c r="I10" s="2994"/>
      <c r="J10" s="2994"/>
      <c r="K10" s="31" t="s">
        <v>397</v>
      </c>
      <c r="L10" s="390" t="s">
        <v>12</v>
      </c>
      <c r="M10" s="1136"/>
    </row>
    <row r="11" spans="2:13" ht="12.75" customHeight="1" x14ac:dyDescent="0.2">
      <c r="B11" s="1121"/>
      <c r="C11" s="3156"/>
      <c r="D11" s="452"/>
      <c r="E11" s="456" t="s">
        <v>29</v>
      </c>
      <c r="F11" s="2993" t="s">
        <v>524</v>
      </c>
      <c r="G11" s="2994"/>
      <c r="H11" s="2994"/>
      <c r="I11" s="2994"/>
      <c r="J11" s="2995"/>
      <c r="K11" s="31" t="s">
        <v>399</v>
      </c>
      <c r="L11" s="390" t="s">
        <v>12</v>
      </c>
      <c r="M11" s="1136"/>
    </row>
    <row r="12" spans="2:13" ht="27.75" customHeight="1" x14ac:dyDescent="0.2">
      <c r="B12" s="1121"/>
      <c r="C12" s="3156"/>
      <c r="D12" s="3258"/>
      <c r="E12" s="456" t="s">
        <v>36</v>
      </c>
      <c r="F12" s="2993" t="s">
        <v>8261</v>
      </c>
      <c r="G12" s="3138"/>
      <c r="H12" s="3138"/>
      <c r="I12" s="3138"/>
      <c r="J12" s="3139"/>
      <c r="K12" s="31" t="s">
        <v>401</v>
      </c>
      <c r="L12" s="2602"/>
      <c r="M12" s="1136"/>
    </row>
    <row r="13" spans="2:13" ht="27.75" customHeight="1" x14ac:dyDescent="0.2">
      <c r="B13" s="1121"/>
      <c r="C13" s="3156"/>
      <c r="D13" s="3259"/>
      <c r="E13" s="456" t="s">
        <v>38</v>
      </c>
      <c r="F13" s="2993" t="s">
        <v>8262</v>
      </c>
      <c r="G13" s="2994"/>
      <c r="H13" s="2994"/>
      <c r="I13" s="2994"/>
      <c r="J13" s="2995"/>
      <c r="K13" s="1403" t="s">
        <v>8263</v>
      </c>
      <c r="L13" s="2602"/>
      <c r="M13" s="1136"/>
    </row>
    <row r="14" spans="2:13" ht="13.5" customHeight="1" x14ac:dyDescent="0.2">
      <c r="B14" s="1121"/>
      <c r="C14" s="3156"/>
      <c r="D14" s="437">
        <v>5</v>
      </c>
      <c r="E14" s="2983" t="s">
        <v>525</v>
      </c>
      <c r="F14" s="2984"/>
      <c r="G14" s="2984"/>
      <c r="H14" s="2984"/>
      <c r="I14" s="2984"/>
      <c r="J14" s="266"/>
      <c r="K14" s="3219"/>
      <c r="L14" s="3222"/>
      <c r="M14" s="1136"/>
    </row>
    <row r="15" spans="2:13" ht="12.75" customHeight="1" x14ac:dyDescent="0.2">
      <c r="B15" s="1121"/>
      <c r="C15" s="3156"/>
      <c r="D15" s="452"/>
      <c r="E15" s="1302" t="s">
        <v>27</v>
      </c>
      <c r="F15" s="2993" t="s">
        <v>526</v>
      </c>
      <c r="G15" s="2994"/>
      <c r="H15" s="2995"/>
      <c r="I15" s="31" t="s">
        <v>527</v>
      </c>
      <c r="J15" s="391"/>
      <c r="K15" s="3221"/>
      <c r="L15" s="3222"/>
      <c r="M15" s="1136"/>
    </row>
    <row r="16" spans="2:13" ht="53.25" customHeight="1" x14ac:dyDescent="0.2">
      <c r="B16" s="1121"/>
      <c r="C16" s="3156"/>
      <c r="D16" s="452"/>
      <c r="E16" s="456" t="s">
        <v>28</v>
      </c>
      <c r="F16" s="2993" t="s">
        <v>8264</v>
      </c>
      <c r="G16" s="3230"/>
      <c r="H16" s="3231"/>
      <c r="I16" s="31" t="s">
        <v>528</v>
      </c>
      <c r="J16" s="391"/>
      <c r="K16" s="3221"/>
      <c r="L16" s="3222"/>
      <c r="M16" s="1147"/>
    </row>
    <row r="17" spans="2:13" ht="15.75" customHeight="1" x14ac:dyDescent="0.2">
      <c r="B17" s="1121"/>
      <c r="C17" s="3156"/>
      <c r="D17" s="452"/>
      <c r="E17" s="456" t="s">
        <v>29</v>
      </c>
      <c r="F17" s="2993" t="s">
        <v>529</v>
      </c>
      <c r="G17" s="2994"/>
      <c r="H17" s="2995"/>
      <c r="I17" s="31" t="s">
        <v>530</v>
      </c>
      <c r="J17" s="391"/>
      <c r="K17" s="3221"/>
      <c r="L17" s="3222"/>
      <c r="M17" s="1136"/>
    </row>
    <row r="18" spans="2:13" ht="13.5" customHeight="1" x14ac:dyDescent="0.2">
      <c r="B18" s="1121"/>
      <c r="C18" s="3156"/>
      <c r="D18" s="452"/>
      <c r="E18" s="456" t="s">
        <v>36</v>
      </c>
      <c r="F18" s="2993" t="s">
        <v>531</v>
      </c>
      <c r="G18" s="3138"/>
      <c r="H18" s="3139"/>
      <c r="I18" s="31" t="s">
        <v>532</v>
      </c>
      <c r="J18" s="391"/>
      <c r="K18" s="3221"/>
      <c r="L18" s="3222"/>
      <c r="M18" s="1136"/>
    </row>
    <row r="19" spans="2:13" ht="13.5" customHeight="1" x14ac:dyDescent="0.2">
      <c r="B19" s="1121"/>
      <c r="C19" s="3156"/>
      <c r="D19" s="452"/>
      <c r="E19" s="456" t="s">
        <v>38</v>
      </c>
      <c r="F19" s="2993" t="s">
        <v>533</v>
      </c>
      <c r="G19" s="3138"/>
      <c r="H19" s="3139"/>
      <c r="I19" s="31" t="s">
        <v>534</v>
      </c>
      <c r="J19" s="391"/>
      <c r="K19" s="3232"/>
      <c r="L19" s="3233"/>
      <c r="M19" s="1136"/>
    </row>
    <row r="20" spans="2:13" ht="13.5" customHeight="1" x14ac:dyDescent="0.2">
      <c r="B20" s="1121"/>
      <c r="C20" s="3156"/>
      <c r="D20" s="452"/>
      <c r="E20" s="296" t="s">
        <v>40</v>
      </c>
      <c r="F20" s="3004" t="s">
        <v>535</v>
      </c>
      <c r="G20" s="3005"/>
      <c r="H20" s="3005"/>
      <c r="I20" s="3005"/>
      <c r="J20" s="3008"/>
      <c r="K20" s="187" t="s">
        <v>536</v>
      </c>
      <c r="L20" s="729">
        <f>SUM(J15:J19)</f>
        <v>0</v>
      </c>
      <c r="M20" s="1136"/>
    </row>
    <row r="21" spans="2:13" ht="27" customHeight="1" x14ac:dyDescent="0.2">
      <c r="B21" s="1121"/>
      <c r="C21" s="3156"/>
      <c r="D21" s="437">
        <v>6</v>
      </c>
      <c r="E21" s="2993" t="s">
        <v>7352</v>
      </c>
      <c r="F21" s="2994"/>
      <c r="G21" s="2994"/>
      <c r="H21" s="2994"/>
      <c r="I21" s="2994"/>
      <c r="J21" s="2995"/>
      <c r="K21" s="3219"/>
      <c r="L21" s="3220"/>
      <c r="M21" s="1136"/>
    </row>
    <row r="22" spans="2:13" ht="27" customHeight="1" x14ac:dyDescent="0.2">
      <c r="B22" s="1121"/>
      <c r="C22" s="3156"/>
      <c r="D22" s="452"/>
      <c r="E22" s="1302" t="s">
        <v>27</v>
      </c>
      <c r="F22" s="2993" t="s">
        <v>7353</v>
      </c>
      <c r="G22" s="3230"/>
      <c r="H22" s="3231"/>
      <c r="I22" s="108" t="s">
        <v>405</v>
      </c>
      <c r="J22" s="1408"/>
      <c r="K22" s="3221"/>
      <c r="L22" s="3222"/>
      <c r="M22" s="1136"/>
    </row>
    <row r="23" spans="2:13" ht="22.5" customHeight="1" x14ac:dyDescent="0.2">
      <c r="B23" s="1121"/>
      <c r="C23" s="3156"/>
      <c r="D23" s="452"/>
      <c r="E23" s="456" t="s">
        <v>28</v>
      </c>
      <c r="F23" s="2993" t="s">
        <v>7354</v>
      </c>
      <c r="G23" s="3230"/>
      <c r="H23" s="3231"/>
      <c r="I23" s="31" t="s">
        <v>407</v>
      </c>
      <c r="J23" s="391"/>
      <c r="K23" s="3221"/>
      <c r="L23" s="3222"/>
      <c r="M23" s="1136"/>
    </row>
    <row r="24" spans="2:13" ht="39" customHeight="1" x14ac:dyDescent="0.2">
      <c r="B24" s="1121"/>
      <c r="C24" s="3156"/>
      <c r="D24" s="452"/>
      <c r="E24" s="456" t="s">
        <v>29</v>
      </c>
      <c r="F24" s="2993" t="s">
        <v>7355</v>
      </c>
      <c r="G24" s="3230"/>
      <c r="H24" s="3231"/>
      <c r="I24" s="31" t="s">
        <v>409</v>
      </c>
      <c r="J24" s="391"/>
      <c r="K24" s="3221"/>
      <c r="L24" s="3222"/>
      <c r="M24" s="1136"/>
    </row>
    <row r="25" spans="2:13" ht="23.25" customHeight="1" x14ac:dyDescent="0.2">
      <c r="B25" s="1121"/>
      <c r="C25" s="3156"/>
      <c r="D25" s="452"/>
      <c r="E25" s="456" t="s">
        <v>36</v>
      </c>
      <c r="F25" s="2993" t="s">
        <v>7356</v>
      </c>
      <c r="G25" s="3230"/>
      <c r="H25" s="3231"/>
      <c r="I25" s="31" t="s">
        <v>411</v>
      </c>
      <c r="J25" s="391"/>
      <c r="K25" s="3221"/>
      <c r="L25" s="3222"/>
      <c r="M25" s="1136"/>
    </row>
    <row r="26" spans="2:13" ht="14.25" customHeight="1" x14ac:dyDescent="0.2">
      <c r="B26" s="1121"/>
      <c r="C26" s="3156"/>
      <c r="D26" s="452"/>
      <c r="E26" s="456" t="s">
        <v>38</v>
      </c>
      <c r="F26" s="2993" t="s">
        <v>7357</v>
      </c>
      <c r="G26" s="3138"/>
      <c r="H26" s="3139"/>
      <c r="I26" s="31" t="s">
        <v>537</v>
      </c>
      <c r="J26" s="391"/>
      <c r="K26" s="3221"/>
      <c r="L26" s="3222"/>
      <c r="M26" s="1136"/>
    </row>
    <row r="27" spans="2:13" ht="23.25" customHeight="1" x14ac:dyDescent="0.2">
      <c r="B27" s="1121"/>
      <c r="C27" s="3156"/>
      <c r="D27" s="452"/>
      <c r="E27" s="456" t="s">
        <v>40</v>
      </c>
      <c r="F27" s="2993" t="s">
        <v>7358</v>
      </c>
      <c r="G27" s="3138"/>
      <c r="H27" s="3139"/>
      <c r="I27" s="31" t="s">
        <v>538</v>
      </c>
      <c r="J27" s="1408"/>
      <c r="K27" s="3221"/>
      <c r="L27" s="3222"/>
      <c r="M27" s="1136"/>
    </row>
    <row r="28" spans="2:13" ht="21.75" customHeight="1" x14ac:dyDescent="0.2">
      <c r="B28" s="1121"/>
      <c r="C28" s="3156"/>
      <c r="D28" s="452"/>
      <c r="E28" s="456" t="s">
        <v>539</v>
      </c>
      <c r="F28" s="2993" t="s">
        <v>7359</v>
      </c>
      <c r="G28" s="3230"/>
      <c r="H28" s="3231"/>
      <c r="I28" s="31" t="s">
        <v>540</v>
      </c>
      <c r="J28" s="391"/>
      <c r="K28" s="3221"/>
      <c r="L28" s="3222"/>
      <c r="M28" s="1136"/>
    </row>
    <row r="29" spans="2:13" ht="23.25" customHeight="1" x14ac:dyDescent="0.2">
      <c r="B29" s="1121"/>
      <c r="C29" s="3156"/>
      <c r="D29" s="452"/>
      <c r="E29" s="456" t="s">
        <v>541</v>
      </c>
      <c r="F29" s="2993" t="s">
        <v>542</v>
      </c>
      <c r="G29" s="3230"/>
      <c r="H29" s="3231"/>
      <c r="I29" s="31" t="s">
        <v>543</v>
      </c>
      <c r="J29" s="391"/>
      <c r="K29" s="3221"/>
      <c r="L29" s="3222"/>
      <c r="M29" s="1136"/>
    </row>
    <row r="30" spans="2:13" ht="15" customHeight="1" x14ac:dyDescent="0.2">
      <c r="B30" s="1121"/>
      <c r="C30" s="3156"/>
      <c r="D30" s="452"/>
      <c r="E30" s="456" t="s">
        <v>287</v>
      </c>
      <c r="F30" s="2993" t="s">
        <v>7360</v>
      </c>
      <c r="G30" s="3138"/>
      <c r="H30" s="3139"/>
      <c r="I30" s="31" t="s">
        <v>544</v>
      </c>
      <c r="J30" s="391"/>
      <c r="K30" s="3221"/>
      <c r="L30" s="3222"/>
      <c r="M30" s="1136"/>
    </row>
    <row r="31" spans="2:13" ht="13.5" customHeight="1" x14ac:dyDescent="0.2">
      <c r="B31" s="1121"/>
      <c r="C31" s="3156"/>
      <c r="D31" s="452"/>
      <c r="E31" s="456" t="s">
        <v>545</v>
      </c>
      <c r="F31" s="2993" t="s">
        <v>7361</v>
      </c>
      <c r="G31" s="3138"/>
      <c r="H31" s="3139"/>
      <c r="I31" s="31" t="s">
        <v>546</v>
      </c>
      <c r="J31" s="391"/>
      <c r="K31" s="3221"/>
      <c r="L31" s="3222"/>
      <c r="M31" s="1136"/>
    </row>
    <row r="32" spans="2:13" ht="55.5" customHeight="1" x14ac:dyDescent="0.2">
      <c r="B32" s="1121"/>
      <c r="C32" s="3156"/>
      <c r="D32" s="452"/>
      <c r="E32" s="456" t="s">
        <v>547</v>
      </c>
      <c r="F32" s="2993" t="s">
        <v>6529</v>
      </c>
      <c r="G32" s="3138"/>
      <c r="H32" s="3139"/>
      <c r="I32" s="31" t="s">
        <v>548</v>
      </c>
      <c r="J32" s="1408"/>
      <c r="K32" s="3221"/>
      <c r="L32" s="3222"/>
      <c r="M32" s="1136"/>
    </row>
    <row r="33" spans="2:13" ht="15" customHeight="1" x14ac:dyDescent="0.2">
      <c r="B33" s="1121"/>
      <c r="C33" s="3156"/>
      <c r="D33" s="452"/>
      <c r="E33" s="456" t="s">
        <v>549</v>
      </c>
      <c r="F33" s="2993" t="s">
        <v>7362</v>
      </c>
      <c r="G33" s="3138"/>
      <c r="H33" s="3139"/>
      <c r="I33" s="31" t="s">
        <v>550</v>
      </c>
      <c r="J33" s="391"/>
      <c r="K33" s="3221"/>
      <c r="L33" s="3222"/>
      <c r="M33" s="1136"/>
    </row>
    <row r="34" spans="2:13" ht="13.5" customHeight="1" x14ac:dyDescent="0.2">
      <c r="B34" s="1121"/>
      <c r="C34" s="3156"/>
      <c r="D34" s="452"/>
      <c r="E34" s="456" t="s">
        <v>551</v>
      </c>
      <c r="F34" s="2993" t="s">
        <v>7363</v>
      </c>
      <c r="G34" s="3138"/>
      <c r="H34" s="3139"/>
      <c r="I34" s="31" t="s">
        <v>552</v>
      </c>
      <c r="J34" s="391"/>
      <c r="K34" s="3221"/>
      <c r="L34" s="3222"/>
      <c r="M34" s="1136"/>
    </row>
    <row r="35" spans="2:13" ht="13.5" customHeight="1" x14ac:dyDescent="0.2">
      <c r="B35" s="1121"/>
      <c r="C35" s="3156"/>
      <c r="D35" s="452"/>
      <c r="E35" s="456" t="s">
        <v>553</v>
      </c>
      <c r="F35" s="2993" t="s">
        <v>7364</v>
      </c>
      <c r="G35" s="3138"/>
      <c r="H35" s="3139"/>
      <c r="I35" s="31" t="s">
        <v>554</v>
      </c>
      <c r="J35" s="391"/>
      <c r="K35" s="3221"/>
      <c r="L35" s="3222"/>
      <c r="M35" s="1136"/>
    </row>
    <row r="36" spans="2:13" ht="27" customHeight="1" x14ac:dyDescent="0.2">
      <c r="B36" s="1121"/>
      <c r="C36" s="3156"/>
      <c r="D36" s="452"/>
      <c r="E36" s="1304" t="s">
        <v>555</v>
      </c>
      <c r="F36" s="3237" t="s">
        <v>7365</v>
      </c>
      <c r="G36" s="3265"/>
      <c r="H36" s="3266"/>
      <c r="I36" s="36" t="s">
        <v>556</v>
      </c>
      <c r="J36" s="391"/>
      <c r="K36" s="3221"/>
      <c r="L36" s="3222"/>
      <c r="M36" s="1136"/>
    </row>
    <row r="37" spans="2:13" ht="27" customHeight="1" x14ac:dyDescent="0.2">
      <c r="B37" s="1121"/>
      <c r="C37" s="3156"/>
      <c r="D37" s="452"/>
      <c r="E37" s="456" t="s">
        <v>557</v>
      </c>
      <c r="F37" s="2993" t="s">
        <v>558</v>
      </c>
      <c r="G37" s="3230"/>
      <c r="H37" s="3231"/>
      <c r="I37" s="31" t="s">
        <v>559</v>
      </c>
      <c r="J37" s="391"/>
      <c r="K37" s="3221"/>
      <c r="L37" s="3222"/>
      <c r="M37" s="1136"/>
    </row>
    <row r="38" spans="2:13" ht="28.5" customHeight="1" x14ac:dyDescent="0.2">
      <c r="B38" s="1121"/>
      <c r="C38" s="3156"/>
      <c r="D38" s="452"/>
      <c r="E38" s="1302" t="s">
        <v>562</v>
      </c>
      <c r="F38" s="2993" t="s">
        <v>9431</v>
      </c>
      <c r="G38" s="3230"/>
      <c r="H38" s="3231"/>
      <c r="I38" s="31" t="s">
        <v>561</v>
      </c>
      <c r="J38" s="1372"/>
      <c r="K38" s="1300"/>
      <c r="L38" s="1301"/>
      <c r="M38" s="1136"/>
    </row>
    <row r="39" spans="2:13" ht="13.5" customHeight="1" x14ac:dyDescent="0.2">
      <c r="B39" s="1121"/>
      <c r="C39" s="3156"/>
      <c r="D39" s="452"/>
      <c r="E39" s="1302" t="s">
        <v>1089</v>
      </c>
      <c r="F39" s="2993" t="s">
        <v>560</v>
      </c>
      <c r="G39" s="2994"/>
      <c r="H39" s="2995"/>
      <c r="I39" s="31" t="s">
        <v>563</v>
      </c>
      <c r="J39" s="1372"/>
      <c r="K39" s="3232"/>
      <c r="L39" s="3233"/>
      <c r="M39" s="1136"/>
    </row>
    <row r="40" spans="2:13" ht="12.75" customHeight="1" x14ac:dyDescent="0.2">
      <c r="B40" s="1121"/>
      <c r="C40" s="3156"/>
      <c r="D40" s="1726"/>
      <c r="E40" s="296" t="s">
        <v>1152</v>
      </c>
      <c r="F40" s="3004" t="s">
        <v>9430</v>
      </c>
      <c r="G40" s="3005"/>
      <c r="H40" s="3005"/>
      <c r="I40" s="3005"/>
      <c r="J40" s="3008"/>
      <c r="K40" s="267" t="s">
        <v>9429</v>
      </c>
      <c r="L40" s="1374">
        <f>SUM(J22:J39)</f>
        <v>0</v>
      </c>
      <c r="M40" s="1136"/>
    </row>
    <row r="41" spans="2:13" ht="13.5" customHeight="1" x14ac:dyDescent="0.2">
      <c r="B41" s="1121"/>
      <c r="C41" s="3156"/>
      <c r="D41" s="437">
        <v>7</v>
      </c>
      <c r="E41" s="2983" t="s">
        <v>564</v>
      </c>
      <c r="F41" s="2984"/>
      <c r="G41" s="2984"/>
      <c r="H41" s="2984"/>
      <c r="I41" s="2984"/>
      <c r="J41" s="3247"/>
      <c r="K41" s="3219"/>
      <c r="L41" s="3220"/>
      <c r="M41" s="1136"/>
    </row>
    <row r="42" spans="2:13" ht="14.25" customHeight="1" x14ac:dyDescent="0.2">
      <c r="B42" s="1121"/>
      <c r="C42" s="3156"/>
      <c r="D42" s="452"/>
      <c r="E42" s="1406" t="s">
        <v>27</v>
      </c>
      <c r="F42" s="2993" t="s">
        <v>565</v>
      </c>
      <c r="G42" s="3138"/>
      <c r="H42" s="3139"/>
      <c r="I42" s="31" t="s">
        <v>566</v>
      </c>
      <c r="J42" s="391"/>
      <c r="K42" s="3221"/>
      <c r="L42" s="3222"/>
      <c r="M42" s="1136"/>
    </row>
    <row r="43" spans="2:13" ht="14.25" customHeight="1" x14ac:dyDescent="0.2">
      <c r="B43" s="1121"/>
      <c r="C43" s="3156"/>
      <c r="D43" s="452"/>
      <c r="E43" s="1406" t="s">
        <v>28</v>
      </c>
      <c r="F43" s="2993" t="s">
        <v>7366</v>
      </c>
      <c r="G43" s="3138"/>
      <c r="H43" s="3139"/>
      <c r="I43" s="31" t="s">
        <v>567</v>
      </c>
      <c r="J43" s="1408"/>
      <c r="K43" s="3221"/>
      <c r="L43" s="3222"/>
      <c r="M43" s="1136"/>
    </row>
    <row r="44" spans="2:13" ht="27" customHeight="1" x14ac:dyDescent="0.2">
      <c r="B44" s="1121"/>
      <c r="C44" s="3156"/>
      <c r="D44" s="452"/>
      <c r="E44" s="1406" t="s">
        <v>29</v>
      </c>
      <c r="F44" s="2993" t="s">
        <v>568</v>
      </c>
      <c r="G44" s="3230"/>
      <c r="H44" s="3231"/>
      <c r="I44" s="31" t="s">
        <v>569</v>
      </c>
      <c r="J44" s="391"/>
      <c r="K44" s="3221"/>
      <c r="L44" s="3222"/>
      <c r="M44" s="1136"/>
    </row>
    <row r="45" spans="2:13" ht="27.75" customHeight="1" x14ac:dyDescent="0.2">
      <c r="B45" s="1121"/>
      <c r="C45" s="3156"/>
      <c r="D45" s="452"/>
      <c r="E45" s="1406" t="s">
        <v>36</v>
      </c>
      <c r="F45" s="2993" t="s">
        <v>7367</v>
      </c>
      <c r="G45" s="3230"/>
      <c r="H45" s="3231"/>
      <c r="I45" s="1407" t="s">
        <v>570</v>
      </c>
      <c r="J45" s="391"/>
      <c r="K45" s="3221"/>
      <c r="L45" s="3222"/>
      <c r="M45" s="1136"/>
    </row>
    <row r="46" spans="2:13" ht="27" customHeight="1" x14ac:dyDescent="0.2">
      <c r="B46" s="1121"/>
      <c r="C46" s="3156"/>
      <c r="D46" s="452"/>
      <c r="E46" s="1406" t="s">
        <v>38</v>
      </c>
      <c r="F46" s="2993" t="s">
        <v>7368</v>
      </c>
      <c r="G46" s="3230"/>
      <c r="H46" s="3231"/>
      <c r="I46" s="31" t="s">
        <v>571</v>
      </c>
      <c r="J46" s="391"/>
      <c r="K46" s="3221"/>
      <c r="L46" s="3222"/>
      <c r="M46" s="1136"/>
    </row>
    <row r="47" spans="2:13" ht="13.5" customHeight="1" x14ac:dyDescent="0.2">
      <c r="B47" s="1121"/>
      <c r="C47" s="3156"/>
      <c r="D47" s="452"/>
      <c r="E47" s="1406" t="s">
        <v>40</v>
      </c>
      <c r="F47" s="2993" t="s">
        <v>7369</v>
      </c>
      <c r="G47" s="3138"/>
      <c r="H47" s="3139"/>
      <c r="I47" s="31" t="s">
        <v>572</v>
      </c>
      <c r="J47" s="391"/>
      <c r="K47" s="3221"/>
      <c r="L47" s="3222"/>
      <c r="M47" s="1136"/>
    </row>
    <row r="48" spans="2:13" ht="26.25" customHeight="1" x14ac:dyDescent="0.2">
      <c r="B48" s="1121"/>
      <c r="C48" s="3156"/>
      <c r="D48" s="452"/>
      <c r="E48" s="1406" t="s">
        <v>539</v>
      </c>
      <c r="F48" s="2993" t="s">
        <v>573</v>
      </c>
      <c r="G48" s="3230"/>
      <c r="H48" s="3231"/>
      <c r="I48" s="31" t="s">
        <v>574</v>
      </c>
      <c r="J48" s="391"/>
      <c r="K48" s="3221"/>
      <c r="L48" s="3222"/>
      <c r="M48" s="1136"/>
    </row>
    <row r="49" spans="2:13" ht="12.75" customHeight="1" x14ac:dyDescent="0.2">
      <c r="B49" s="1121"/>
      <c r="C49" s="3156"/>
      <c r="D49" s="452"/>
      <c r="E49" s="1406" t="s">
        <v>541</v>
      </c>
      <c r="F49" s="2993" t="s">
        <v>575</v>
      </c>
      <c r="G49" s="3138"/>
      <c r="H49" s="3139"/>
      <c r="I49" s="31" t="s">
        <v>576</v>
      </c>
      <c r="J49" s="391"/>
      <c r="K49" s="3221"/>
      <c r="L49" s="3222"/>
      <c r="M49" s="1136"/>
    </row>
    <row r="50" spans="2:13" ht="12.75" customHeight="1" x14ac:dyDescent="0.2">
      <c r="B50" s="1121"/>
      <c r="C50" s="3156"/>
      <c r="D50" s="452"/>
      <c r="E50" s="1406" t="s">
        <v>287</v>
      </c>
      <c r="F50" s="2993" t="s">
        <v>577</v>
      </c>
      <c r="G50" s="2994"/>
      <c r="H50" s="2995"/>
      <c r="I50" s="31" t="s">
        <v>444</v>
      </c>
      <c r="J50" s="391"/>
      <c r="K50" s="3232"/>
      <c r="L50" s="3233"/>
      <c r="M50" s="1136"/>
    </row>
    <row r="51" spans="2:13" ht="14.25" customHeight="1" x14ac:dyDescent="0.2">
      <c r="B51" s="1121"/>
      <c r="C51" s="3156"/>
      <c r="D51" s="452"/>
      <c r="E51" s="1409" t="s">
        <v>545</v>
      </c>
      <c r="F51" s="3009" t="s">
        <v>578</v>
      </c>
      <c r="G51" s="3010"/>
      <c r="H51" s="3010"/>
      <c r="I51" s="3010"/>
      <c r="J51" s="3011"/>
      <c r="K51" s="162" t="s">
        <v>579</v>
      </c>
      <c r="L51" s="729">
        <f>SUM(J42:J50)</f>
        <v>0</v>
      </c>
      <c r="M51" s="1136"/>
    </row>
    <row r="52" spans="2:13" ht="13.5" customHeight="1" x14ac:dyDescent="0.2">
      <c r="B52" s="1121"/>
      <c r="C52" s="3156"/>
      <c r="D52" s="1727">
        <v>8</v>
      </c>
      <c r="E52" s="150" t="s">
        <v>309</v>
      </c>
      <c r="F52" s="3251" t="s">
        <v>580</v>
      </c>
      <c r="G52" s="3252"/>
      <c r="H52" s="3252"/>
      <c r="I52" s="3252"/>
      <c r="J52" s="3253"/>
      <c r="K52" s="3219"/>
      <c r="L52" s="3220"/>
      <c r="M52" s="1136"/>
    </row>
    <row r="53" spans="2:13" ht="27.75" customHeight="1" x14ac:dyDescent="0.2">
      <c r="B53" s="1121"/>
      <c r="C53" s="3156"/>
      <c r="D53" s="453"/>
      <c r="E53" s="153"/>
      <c r="F53" s="1302" t="s">
        <v>27</v>
      </c>
      <c r="G53" s="2993" t="s">
        <v>581</v>
      </c>
      <c r="H53" s="3231"/>
      <c r="I53" s="108" t="s">
        <v>582</v>
      </c>
      <c r="J53" s="391"/>
      <c r="K53" s="3221"/>
      <c r="L53" s="3222"/>
      <c r="M53" s="1136"/>
    </row>
    <row r="54" spans="2:13" ht="26.25" customHeight="1" x14ac:dyDescent="0.2">
      <c r="B54" s="1121"/>
      <c r="C54" s="3156"/>
      <c r="D54" s="453"/>
      <c r="E54" s="153"/>
      <c r="F54" s="1302" t="s">
        <v>28</v>
      </c>
      <c r="G54" s="2993" t="s">
        <v>584</v>
      </c>
      <c r="H54" s="3231"/>
      <c r="I54" s="108" t="s">
        <v>583</v>
      </c>
      <c r="J54" s="391"/>
      <c r="K54" s="3221"/>
      <c r="L54" s="3222"/>
      <c r="M54" s="1136"/>
    </row>
    <row r="55" spans="2:13" ht="26.25" customHeight="1" x14ac:dyDescent="0.2">
      <c r="B55" s="1121"/>
      <c r="C55" s="3156"/>
      <c r="D55" s="453"/>
      <c r="E55" s="153"/>
      <c r="F55" s="1302" t="s">
        <v>29</v>
      </c>
      <c r="G55" s="2993" t="s">
        <v>12882</v>
      </c>
      <c r="H55" s="2995"/>
      <c r="I55" s="108" t="s">
        <v>586</v>
      </c>
      <c r="J55" s="391"/>
      <c r="K55" s="3221"/>
      <c r="L55" s="3222"/>
      <c r="M55" s="1136"/>
    </row>
    <row r="56" spans="2:13" ht="26.25" customHeight="1" x14ac:dyDescent="0.2">
      <c r="B56" s="1121"/>
      <c r="C56" s="3156"/>
      <c r="D56" s="453"/>
      <c r="E56" s="153"/>
      <c r="F56" s="456" t="s">
        <v>36</v>
      </c>
      <c r="G56" s="2993" t="s">
        <v>585</v>
      </c>
      <c r="H56" s="3231"/>
      <c r="I56" s="31" t="s">
        <v>587</v>
      </c>
      <c r="J56" s="391"/>
      <c r="K56" s="3221"/>
      <c r="L56" s="3222"/>
      <c r="M56" s="1136"/>
    </row>
    <row r="57" spans="2:13" ht="21.75" customHeight="1" x14ac:dyDescent="0.2">
      <c r="B57" s="1121"/>
      <c r="C57" s="3156"/>
      <c r="D57" s="453"/>
      <c r="E57" s="153"/>
      <c r="F57" s="456" t="s">
        <v>38</v>
      </c>
      <c r="G57" s="2993" t="s">
        <v>7600</v>
      </c>
      <c r="H57" s="3231"/>
      <c r="I57" s="31" t="s">
        <v>588</v>
      </c>
      <c r="J57" s="391"/>
      <c r="K57" s="3221"/>
      <c r="L57" s="3222"/>
      <c r="M57" s="1136"/>
    </row>
    <row r="58" spans="2:13" ht="15.75" customHeight="1" x14ac:dyDescent="0.2">
      <c r="B58" s="1121"/>
      <c r="C58" s="3156"/>
      <c r="D58" s="453"/>
      <c r="E58" s="153"/>
      <c r="F58" s="456" t="s">
        <v>40</v>
      </c>
      <c r="G58" s="2993" t="s">
        <v>7601</v>
      </c>
      <c r="H58" s="3249"/>
      <c r="I58" s="31" t="s">
        <v>590</v>
      </c>
      <c r="J58" s="391"/>
      <c r="K58" s="3221"/>
      <c r="L58" s="3222"/>
      <c r="M58" s="1136"/>
    </row>
    <row r="59" spans="2:13" ht="26.25" customHeight="1" x14ac:dyDescent="0.2">
      <c r="B59" s="1121"/>
      <c r="C59" s="3156"/>
      <c r="D59" s="453"/>
      <c r="E59" s="153"/>
      <c r="F59" s="456" t="s">
        <v>539</v>
      </c>
      <c r="G59" s="2993" t="s">
        <v>589</v>
      </c>
      <c r="H59" s="3249"/>
      <c r="I59" s="31" t="s">
        <v>591</v>
      </c>
      <c r="J59" s="391"/>
      <c r="K59" s="3221"/>
      <c r="L59" s="3222"/>
      <c r="M59" s="1136"/>
    </row>
    <row r="60" spans="2:13" ht="25.5" customHeight="1" x14ac:dyDescent="0.2">
      <c r="B60" s="1121"/>
      <c r="C60" s="3156"/>
      <c r="D60" s="453"/>
      <c r="E60" s="153"/>
      <c r="F60" s="456" t="s">
        <v>541</v>
      </c>
      <c r="G60" s="2993" t="s">
        <v>11940</v>
      </c>
      <c r="H60" s="3224"/>
      <c r="I60" s="31" t="s">
        <v>6810</v>
      </c>
      <c r="J60" s="391"/>
      <c r="K60" s="3221"/>
      <c r="L60" s="3222"/>
      <c r="M60" s="1136"/>
    </row>
    <row r="61" spans="2:13" ht="13.5" customHeight="1" x14ac:dyDescent="0.2">
      <c r="B61" s="1121"/>
      <c r="C61" s="3156"/>
      <c r="D61" s="453"/>
      <c r="E61" s="153"/>
      <c r="F61" s="456" t="s">
        <v>287</v>
      </c>
      <c r="G61" s="2993" t="s">
        <v>560</v>
      </c>
      <c r="H61" s="3249"/>
      <c r="I61" s="31" t="s">
        <v>7653</v>
      </c>
      <c r="J61" s="391"/>
      <c r="K61" s="3232"/>
      <c r="L61" s="3233"/>
      <c r="M61" s="1136"/>
    </row>
    <row r="62" spans="2:13" ht="15" customHeight="1" x14ac:dyDescent="0.2">
      <c r="B62" s="1121"/>
      <c r="C62" s="3156"/>
      <c r="D62" s="453"/>
      <c r="E62" s="164"/>
      <c r="F62" s="296" t="s">
        <v>545</v>
      </c>
      <c r="G62" s="3009" t="s">
        <v>7651</v>
      </c>
      <c r="H62" s="3010"/>
      <c r="I62" s="3010"/>
      <c r="J62" s="3011"/>
      <c r="K62" s="254" t="s">
        <v>7652</v>
      </c>
      <c r="L62" s="729">
        <f>SUM(J53:J61)</f>
        <v>0</v>
      </c>
      <c r="M62" s="1136"/>
    </row>
    <row r="63" spans="2:13" ht="25.5" customHeight="1" x14ac:dyDescent="0.2">
      <c r="B63" s="1121"/>
      <c r="C63" s="3156"/>
      <c r="D63" s="452"/>
      <c r="E63" s="193" t="s">
        <v>312</v>
      </c>
      <c r="F63" s="2993" t="s">
        <v>592</v>
      </c>
      <c r="G63" s="3230"/>
      <c r="H63" s="3230"/>
      <c r="I63" s="3230"/>
      <c r="J63" s="3231"/>
      <c r="K63" s="28" t="s">
        <v>593</v>
      </c>
      <c r="L63" s="391"/>
      <c r="M63" s="1136"/>
    </row>
    <row r="64" spans="2:13" ht="21" customHeight="1" x14ac:dyDescent="0.2">
      <c r="B64" s="1121"/>
      <c r="C64" s="3156"/>
      <c r="D64" s="437">
        <v>9</v>
      </c>
      <c r="E64" s="2994" t="s">
        <v>594</v>
      </c>
      <c r="F64" s="3138"/>
      <c r="G64" s="3138"/>
      <c r="H64" s="3138"/>
      <c r="I64" s="3138"/>
      <c r="J64" s="3139"/>
      <c r="K64" s="3219"/>
      <c r="L64" s="3220"/>
      <c r="M64" s="1136"/>
    </row>
    <row r="65" spans="2:13" ht="13.5" customHeight="1" x14ac:dyDescent="0.2">
      <c r="B65" s="1121"/>
      <c r="C65" s="3156"/>
      <c r="D65" s="452"/>
      <c r="E65" s="193" t="s">
        <v>27</v>
      </c>
      <c r="F65" s="2993" t="s">
        <v>595</v>
      </c>
      <c r="G65" s="3223"/>
      <c r="H65" s="3224"/>
      <c r="I65" s="109" t="s">
        <v>596</v>
      </c>
      <c r="J65" s="391"/>
      <c r="K65" s="3221"/>
      <c r="L65" s="3222"/>
      <c r="M65" s="1136"/>
    </row>
    <row r="66" spans="2:13" ht="50.25" customHeight="1" x14ac:dyDescent="0.2">
      <c r="B66" s="1121"/>
      <c r="C66" s="3156"/>
      <c r="D66" s="452"/>
      <c r="E66" s="157" t="s">
        <v>28</v>
      </c>
      <c r="F66" s="2993" t="s">
        <v>11941</v>
      </c>
      <c r="G66" s="3223"/>
      <c r="H66" s="3224"/>
      <c r="I66" s="18" t="s">
        <v>597</v>
      </c>
      <c r="J66" s="391"/>
      <c r="K66" s="3221"/>
      <c r="L66" s="3222"/>
      <c r="M66" s="1136"/>
    </row>
    <row r="67" spans="2:13" ht="15.75" customHeight="1" x14ac:dyDescent="0.2">
      <c r="B67" s="1121"/>
      <c r="C67" s="3156"/>
      <c r="D67" s="452"/>
      <c r="E67" s="157" t="s">
        <v>29</v>
      </c>
      <c r="F67" s="2993" t="s">
        <v>7602</v>
      </c>
      <c r="G67" s="3248"/>
      <c r="H67" s="3249"/>
      <c r="I67" s="18" t="s">
        <v>598</v>
      </c>
      <c r="J67" s="391"/>
      <c r="K67" s="3221"/>
      <c r="L67" s="3222"/>
      <c r="M67" s="1136"/>
    </row>
    <row r="68" spans="2:13" ht="41.25" customHeight="1" x14ac:dyDescent="0.2">
      <c r="B68" s="1121"/>
      <c r="C68" s="3156"/>
      <c r="D68" s="452"/>
      <c r="E68" s="157" t="s">
        <v>36</v>
      </c>
      <c r="F68" s="2993" t="s">
        <v>6530</v>
      </c>
      <c r="G68" s="3223"/>
      <c r="H68" s="3224"/>
      <c r="I68" s="18" t="s">
        <v>599</v>
      </c>
      <c r="J68" s="391"/>
      <c r="K68" s="3221"/>
      <c r="L68" s="3222"/>
      <c r="M68" s="1136"/>
    </row>
    <row r="69" spans="2:13" ht="14.25" customHeight="1" x14ac:dyDescent="0.2">
      <c r="B69" s="1121"/>
      <c r="C69" s="3156"/>
      <c r="D69" s="452"/>
      <c r="E69" s="157" t="s">
        <v>38</v>
      </c>
      <c r="F69" s="2993" t="s">
        <v>560</v>
      </c>
      <c r="G69" s="3248"/>
      <c r="H69" s="3249"/>
      <c r="I69" s="18" t="s">
        <v>600</v>
      </c>
      <c r="J69" s="391"/>
      <c r="K69" s="3232"/>
      <c r="L69" s="3233"/>
      <c r="M69" s="1136"/>
    </row>
    <row r="70" spans="2:13" ht="12.75" customHeight="1" x14ac:dyDescent="0.2">
      <c r="B70" s="1121"/>
      <c r="C70" s="3156"/>
      <c r="D70" s="452"/>
      <c r="E70" s="176" t="s">
        <v>40</v>
      </c>
      <c r="F70" s="3004" t="s">
        <v>11942</v>
      </c>
      <c r="G70" s="3005"/>
      <c r="H70" s="3005"/>
      <c r="I70" s="3005"/>
      <c r="J70" s="3008"/>
      <c r="K70" s="269" t="s">
        <v>601</v>
      </c>
      <c r="L70" s="1381">
        <f>SUM(J65:J69)</f>
        <v>0</v>
      </c>
      <c r="M70" s="1136"/>
    </row>
    <row r="71" spans="2:13" ht="26.25" customHeight="1" x14ac:dyDescent="0.2">
      <c r="B71" s="1121"/>
      <c r="C71" s="3156"/>
      <c r="D71" s="3234">
        <v>10</v>
      </c>
      <c r="E71" s="2994" t="s">
        <v>602</v>
      </c>
      <c r="F71" s="3230"/>
      <c r="G71" s="3230"/>
      <c r="H71" s="3230"/>
      <c r="I71" s="3230"/>
      <c r="J71" s="3230"/>
      <c r="K71" s="3219"/>
      <c r="L71" s="3220"/>
      <c r="M71" s="1136"/>
    </row>
    <row r="72" spans="2:13" ht="15" customHeight="1" x14ac:dyDescent="0.2">
      <c r="B72" s="1121"/>
      <c r="C72" s="3156"/>
      <c r="D72" s="3235"/>
      <c r="E72" s="1410" t="s">
        <v>27</v>
      </c>
      <c r="F72" s="3237" t="s">
        <v>603</v>
      </c>
      <c r="G72" s="3238"/>
      <c r="H72" s="3239"/>
      <c r="I72" s="1411" t="s">
        <v>604</v>
      </c>
      <c r="J72" s="1413"/>
      <c r="K72" s="3221"/>
      <c r="L72" s="3222"/>
      <c r="M72" s="1136"/>
    </row>
    <row r="73" spans="2:13" ht="39" customHeight="1" x14ac:dyDescent="0.2">
      <c r="B73" s="1121"/>
      <c r="C73" s="3156"/>
      <c r="D73" s="3235"/>
      <c r="E73" s="456" t="s">
        <v>28</v>
      </c>
      <c r="F73" s="2993" t="s">
        <v>605</v>
      </c>
      <c r="G73" s="3223"/>
      <c r="H73" s="3224"/>
      <c r="I73" s="31" t="s">
        <v>606</v>
      </c>
      <c r="J73" s="1372"/>
      <c r="K73" s="3221"/>
      <c r="L73" s="3222"/>
      <c r="M73" s="1136"/>
    </row>
    <row r="74" spans="2:13" ht="25.5" customHeight="1" x14ac:dyDescent="0.2">
      <c r="B74" s="1121"/>
      <c r="C74" s="3156"/>
      <c r="D74" s="3235"/>
      <c r="E74" s="1302" t="s">
        <v>29</v>
      </c>
      <c r="F74" s="3227" t="s">
        <v>607</v>
      </c>
      <c r="G74" s="3228"/>
      <c r="H74" s="3229"/>
      <c r="I74" s="108" t="s">
        <v>608</v>
      </c>
      <c r="J74" s="1414"/>
      <c r="K74" s="3221"/>
      <c r="L74" s="3222"/>
      <c r="M74" s="1136"/>
    </row>
    <row r="75" spans="2:13" ht="39" customHeight="1" x14ac:dyDescent="0.2">
      <c r="B75" s="1121"/>
      <c r="C75" s="3156"/>
      <c r="D75" s="3235"/>
      <c r="E75" s="456" t="s">
        <v>36</v>
      </c>
      <c r="F75" s="2993" t="s">
        <v>609</v>
      </c>
      <c r="G75" s="3223"/>
      <c r="H75" s="3224"/>
      <c r="I75" s="31" t="s">
        <v>610</v>
      </c>
      <c r="J75" s="1372"/>
      <c r="K75" s="3221"/>
      <c r="L75" s="3222"/>
      <c r="M75" s="1136"/>
    </row>
    <row r="76" spans="2:13" ht="53.25" customHeight="1" x14ac:dyDescent="0.2">
      <c r="B76" s="1121"/>
      <c r="C76" s="3156"/>
      <c r="D76" s="3235"/>
      <c r="E76" s="2484" t="s">
        <v>13015</v>
      </c>
      <c r="F76" s="2993" t="s">
        <v>13054</v>
      </c>
      <c r="G76" s="2994"/>
      <c r="H76" s="2995"/>
      <c r="I76" s="2485" t="s">
        <v>13093</v>
      </c>
      <c r="J76" s="2483"/>
      <c r="K76" s="3221"/>
      <c r="L76" s="3222"/>
      <c r="M76" s="1136"/>
    </row>
    <row r="77" spans="2:13" ht="41.25" customHeight="1" x14ac:dyDescent="0.2">
      <c r="B77" s="1121"/>
      <c r="C77" s="3156"/>
      <c r="D77" s="3235"/>
      <c r="E77" s="456" t="s">
        <v>38</v>
      </c>
      <c r="F77" s="2993" t="s">
        <v>8265</v>
      </c>
      <c r="G77" s="3223"/>
      <c r="H77" s="3224"/>
      <c r="I77" s="31" t="s">
        <v>611</v>
      </c>
      <c r="J77" s="1372"/>
      <c r="K77" s="3221"/>
      <c r="L77" s="3222"/>
      <c r="M77" s="1136"/>
    </row>
    <row r="78" spans="2:13" ht="13.5" customHeight="1" x14ac:dyDescent="0.2">
      <c r="B78" s="1121"/>
      <c r="C78" s="3156"/>
      <c r="D78" s="3235"/>
      <c r="E78" s="456" t="s">
        <v>40</v>
      </c>
      <c r="F78" s="2993" t="s">
        <v>612</v>
      </c>
      <c r="G78" s="3223"/>
      <c r="H78" s="3224"/>
      <c r="I78" s="31" t="s">
        <v>613</v>
      </c>
      <c r="J78" s="1372"/>
      <c r="K78" s="3221"/>
      <c r="L78" s="3222"/>
      <c r="M78" s="1136"/>
    </row>
    <row r="79" spans="2:13" ht="17.25" customHeight="1" x14ac:dyDescent="0.2">
      <c r="B79" s="1121"/>
      <c r="C79" s="3156"/>
      <c r="D79" s="3235"/>
      <c r="E79" s="456" t="s">
        <v>539</v>
      </c>
      <c r="F79" s="2993" t="s">
        <v>7654</v>
      </c>
      <c r="G79" s="3223"/>
      <c r="H79" s="3224"/>
      <c r="I79" s="1412" t="s">
        <v>614</v>
      </c>
      <c r="J79" s="1372"/>
      <c r="K79" s="271"/>
      <c r="L79" s="272"/>
      <c r="M79" s="1136"/>
    </row>
    <row r="80" spans="2:13" ht="12.75" customHeight="1" x14ac:dyDescent="0.2">
      <c r="B80" s="1121"/>
      <c r="C80" s="3156"/>
      <c r="D80" s="3236"/>
      <c r="E80" s="296" t="s">
        <v>541</v>
      </c>
      <c r="F80" s="3004" t="s">
        <v>8266</v>
      </c>
      <c r="G80" s="3225"/>
      <c r="H80" s="3225"/>
      <c r="I80" s="3225"/>
      <c r="J80" s="3226"/>
      <c r="K80" s="273" t="s">
        <v>8272</v>
      </c>
      <c r="L80" s="1415">
        <f>SUM(J72:J79)</f>
        <v>0</v>
      </c>
      <c r="M80" s="1136"/>
    </row>
    <row r="81" spans="2:13" ht="23.25" customHeight="1" x14ac:dyDescent="0.2">
      <c r="B81" s="1121"/>
      <c r="C81" s="3156"/>
      <c r="D81" s="3234">
        <v>11</v>
      </c>
      <c r="E81" s="2994" t="s">
        <v>615</v>
      </c>
      <c r="F81" s="3230"/>
      <c r="G81" s="3230"/>
      <c r="H81" s="3230"/>
      <c r="I81" s="3230"/>
      <c r="J81" s="3230"/>
      <c r="K81" s="3032"/>
      <c r="L81" s="3033"/>
      <c r="M81" s="1136"/>
    </row>
    <row r="82" spans="2:13" ht="13.5" customHeight="1" x14ac:dyDescent="0.2">
      <c r="B82" s="1121"/>
      <c r="C82" s="3156"/>
      <c r="D82" s="3235"/>
      <c r="E82" s="193" t="s">
        <v>27</v>
      </c>
      <c r="F82" s="2993" t="s">
        <v>603</v>
      </c>
      <c r="G82" s="3230"/>
      <c r="H82" s="3231"/>
      <c r="I82" s="109" t="s">
        <v>616</v>
      </c>
      <c r="J82" s="1414"/>
      <c r="K82" s="3034"/>
      <c r="L82" s="3035"/>
      <c r="M82" s="1136"/>
    </row>
    <row r="83" spans="2:13" ht="40.5" customHeight="1" x14ac:dyDescent="0.2">
      <c r="B83" s="1121"/>
      <c r="C83" s="3156"/>
      <c r="D83" s="3235"/>
      <c r="E83" s="157" t="s">
        <v>28</v>
      </c>
      <c r="F83" s="2993" t="s">
        <v>605</v>
      </c>
      <c r="G83" s="3230"/>
      <c r="H83" s="3231"/>
      <c r="I83" s="18" t="s">
        <v>617</v>
      </c>
      <c r="J83" s="1372"/>
      <c r="K83" s="3034"/>
      <c r="L83" s="3035"/>
      <c r="M83" s="1136"/>
    </row>
    <row r="84" spans="2:13" ht="24.75" customHeight="1" x14ac:dyDescent="0.2">
      <c r="B84" s="1121"/>
      <c r="C84" s="3156"/>
      <c r="D84" s="3235"/>
      <c r="E84" s="157" t="s">
        <v>29</v>
      </c>
      <c r="F84" s="2993" t="s">
        <v>607</v>
      </c>
      <c r="G84" s="3230"/>
      <c r="H84" s="3231"/>
      <c r="I84" s="18" t="s">
        <v>618</v>
      </c>
      <c r="J84" s="1372"/>
      <c r="K84" s="3034"/>
      <c r="L84" s="3035"/>
      <c r="M84" s="1136"/>
    </row>
    <row r="85" spans="2:13" ht="40.5" customHeight="1" x14ac:dyDescent="0.2">
      <c r="B85" s="1121"/>
      <c r="C85" s="3156"/>
      <c r="D85" s="3235"/>
      <c r="E85" s="157" t="s">
        <v>36</v>
      </c>
      <c r="F85" s="2993" t="s">
        <v>609</v>
      </c>
      <c r="G85" s="3230"/>
      <c r="H85" s="3231"/>
      <c r="I85" s="18" t="s">
        <v>619</v>
      </c>
      <c r="J85" s="1372"/>
      <c r="K85" s="3034"/>
      <c r="L85" s="3035"/>
      <c r="M85" s="1136"/>
    </row>
    <row r="86" spans="2:13" ht="51.75" customHeight="1" x14ac:dyDescent="0.2">
      <c r="B86" s="1121"/>
      <c r="C86" s="3156"/>
      <c r="D86" s="3235"/>
      <c r="E86" s="157" t="s">
        <v>13015</v>
      </c>
      <c r="F86" s="2993" t="s">
        <v>13054</v>
      </c>
      <c r="G86" s="2994"/>
      <c r="H86" s="2995"/>
      <c r="I86" s="18" t="s">
        <v>11943</v>
      </c>
      <c r="J86" s="1372"/>
      <c r="K86" s="3034"/>
      <c r="L86" s="3035"/>
      <c r="M86" s="1136"/>
    </row>
    <row r="87" spans="2:13" ht="39" customHeight="1" x14ac:dyDescent="0.2">
      <c r="B87" s="1121"/>
      <c r="C87" s="3156"/>
      <c r="D87" s="3235"/>
      <c r="E87" s="157" t="s">
        <v>38</v>
      </c>
      <c r="F87" s="2993" t="s">
        <v>8265</v>
      </c>
      <c r="G87" s="3230"/>
      <c r="H87" s="3231"/>
      <c r="I87" s="18" t="s">
        <v>620</v>
      </c>
      <c r="J87" s="1372"/>
      <c r="K87" s="3034"/>
      <c r="L87" s="3035"/>
      <c r="M87" s="1136"/>
    </row>
    <row r="88" spans="2:13" ht="14.25" customHeight="1" x14ac:dyDescent="0.2">
      <c r="B88" s="1121"/>
      <c r="C88" s="3156"/>
      <c r="D88" s="3235"/>
      <c r="E88" s="157" t="s">
        <v>40</v>
      </c>
      <c r="F88" s="2993" t="s">
        <v>612</v>
      </c>
      <c r="G88" s="3230"/>
      <c r="H88" s="3231"/>
      <c r="I88" s="18" t="s">
        <v>621</v>
      </c>
      <c r="J88" s="1372"/>
      <c r="K88" s="3034"/>
      <c r="L88" s="3035"/>
      <c r="M88" s="1136"/>
    </row>
    <row r="89" spans="2:13" ht="13.5" customHeight="1" x14ac:dyDescent="0.2">
      <c r="B89" s="1121"/>
      <c r="C89" s="3156"/>
      <c r="D89" s="3235"/>
      <c r="E89" s="157" t="s">
        <v>539</v>
      </c>
      <c r="F89" s="2993" t="s">
        <v>7654</v>
      </c>
      <c r="G89" s="3223"/>
      <c r="H89" s="3224"/>
      <c r="I89" s="270" t="s">
        <v>8267</v>
      </c>
      <c r="J89" s="1372"/>
      <c r="K89" s="271"/>
      <c r="L89" s="272"/>
      <c r="M89" s="1136"/>
    </row>
    <row r="90" spans="2:13" ht="14.25" customHeight="1" x14ac:dyDescent="0.2">
      <c r="B90" s="1121"/>
      <c r="C90" s="3156"/>
      <c r="D90" s="3236"/>
      <c r="E90" s="176" t="s">
        <v>541</v>
      </c>
      <c r="F90" s="3004" t="s">
        <v>7692</v>
      </c>
      <c r="G90" s="3225"/>
      <c r="H90" s="3225"/>
      <c r="I90" s="3225"/>
      <c r="J90" s="3226"/>
      <c r="K90" s="274" t="s">
        <v>7693</v>
      </c>
      <c r="L90" s="1374">
        <f>SUM(J82:J89)</f>
        <v>0</v>
      </c>
      <c r="M90" s="1136"/>
    </row>
    <row r="91" spans="2:13" ht="14.25" customHeight="1" x14ac:dyDescent="0.2">
      <c r="B91" s="1121"/>
      <c r="C91" s="3156"/>
      <c r="D91" s="3234">
        <v>12</v>
      </c>
      <c r="E91" s="2994" t="s">
        <v>622</v>
      </c>
      <c r="F91" s="3138"/>
      <c r="G91" s="3138"/>
      <c r="H91" s="3138"/>
      <c r="I91" s="3138"/>
      <c r="J91" s="3139"/>
      <c r="K91" s="3219"/>
      <c r="L91" s="3220"/>
      <c r="M91" s="1136"/>
    </row>
    <row r="92" spans="2:13" ht="14.25" customHeight="1" x14ac:dyDescent="0.2">
      <c r="B92" s="1121"/>
      <c r="C92" s="3156"/>
      <c r="D92" s="3235"/>
      <c r="E92" s="1302" t="s">
        <v>27</v>
      </c>
      <c r="F92" s="2993" t="s">
        <v>623</v>
      </c>
      <c r="G92" s="3138"/>
      <c r="H92" s="3139"/>
      <c r="I92" s="395" t="s">
        <v>624</v>
      </c>
      <c r="J92" s="1408"/>
      <c r="K92" s="3221"/>
      <c r="L92" s="3222"/>
      <c r="M92" s="1136"/>
    </row>
    <row r="93" spans="2:13" ht="13.5" customHeight="1" x14ac:dyDescent="0.2">
      <c r="B93" s="1121"/>
      <c r="C93" s="3156"/>
      <c r="D93" s="3235"/>
      <c r="E93" s="456" t="s">
        <v>28</v>
      </c>
      <c r="F93" s="2993" t="s">
        <v>421</v>
      </c>
      <c r="G93" s="3138"/>
      <c r="H93" s="3139"/>
      <c r="I93" s="28" t="s">
        <v>625</v>
      </c>
      <c r="J93" s="391"/>
      <c r="K93" s="3221"/>
      <c r="L93" s="3222"/>
      <c r="M93" s="1136"/>
    </row>
    <row r="94" spans="2:13" ht="13.5" customHeight="1" x14ac:dyDescent="0.2">
      <c r="B94" s="1121"/>
      <c r="C94" s="3156"/>
      <c r="D94" s="3235"/>
      <c r="E94" s="456" t="s">
        <v>29</v>
      </c>
      <c r="F94" s="2993" t="s">
        <v>626</v>
      </c>
      <c r="G94" s="3138"/>
      <c r="H94" s="3139"/>
      <c r="I94" s="28" t="s">
        <v>627</v>
      </c>
      <c r="J94" s="391"/>
      <c r="K94" s="3221"/>
      <c r="L94" s="3222"/>
      <c r="M94" s="1136"/>
    </row>
    <row r="95" spans="2:13" ht="13.5" customHeight="1" x14ac:dyDescent="0.2">
      <c r="B95" s="1121"/>
      <c r="C95" s="3156"/>
      <c r="D95" s="3235"/>
      <c r="E95" s="456" t="s">
        <v>36</v>
      </c>
      <c r="F95" s="2993" t="s">
        <v>8248</v>
      </c>
      <c r="G95" s="2994"/>
      <c r="H95" s="2995"/>
      <c r="I95" s="28" t="s">
        <v>629</v>
      </c>
      <c r="J95" s="391"/>
      <c r="K95" s="3221"/>
      <c r="L95" s="3222"/>
      <c r="M95" s="1136"/>
    </row>
    <row r="96" spans="2:13" ht="13.5" customHeight="1" x14ac:dyDescent="0.2">
      <c r="B96" s="1121"/>
      <c r="C96" s="3156"/>
      <c r="D96" s="3235"/>
      <c r="E96" s="456" t="s">
        <v>38</v>
      </c>
      <c r="F96" s="2993" t="s">
        <v>8249</v>
      </c>
      <c r="G96" s="2994"/>
      <c r="H96" s="2995"/>
      <c r="I96" s="28" t="s">
        <v>630</v>
      </c>
      <c r="J96" s="391"/>
      <c r="K96" s="3221"/>
      <c r="L96" s="3222"/>
      <c r="M96" s="1136"/>
    </row>
    <row r="97" spans="2:13" ht="13.5" customHeight="1" x14ac:dyDescent="0.2">
      <c r="B97" s="1121"/>
      <c r="C97" s="3156"/>
      <c r="D97" s="3235"/>
      <c r="E97" s="456" t="s">
        <v>40</v>
      </c>
      <c r="F97" s="2993" t="s">
        <v>8250</v>
      </c>
      <c r="G97" s="2994"/>
      <c r="H97" s="2995"/>
      <c r="I97" s="28" t="s">
        <v>8269</v>
      </c>
      <c r="J97" s="391"/>
      <c r="K97" s="3221"/>
      <c r="L97" s="3222"/>
      <c r="M97" s="1136"/>
    </row>
    <row r="98" spans="2:13" ht="13.5" customHeight="1" x14ac:dyDescent="0.2">
      <c r="B98" s="1121"/>
      <c r="C98" s="3156"/>
      <c r="D98" s="3235"/>
      <c r="E98" s="456" t="s">
        <v>539</v>
      </c>
      <c r="F98" s="2993" t="s">
        <v>8251</v>
      </c>
      <c r="G98" s="2994"/>
      <c r="H98" s="2995"/>
      <c r="I98" s="28" t="s">
        <v>8270</v>
      </c>
      <c r="J98" s="391"/>
      <c r="K98" s="3221"/>
      <c r="L98" s="3222"/>
      <c r="M98" s="1136"/>
    </row>
    <row r="99" spans="2:13" ht="16.5" customHeight="1" x14ac:dyDescent="0.2">
      <c r="B99" s="1121"/>
      <c r="C99" s="3156"/>
      <c r="D99" s="3235"/>
      <c r="E99" s="456" t="s">
        <v>541</v>
      </c>
      <c r="F99" s="2993" t="s">
        <v>628</v>
      </c>
      <c r="G99" s="3138"/>
      <c r="H99" s="3139"/>
      <c r="I99" s="28" t="s">
        <v>8268</v>
      </c>
      <c r="J99" s="391"/>
      <c r="K99" s="3232"/>
      <c r="L99" s="3233"/>
      <c r="M99" s="1136"/>
    </row>
    <row r="100" spans="2:13" ht="18" customHeight="1" x14ac:dyDescent="0.2">
      <c r="B100" s="1121"/>
      <c r="C100" s="3156"/>
      <c r="D100" s="3236"/>
      <c r="E100" s="296" t="s">
        <v>287</v>
      </c>
      <c r="F100" s="3244" t="s">
        <v>8271</v>
      </c>
      <c r="G100" s="3250"/>
      <c r="H100" s="3250"/>
      <c r="I100" s="275"/>
      <c r="J100" s="276"/>
      <c r="K100" s="162" t="s">
        <v>779</v>
      </c>
      <c r="L100" s="729">
        <f>SUM(J92:J99)</f>
        <v>0</v>
      </c>
      <c r="M100" s="1136"/>
    </row>
    <row r="101" spans="2:13" ht="17.25" customHeight="1" x14ac:dyDescent="0.2">
      <c r="B101" s="1121"/>
      <c r="C101" s="3156"/>
      <c r="D101" s="1302">
        <v>13</v>
      </c>
      <c r="E101" s="3244" t="s">
        <v>7927</v>
      </c>
      <c r="F101" s="3245"/>
      <c r="G101" s="3245"/>
      <c r="H101" s="3245"/>
      <c r="I101" s="3245"/>
      <c r="J101" s="3246"/>
      <c r="K101" s="18">
        <v>13</v>
      </c>
      <c r="L101" s="729">
        <f>MAX(0,L102+L103)</f>
        <v>0</v>
      </c>
      <c r="M101" s="1136"/>
    </row>
    <row r="102" spans="2:13" ht="15" customHeight="1" x14ac:dyDescent="0.2">
      <c r="B102" s="1121"/>
      <c r="C102" s="3156"/>
      <c r="D102" s="180"/>
      <c r="E102" s="3263" t="s">
        <v>27</v>
      </c>
      <c r="F102" s="3264"/>
      <c r="G102" s="2993" t="s">
        <v>7923</v>
      </c>
      <c r="H102" s="2994"/>
      <c r="I102" s="2994"/>
      <c r="J102" s="2995"/>
      <c r="K102" s="31" t="s">
        <v>7925</v>
      </c>
      <c r="L102" s="391"/>
      <c r="M102" s="1136"/>
    </row>
    <row r="103" spans="2:13" ht="15" customHeight="1" x14ac:dyDescent="0.2">
      <c r="B103" s="1121"/>
      <c r="C103" s="3156"/>
      <c r="D103" s="180"/>
      <c r="E103" s="3263" t="s">
        <v>28</v>
      </c>
      <c r="F103" s="3264"/>
      <c r="G103" s="2993" t="s">
        <v>7924</v>
      </c>
      <c r="H103" s="2994"/>
      <c r="I103" s="2994"/>
      <c r="J103" s="2995"/>
      <c r="K103" s="31" t="s">
        <v>7926</v>
      </c>
      <c r="L103" s="391"/>
      <c r="M103" s="1136"/>
    </row>
    <row r="104" spans="2:13" ht="15" customHeight="1" x14ac:dyDescent="0.2">
      <c r="B104" s="1121"/>
      <c r="C104" s="3156"/>
      <c r="D104" s="456">
        <v>14</v>
      </c>
      <c r="E104" s="3240" t="s">
        <v>631</v>
      </c>
      <c r="F104" s="3241"/>
      <c r="G104" s="3242"/>
      <c r="H104" s="3242"/>
      <c r="I104" s="3242"/>
      <c r="J104" s="3243"/>
      <c r="K104" s="31">
        <v>14</v>
      </c>
      <c r="L104" s="391"/>
      <c r="M104" s="1136"/>
    </row>
    <row r="105" spans="2:13" ht="15" customHeight="1" x14ac:dyDescent="0.2">
      <c r="B105" s="1121"/>
      <c r="C105" s="3156"/>
      <c r="D105" s="456">
        <v>15</v>
      </c>
      <c r="E105" s="3110" t="s">
        <v>632</v>
      </c>
      <c r="F105" s="3261"/>
      <c r="G105" s="3261"/>
      <c r="H105" s="3261"/>
      <c r="I105" s="3261"/>
      <c r="J105" s="3262"/>
      <c r="K105" s="31">
        <v>15</v>
      </c>
      <c r="L105" s="391"/>
      <c r="M105" s="1136"/>
    </row>
    <row r="106" spans="2:13" x14ac:dyDescent="0.2">
      <c r="B106" s="1121"/>
      <c r="C106" s="3156"/>
      <c r="D106" s="456">
        <v>16</v>
      </c>
      <c r="E106" s="3110" t="s">
        <v>9432</v>
      </c>
      <c r="F106" s="3261"/>
      <c r="G106" s="3261"/>
      <c r="H106" s="3261"/>
      <c r="I106" s="3261"/>
      <c r="J106" s="3262"/>
      <c r="K106" s="31">
        <v>16</v>
      </c>
      <c r="L106" s="391"/>
      <c r="M106" s="1136"/>
    </row>
    <row r="107" spans="2:13" ht="12.75" hidden="1" customHeight="1" x14ac:dyDescent="0.2">
      <c r="B107" s="1121"/>
      <c r="C107" s="3156"/>
      <c r="D107" s="278"/>
      <c r="E107" s="279"/>
      <c r="F107" s="280"/>
      <c r="G107" s="280"/>
      <c r="H107" s="280"/>
      <c r="I107" s="281"/>
      <c r="J107" s="280"/>
      <c r="K107" s="278"/>
      <c r="L107" s="282"/>
      <c r="M107" s="1136"/>
    </row>
    <row r="108" spans="2:13" ht="12.75" hidden="1" customHeight="1" x14ac:dyDescent="0.2">
      <c r="B108" s="1121"/>
      <c r="C108" s="3156"/>
      <c r="D108" s="1148"/>
      <c r="E108" s="310"/>
      <c r="F108" s="310"/>
      <c r="G108" s="310"/>
      <c r="H108" s="310"/>
      <c r="I108" s="310"/>
      <c r="J108" s="310"/>
      <c r="K108" s="1148"/>
      <c r="L108" s="310"/>
      <c r="M108" s="1136"/>
    </row>
    <row r="109" spans="2:13" ht="36.75" customHeight="1" x14ac:dyDescent="0.2">
      <c r="B109" s="1121"/>
      <c r="C109" s="3257"/>
      <c r="D109" s="1723">
        <v>17</v>
      </c>
      <c r="E109" s="3110" t="s">
        <v>12727</v>
      </c>
      <c r="F109" s="3261"/>
      <c r="G109" s="3261"/>
      <c r="H109" s="3261"/>
      <c r="I109" s="3261"/>
      <c r="J109" s="3262"/>
      <c r="K109" s="31">
        <v>17</v>
      </c>
      <c r="L109" s="1114" t="s">
        <v>25</v>
      </c>
      <c r="M109" s="1136"/>
    </row>
    <row r="110" spans="2:13" ht="15" customHeight="1" thickBot="1" x14ac:dyDescent="0.25">
      <c r="B110" s="1141"/>
      <c r="C110" s="1144"/>
      <c r="D110" s="1149"/>
      <c r="E110" s="1144"/>
      <c r="F110" s="1144"/>
      <c r="G110" s="1144"/>
      <c r="H110" s="1144"/>
      <c r="I110" s="1144"/>
      <c r="J110" s="1144"/>
      <c r="K110" s="1149"/>
      <c r="L110" s="1144"/>
      <c r="M110" s="1139"/>
    </row>
    <row r="111" spans="2:13" ht="20.25" customHeight="1" x14ac:dyDescent="0.2"/>
    <row r="112" spans="2:13" customFormat="1" ht="15" hidden="1" x14ac:dyDescent="0.25"/>
    <row r="113" customFormat="1" ht="15" hidden="1" x14ac:dyDescent="0.25"/>
    <row r="114" customFormat="1" ht="15" hidden="1" x14ac:dyDescent="0.25"/>
    <row r="115" customFormat="1" ht="15" hidden="1" x14ac:dyDescent="0.25"/>
    <row r="116" customFormat="1" ht="15" hidden="1" x14ac:dyDescent="0.25"/>
    <row r="117" customFormat="1" ht="15" hidden="1" x14ac:dyDescent="0.25"/>
    <row r="118" customFormat="1" ht="15" hidden="1" x14ac:dyDescent="0.25"/>
    <row r="119" customFormat="1" ht="15" hidden="1" x14ac:dyDescent="0.25"/>
    <row r="120" customFormat="1" ht="15" hidden="1" x14ac:dyDescent="0.25"/>
    <row r="121" customFormat="1" ht="15" hidden="1" x14ac:dyDescent="0.25"/>
    <row r="122" customFormat="1" ht="15" hidden="1" x14ac:dyDescent="0.25"/>
    <row r="123" customFormat="1" ht="15" hidden="1" x14ac:dyDescent="0.25"/>
    <row r="124" customFormat="1" ht="15" hidden="1" x14ac:dyDescent="0.25"/>
    <row r="125" customFormat="1" ht="15" hidden="1" x14ac:dyDescent="0.25"/>
    <row r="126" customFormat="1" ht="15" hidden="1" x14ac:dyDescent="0.25"/>
    <row r="127" customFormat="1" ht="15" hidden="1" x14ac:dyDescent="0.25"/>
    <row r="128" customFormat="1" ht="15" hidden="1" x14ac:dyDescent="0.25"/>
    <row r="129" customFormat="1" ht="15" hidden="1" x14ac:dyDescent="0.25"/>
    <row r="130" customFormat="1" ht="15" hidden="1" x14ac:dyDescent="0.25"/>
    <row r="131" customFormat="1" ht="15" hidden="1" x14ac:dyDescent="0.25"/>
    <row r="132" customFormat="1" ht="15" hidden="1" x14ac:dyDescent="0.25"/>
    <row r="133" customFormat="1" ht="15" hidden="1" x14ac:dyDescent="0.25"/>
    <row r="134" customFormat="1" ht="15" hidden="1" x14ac:dyDescent="0.25"/>
    <row r="135" customFormat="1" ht="15" hidden="1" x14ac:dyDescent="0.25"/>
    <row r="136" customFormat="1" ht="15" hidden="1" x14ac:dyDescent="0.25"/>
    <row r="137" customFormat="1" ht="15" hidden="1" x14ac:dyDescent="0.25"/>
    <row r="138" customFormat="1" ht="15" hidden="1" x14ac:dyDescent="0.25"/>
    <row r="139" customFormat="1" ht="15" hidden="1" x14ac:dyDescent="0.25"/>
    <row r="140" customFormat="1" ht="15" hidden="1" x14ac:dyDescent="0.25"/>
    <row r="141" customFormat="1" ht="15" hidden="1" x14ac:dyDescent="0.25"/>
    <row r="142" customFormat="1" ht="15" hidden="1" x14ac:dyDescent="0.25"/>
    <row r="143" customFormat="1" ht="15" hidden="1" x14ac:dyDescent="0.25"/>
    <row r="144" customFormat="1" ht="15" hidden="1" x14ac:dyDescent="0.25"/>
    <row r="145" customFormat="1" ht="15" hidden="1" x14ac:dyDescent="0.25"/>
    <row r="146" customFormat="1" ht="15" hidden="1" x14ac:dyDescent="0.25"/>
    <row r="147" customFormat="1" ht="15" hidden="1" x14ac:dyDescent="0.25"/>
    <row r="148" customFormat="1" ht="15" hidden="1" x14ac:dyDescent="0.25"/>
    <row r="149" customFormat="1" ht="15" hidden="1" x14ac:dyDescent="0.25"/>
    <row r="150" customFormat="1" ht="15" hidden="1" x14ac:dyDescent="0.25"/>
    <row r="151" customFormat="1" ht="15" hidden="1" x14ac:dyDescent="0.25"/>
    <row r="152" customFormat="1" ht="15" hidden="1" x14ac:dyDescent="0.25"/>
    <row r="153" customFormat="1" ht="15" hidden="1" x14ac:dyDescent="0.25"/>
    <row r="154" customFormat="1" ht="15" hidden="1" x14ac:dyDescent="0.25"/>
    <row r="155" customFormat="1" ht="15" hidden="1" x14ac:dyDescent="0.25"/>
    <row r="156" customFormat="1" ht="15" hidden="1" x14ac:dyDescent="0.25"/>
    <row r="157" customFormat="1" ht="15" hidden="1" x14ac:dyDescent="0.25"/>
    <row r="158" customFormat="1" ht="15" hidden="1" x14ac:dyDescent="0.25"/>
    <row r="159" customFormat="1" ht="15" hidden="1" x14ac:dyDescent="0.25"/>
    <row r="160" customFormat="1" ht="15" hidden="1" x14ac:dyDescent="0.25"/>
    <row r="161" customFormat="1" ht="15" hidden="1" x14ac:dyDescent="0.25"/>
    <row r="162" customFormat="1" ht="15" hidden="1" x14ac:dyDescent="0.25"/>
    <row r="163" customFormat="1" ht="15" hidden="1" x14ac:dyDescent="0.25"/>
    <row r="164" customFormat="1" ht="15" hidden="1" x14ac:dyDescent="0.25"/>
    <row r="165" customFormat="1" ht="15" hidden="1" x14ac:dyDescent="0.25"/>
    <row r="166" customFormat="1" ht="15" hidden="1" x14ac:dyDescent="0.25"/>
    <row r="167" customFormat="1" ht="15" hidden="1" x14ac:dyDescent="0.25"/>
    <row r="168" customFormat="1" ht="15" hidden="1" x14ac:dyDescent="0.25"/>
    <row r="169" customFormat="1" ht="15" hidden="1" x14ac:dyDescent="0.25"/>
    <row r="170" customFormat="1" ht="15" hidden="1" x14ac:dyDescent="0.25"/>
    <row r="171" customFormat="1" ht="15" hidden="1" x14ac:dyDescent="0.25"/>
    <row r="172" customFormat="1" ht="15" hidden="1" x14ac:dyDescent="0.25"/>
    <row r="173" customFormat="1" ht="15" hidden="1" x14ac:dyDescent="0.25"/>
    <row r="174" customFormat="1" ht="15" hidden="1" x14ac:dyDescent="0.25"/>
    <row r="175" customFormat="1" ht="15" hidden="1" x14ac:dyDescent="0.25"/>
    <row r="176" customFormat="1" ht="15" hidden="1" x14ac:dyDescent="0.25"/>
    <row r="177" customFormat="1" ht="15" hidden="1" x14ac:dyDescent="0.25"/>
    <row r="178" customFormat="1" ht="15" hidden="1" x14ac:dyDescent="0.25"/>
    <row r="179" customFormat="1" ht="15" hidden="1" x14ac:dyDescent="0.25"/>
    <row r="180" customFormat="1" ht="15" hidden="1" x14ac:dyDescent="0.25"/>
    <row r="181" customFormat="1" ht="15" hidden="1" x14ac:dyDescent="0.25"/>
    <row r="182" customFormat="1" ht="15" hidden="1" x14ac:dyDescent="0.25"/>
    <row r="183" customFormat="1" ht="15" hidden="1" x14ac:dyDescent="0.25"/>
    <row r="184" customFormat="1" ht="15" hidden="1" x14ac:dyDescent="0.25"/>
    <row r="185" customFormat="1" ht="15" hidden="1" x14ac:dyDescent="0.25"/>
    <row r="186" customFormat="1" ht="15" hidden="1" x14ac:dyDescent="0.25"/>
    <row r="187" customFormat="1" ht="15" hidden="1" x14ac:dyDescent="0.25"/>
    <row r="188" customFormat="1" ht="15" hidden="1" x14ac:dyDescent="0.25"/>
    <row r="189" customFormat="1" ht="15" hidden="1" x14ac:dyDescent="0.25"/>
    <row r="190" customFormat="1" ht="15" hidden="1" x14ac:dyDescent="0.25"/>
    <row r="191" customFormat="1" ht="15" hidden="1" x14ac:dyDescent="0.25"/>
    <row r="192" customFormat="1" ht="15" hidden="1" x14ac:dyDescent="0.25"/>
    <row r="193" customFormat="1" ht="15" hidden="1" x14ac:dyDescent="0.25"/>
    <row r="194" customFormat="1" ht="15" hidden="1" x14ac:dyDescent="0.25"/>
    <row r="195" customFormat="1" ht="15" hidden="1" x14ac:dyDescent="0.25"/>
    <row r="196" customFormat="1" ht="15" hidden="1" x14ac:dyDescent="0.25"/>
    <row r="197" customFormat="1" ht="15" hidden="1" x14ac:dyDescent="0.25"/>
    <row r="198" customFormat="1" ht="15" hidden="1" x14ac:dyDescent="0.25"/>
    <row r="199" customFormat="1" ht="15" hidden="1" x14ac:dyDescent="0.25"/>
    <row r="200" customFormat="1" ht="15" hidden="1" x14ac:dyDescent="0.25"/>
    <row r="201" customFormat="1" ht="15" hidden="1" x14ac:dyDescent="0.25"/>
    <row r="202" customFormat="1" ht="15" hidden="1" x14ac:dyDescent="0.25"/>
    <row r="203" customFormat="1" ht="15" hidden="1" x14ac:dyDescent="0.25"/>
    <row r="204" customFormat="1" ht="15" hidden="1" x14ac:dyDescent="0.25"/>
    <row r="205" customFormat="1" ht="15" hidden="1" x14ac:dyDescent="0.25"/>
    <row r="206" customFormat="1" ht="15" hidden="1" x14ac:dyDescent="0.25"/>
    <row r="207" customFormat="1" ht="15" hidden="1" x14ac:dyDescent="0.25"/>
    <row r="208" customFormat="1" ht="15" hidden="1" x14ac:dyDescent="0.25"/>
    <row r="209" customFormat="1" ht="15" hidden="1" x14ac:dyDescent="0.25"/>
    <row r="210" customFormat="1" ht="15" hidden="1" x14ac:dyDescent="0.25"/>
    <row r="211" customFormat="1" ht="15" hidden="1" x14ac:dyDescent="0.25"/>
    <row r="212" customFormat="1" ht="15" hidden="1" x14ac:dyDescent="0.25"/>
    <row r="213" customFormat="1" ht="15" hidden="1" x14ac:dyDescent="0.25"/>
    <row r="214" customFormat="1" ht="15" hidden="1" x14ac:dyDescent="0.25"/>
    <row r="215" customFormat="1" ht="15" hidden="1" x14ac:dyDescent="0.25"/>
    <row r="216" customFormat="1" ht="15" hidden="1" x14ac:dyDescent="0.25"/>
    <row r="217" customFormat="1" ht="15" hidden="1" x14ac:dyDescent="0.25"/>
    <row r="218" customFormat="1" ht="15" hidden="1" x14ac:dyDescent="0.25"/>
    <row r="219" customFormat="1" ht="15" hidden="1" x14ac:dyDescent="0.25"/>
    <row r="220" customFormat="1" ht="15" hidden="1" x14ac:dyDescent="0.25"/>
    <row r="221" customFormat="1" ht="15" hidden="1" x14ac:dyDescent="0.25"/>
    <row r="222" customFormat="1" ht="15" hidden="1" x14ac:dyDescent="0.25"/>
    <row r="223" customFormat="1" ht="15" hidden="1" x14ac:dyDescent="0.25"/>
    <row r="224" customFormat="1" ht="15" hidden="1" x14ac:dyDescent="0.25"/>
    <row r="225" customFormat="1" ht="15" hidden="1" x14ac:dyDescent="0.25"/>
    <row r="226" customFormat="1" ht="15" hidden="1" x14ac:dyDescent="0.25"/>
    <row r="227" customFormat="1" ht="15" hidden="1" x14ac:dyDescent="0.25"/>
    <row r="228" customFormat="1" ht="15" hidden="1" x14ac:dyDescent="0.25"/>
    <row r="229" customFormat="1" ht="15" hidden="1" x14ac:dyDescent="0.25"/>
    <row r="230" customFormat="1" ht="15" hidden="1" x14ac:dyDescent="0.25"/>
    <row r="231" customFormat="1" ht="15" hidden="1" x14ac:dyDescent="0.25"/>
    <row r="232" customFormat="1" ht="15" hidden="1" x14ac:dyDescent="0.25"/>
    <row r="233" customFormat="1" ht="15" hidden="1" x14ac:dyDescent="0.25"/>
    <row r="234" customFormat="1" ht="15" hidden="1" x14ac:dyDescent="0.25"/>
    <row r="235" customFormat="1" ht="15" hidden="1" x14ac:dyDescent="0.25"/>
    <row r="236" customFormat="1" ht="15" hidden="1" x14ac:dyDescent="0.25"/>
    <row r="237" customFormat="1" ht="15" hidden="1" x14ac:dyDescent="0.25"/>
    <row r="238" customFormat="1" ht="15" hidden="1" x14ac:dyDescent="0.25"/>
    <row r="239" customFormat="1" ht="15" hidden="1" x14ac:dyDescent="0.25"/>
    <row r="240" customFormat="1" ht="15" hidden="1" x14ac:dyDescent="0.25"/>
    <row r="241" customFormat="1" ht="15" hidden="1" x14ac:dyDescent="0.25"/>
    <row r="242" customFormat="1" ht="15" hidden="1" x14ac:dyDescent="0.25"/>
    <row r="243" customFormat="1" ht="15" hidden="1" x14ac:dyDescent="0.25"/>
    <row r="244" customFormat="1" ht="15" hidden="1" x14ac:dyDescent="0.25"/>
    <row r="245" customFormat="1" ht="15" hidden="1" x14ac:dyDescent="0.25"/>
    <row r="246" customFormat="1" ht="15" hidden="1" x14ac:dyDescent="0.25"/>
    <row r="247" customFormat="1" ht="15" hidden="1" x14ac:dyDescent="0.25"/>
    <row r="248" customFormat="1" ht="15" hidden="1" x14ac:dyDescent="0.25"/>
    <row r="249" customFormat="1" ht="15" hidden="1" x14ac:dyDescent="0.25"/>
    <row r="250" customFormat="1" ht="15" hidden="1" x14ac:dyDescent="0.25"/>
    <row r="251" customFormat="1" ht="15" hidden="1" x14ac:dyDescent="0.25"/>
    <row r="252" customFormat="1" ht="15" hidden="1" x14ac:dyDescent="0.25"/>
    <row r="253" customFormat="1" ht="15" hidden="1" x14ac:dyDescent="0.25"/>
    <row r="254" customFormat="1" ht="15" hidden="1" x14ac:dyDescent="0.25"/>
    <row r="255" customFormat="1" ht="15" hidden="1" x14ac:dyDescent="0.25"/>
    <row r="256" customFormat="1" ht="15" hidden="1" x14ac:dyDescent="0.25"/>
    <row r="257" customFormat="1" ht="15" hidden="1" x14ac:dyDescent="0.25"/>
    <row r="258" customFormat="1" ht="15" hidden="1" x14ac:dyDescent="0.25"/>
    <row r="259" customFormat="1" ht="15" hidden="1" x14ac:dyDescent="0.25"/>
    <row r="260" customFormat="1" ht="15" hidden="1" x14ac:dyDescent="0.25"/>
    <row r="261" customFormat="1" ht="15" hidden="1" x14ac:dyDescent="0.25"/>
    <row r="262" customFormat="1" ht="15" hidden="1" x14ac:dyDescent="0.25"/>
    <row r="263" customFormat="1" ht="15" hidden="1" x14ac:dyDescent="0.25"/>
    <row r="264" customFormat="1" ht="15" hidden="1" x14ac:dyDescent="0.25"/>
    <row r="265" customFormat="1" ht="15" hidden="1" x14ac:dyDescent="0.25"/>
    <row r="266" customFormat="1" ht="15" hidden="1" x14ac:dyDescent="0.25"/>
    <row r="267" customFormat="1" ht="15" hidden="1" x14ac:dyDescent="0.25"/>
    <row r="268" customFormat="1" ht="15" hidden="1" x14ac:dyDescent="0.25"/>
    <row r="269" customFormat="1" ht="15" hidden="1" x14ac:dyDescent="0.25"/>
    <row r="270" customFormat="1" ht="15" hidden="1" x14ac:dyDescent="0.25"/>
    <row r="271" customFormat="1" ht="15" hidden="1" x14ac:dyDescent="0.25"/>
    <row r="272" customFormat="1" ht="15" hidden="1" x14ac:dyDescent="0.25"/>
    <row r="273" customFormat="1" ht="15" hidden="1" x14ac:dyDescent="0.25"/>
    <row r="274" customFormat="1" ht="15" hidden="1" x14ac:dyDescent="0.25"/>
    <row r="275" customFormat="1" ht="15" hidden="1" x14ac:dyDescent="0.25"/>
    <row r="276" customFormat="1" ht="15" hidden="1" x14ac:dyDescent="0.25"/>
    <row r="277" customFormat="1" ht="15" hidden="1" x14ac:dyDescent="0.25"/>
    <row r="278" customFormat="1" ht="15" hidden="1" x14ac:dyDescent="0.25"/>
    <row r="279" customFormat="1" ht="15" hidden="1" x14ac:dyDescent="0.25"/>
    <row r="280" customFormat="1" ht="15" hidden="1" x14ac:dyDescent="0.25"/>
    <row r="281" customFormat="1" ht="15" hidden="1" x14ac:dyDescent="0.25"/>
    <row r="282" customFormat="1" ht="15" hidden="1" x14ac:dyDescent="0.25"/>
    <row r="283" customFormat="1" ht="15" hidden="1" x14ac:dyDescent="0.25"/>
    <row r="284" customFormat="1" ht="15" hidden="1" x14ac:dyDescent="0.25"/>
    <row r="285" customFormat="1" ht="15" hidden="1" x14ac:dyDescent="0.25"/>
    <row r="286" customFormat="1" ht="15" hidden="1" x14ac:dyDescent="0.25"/>
    <row r="287" customFormat="1" ht="15" hidden="1" x14ac:dyDescent="0.25"/>
    <row r="288" customFormat="1" ht="15" hidden="1" x14ac:dyDescent="0.25"/>
    <row r="289" customFormat="1" ht="15" hidden="1" x14ac:dyDescent="0.25"/>
    <row r="290" customFormat="1" ht="15" hidden="1" x14ac:dyDescent="0.25"/>
    <row r="291" customFormat="1" ht="15" hidden="1" x14ac:dyDescent="0.25"/>
    <row r="292" customFormat="1" ht="15" hidden="1" x14ac:dyDescent="0.25"/>
    <row r="293" customFormat="1" ht="15" hidden="1" x14ac:dyDescent="0.25"/>
    <row r="294" customFormat="1" ht="15" hidden="1" x14ac:dyDescent="0.25"/>
    <row r="295" customFormat="1" ht="15" hidden="1" x14ac:dyDescent="0.25"/>
    <row r="296" customFormat="1" ht="15" hidden="1" x14ac:dyDescent="0.25"/>
    <row r="297" customFormat="1" ht="15" hidden="1" x14ac:dyDescent="0.25"/>
    <row r="298" customFormat="1" ht="15" hidden="1" x14ac:dyDescent="0.25"/>
    <row r="299" customFormat="1" ht="15" hidden="1" x14ac:dyDescent="0.25"/>
    <row r="300" customFormat="1" ht="15" hidden="1" x14ac:dyDescent="0.25"/>
    <row r="301" customFormat="1" ht="15" hidden="1" x14ac:dyDescent="0.25"/>
    <row r="302" customFormat="1" ht="15" hidden="1" x14ac:dyDescent="0.25"/>
    <row r="303" customFormat="1" ht="15" hidden="1" x14ac:dyDescent="0.25"/>
    <row r="304" customFormat="1" ht="15" hidden="1" x14ac:dyDescent="0.25"/>
    <row r="305" customFormat="1" ht="15" hidden="1" x14ac:dyDescent="0.25"/>
    <row r="306" customFormat="1" ht="15" hidden="1" x14ac:dyDescent="0.25"/>
    <row r="307" customFormat="1" ht="15" hidden="1" x14ac:dyDescent="0.25"/>
    <row r="308" customFormat="1" ht="15" hidden="1" x14ac:dyDescent="0.25"/>
    <row r="309" customFormat="1" ht="15" hidden="1" x14ac:dyDescent="0.25"/>
    <row r="310" customFormat="1" ht="15" hidden="1" x14ac:dyDescent="0.25"/>
    <row r="311" customFormat="1" ht="15" hidden="1" x14ac:dyDescent="0.25"/>
    <row r="312" customFormat="1" ht="15" hidden="1" x14ac:dyDescent="0.25"/>
    <row r="313" customFormat="1" ht="15" hidden="1" x14ac:dyDescent="0.25"/>
    <row r="314" customFormat="1" ht="15" hidden="1" x14ac:dyDescent="0.25"/>
    <row r="315" customFormat="1" ht="15" hidden="1" x14ac:dyDescent="0.25"/>
    <row r="316" customFormat="1" ht="15" hidden="1" x14ac:dyDescent="0.25"/>
    <row r="317" customFormat="1" ht="15" hidden="1" x14ac:dyDescent="0.25"/>
    <row r="318" customFormat="1" ht="15" hidden="1" x14ac:dyDescent="0.25"/>
    <row r="319" customFormat="1" ht="15" hidden="1" x14ac:dyDescent="0.25"/>
    <row r="320" customFormat="1" ht="15" hidden="1" x14ac:dyDescent="0.25"/>
    <row r="321" customFormat="1" ht="15" hidden="1" x14ac:dyDescent="0.25"/>
    <row r="322" customFormat="1" ht="15" hidden="1" x14ac:dyDescent="0.25"/>
    <row r="323" customFormat="1" ht="15" hidden="1" x14ac:dyDescent="0.25"/>
    <row r="324" customFormat="1" ht="15" hidden="1" x14ac:dyDescent="0.25"/>
    <row r="325" customFormat="1" ht="15" hidden="1" x14ac:dyDescent="0.25"/>
    <row r="326" customFormat="1" ht="15" hidden="1" x14ac:dyDescent="0.25"/>
    <row r="327" customFormat="1" ht="15" hidden="1" x14ac:dyDescent="0.25"/>
    <row r="328" customFormat="1" ht="15" hidden="1" x14ac:dyDescent="0.25"/>
    <row r="329" customFormat="1" ht="15" hidden="1" x14ac:dyDescent="0.25"/>
    <row r="330" customFormat="1" ht="15" hidden="1" x14ac:dyDescent="0.25"/>
    <row r="331" customFormat="1" ht="15" hidden="1" x14ac:dyDescent="0.25"/>
    <row r="332" customFormat="1" ht="15" hidden="1" x14ac:dyDescent="0.25"/>
    <row r="333" customFormat="1" ht="15" hidden="1" x14ac:dyDescent="0.25"/>
    <row r="334" customFormat="1" ht="15" hidden="1" x14ac:dyDescent="0.25"/>
    <row r="335" customFormat="1" ht="15" hidden="1" x14ac:dyDescent="0.25"/>
    <row r="336" customFormat="1" ht="15" hidden="1" x14ac:dyDescent="0.25"/>
    <row r="337" customFormat="1" ht="15" hidden="1" x14ac:dyDescent="0.25"/>
    <row r="338" customFormat="1" ht="15" hidden="1" x14ac:dyDescent="0.25"/>
    <row r="339" customFormat="1" ht="15" hidden="1" x14ac:dyDescent="0.25"/>
    <row r="340" customFormat="1" ht="15" hidden="1" x14ac:dyDescent="0.25"/>
    <row r="341" customFormat="1" ht="15" hidden="1" x14ac:dyDescent="0.25"/>
    <row r="342" customFormat="1" ht="15" hidden="1" x14ac:dyDescent="0.25"/>
    <row r="343" customFormat="1" ht="15" hidden="1" x14ac:dyDescent="0.25"/>
    <row r="344" customFormat="1" ht="15" hidden="1" x14ac:dyDescent="0.25"/>
    <row r="345" customFormat="1" ht="15" hidden="1" x14ac:dyDescent="0.25"/>
    <row r="346" customFormat="1" ht="15" hidden="1" x14ac:dyDescent="0.25"/>
    <row r="347" customFormat="1" ht="15" hidden="1" x14ac:dyDescent="0.25"/>
    <row r="348" customFormat="1" ht="15" hidden="1" x14ac:dyDescent="0.25"/>
    <row r="349" customFormat="1" ht="15" hidden="1" x14ac:dyDescent="0.25"/>
    <row r="350" customFormat="1" ht="15" hidden="1" x14ac:dyDescent="0.25"/>
    <row r="351" customFormat="1" ht="15" hidden="1" x14ac:dyDescent="0.25"/>
    <row r="352" customFormat="1" ht="15" hidden="1" x14ac:dyDescent="0.25"/>
    <row r="353" customFormat="1" ht="15" hidden="1" x14ac:dyDescent="0.25"/>
    <row r="354" customFormat="1" ht="15" hidden="1" x14ac:dyDescent="0.25"/>
    <row r="355" customFormat="1" ht="15" hidden="1" x14ac:dyDescent="0.25"/>
    <row r="356" customFormat="1" ht="15" hidden="1" x14ac:dyDescent="0.25"/>
    <row r="357" customFormat="1" ht="15" hidden="1" x14ac:dyDescent="0.25"/>
    <row r="358" customFormat="1" ht="15" hidden="1" x14ac:dyDescent="0.25"/>
    <row r="359" customFormat="1" ht="15" hidden="1" x14ac:dyDescent="0.25"/>
    <row r="360" customFormat="1" ht="15" hidden="1" x14ac:dyDescent="0.25"/>
    <row r="361" customFormat="1" ht="15" hidden="1" x14ac:dyDescent="0.25"/>
    <row r="362" customFormat="1" ht="15" hidden="1" x14ac:dyDescent="0.25"/>
    <row r="363" customFormat="1" ht="15" hidden="1" x14ac:dyDescent="0.25"/>
    <row r="364" customFormat="1" ht="15" hidden="1" x14ac:dyDescent="0.25"/>
    <row r="365" customFormat="1" ht="15" hidden="1" x14ac:dyDescent="0.25"/>
    <row r="366" customFormat="1" ht="15" hidden="1" x14ac:dyDescent="0.25"/>
    <row r="367" customFormat="1" ht="15" hidden="1" x14ac:dyDescent="0.25"/>
    <row r="368" customFormat="1" ht="15" hidden="1" x14ac:dyDescent="0.25"/>
    <row r="369" customFormat="1" ht="15" hidden="1" x14ac:dyDescent="0.25"/>
    <row r="370" customFormat="1" ht="15" hidden="1" x14ac:dyDescent="0.25"/>
    <row r="371" customFormat="1" ht="15" hidden="1" x14ac:dyDescent="0.25"/>
    <row r="372" customFormat="1" ht="15" hidden="1" x14ac:dyDescent="0.25"/>
    <row r="373" customFormat="1" ht="15" hidden="1" x14ac:dyDescent="0.25"/>
    <row r="374" customFormat="1" ht="15" hidden="1" x14ac:dyDescent="0.25"/>
    <row r="375" customFormat="1" ht="15" hidden="1" x14ac:dyDescent="0.25"/>
    <row r="376" customFormat="1" ht="15" hidden="1" x14ac:dyDescent="0.25"/>
    <row r="377" customFormat="1" ht="15" hidden="1" x14ac:dyDescent="0.25"/>
    <row r="378" customFormat="1" ht="15" hidden="1" x14ac:dyDescent="0.25"/>
    <row r="379" customFormat="1" ht="15" hidden="1" x14ac:dyDescent="0.25"/>
    <row r="380" customFormat="1" ht="15" hidden="1" x14ac:dyDescent="0.25"/>
    <row r="381" customFormat="1" ht="15" hidden="1" x14ac:dyDescent="0.25"/>
    <row r="382" customFormat="1" ht="15" hidden="1" x14ac:dyDescent="0.25"/>
    <row r="383" customFormat="1" ht="15" hidden="1" x14ac:dyDescent="0.25"/>
    <row r="384" customFormat="1" ht="15" hidden="1" x14ac:dyDescent="0.25"/>
    <row r="385" customFormat="1" ht="15" hidden="1" x14ac:dyDescent="0.25"/>
    <row r="386" customFormat="1" ht="15" hidden="1" x14ac:dyDescent="0.25"/>
    <row r="387" customFormat="1" ht="15" hidden="1" x14ac:dyDescent="0.25"/>
    <row r="388" customFormat="1" ht="15" hidden="1" x14ac:dyDescent="0.25"/>
    <row r="389" customFormat="1" ht="15" hidden="1" x14ac:dyDescent="0.25"/>
    <row r="390" customFormat="1" ht="15" hidden="1" x14ac:dyDescent="0.25"/>
    <row r="391" customFormat="1" ht="15" hidden="1" x14ac:dyDescent="0.25"/>
    <row r="392" customFormat="1" ht="15" hidden="1" x14ac:dyDescent="0.25"/>
    <row r="393" customFormat="1" ht="15" hidden="1" x14ac:dyDescent="0.25"/>
    <row r="394" customFormat="1" ht="15" hidden="1" x14ac:dyDescent="0.25"/>
    <row r="395" customFormat="1" ht="15" hidden="1" x14ac:dyDescent="0.25"/>
    <row r="396" customFormat="1" ht="15" hidden="1" x14ac:dyDescent="0.25"/>
    <row r="397" customFormat="1" ht="15" hidden="1" x14ac:dyDescent="0.25"/>
    <row r="398" customFormat="1" ht="15" hidden="1" x14ac:dyDescent="0.25"/>
    <row r="399" customFormat="1" ht="15" hidden="1" x14ac:dyDescent="0.25"/>
    <row r="400" customFormat="1" ht="15" hidden="1" x14ac:dyDescent="0.25"/>
    <row r="401" customFormat="1" ht="15" hidden="1" x14ac:dyDescent="0.25"/>
    <row r="402" customFormat="1" ht="15" hidden="1" x14ac:dyDescent="0.25"/>
    <row r="403" customFormat="1" ht="15" hidden="1" x14ac:dyDescent="0.25"/>
    <row r="404" customFormat="1" ht="15" hidden="1" x14ac:dyDescent="0.25"/>
    <row r="405" customFormat="1" ht="15" hidden="1" x14ac:dyDescent="0.25"/>
    <row r="406" customFormat="1" ht="15" hidden="1" x14ac:dyDescent="0.25"/>
    <row r="407" customFormat="1" ht="15" hidden="1" x14ac:dyDescent="0.25"/>
    <row r="408" customFormat="1" ht="15" hidden="1" x14ac:dyDescent="0.25"/>
    <row r="409" customFormat="1" ht="15" hidden="1" x14ac:dyDescent="0.25"/>
    <row r="410" customFormat="1" ht="15" hidden="1" x14ac:dyDescent="0.25"/>
    <row r="411" customFormat="1" ht="15" hidden="1" x14ac:dyDescent="0.25"/>
    <row r="412" customFormat="1" ht="15" hidden="1" x14ac:dyDescent="0.25"/>
    <row r="413" customFormat="1" ht="15" hidden="1" x14ac:dyDescent="0.25"/>
    <row r="414" customFormat="1" ht="15" hidden="1" x14ac:dyDescent="0.25"/>
    <row r="415" customFormat="1" ht="15" hidden="1" x14ac:dyDescent="0.25"/>
    <row r="416" customFormat="1" ht="15" hidden="1" x14ac:dyDescent="0.25"/>
    <row r="417" customFormat="1" ht="15" hidden="1" x14ac:dyDescent="0.25"/>
    <row r="418" customFormat="1" ht="15" hidden="1" x14ac:dyDescent="0.25"/>
    <row r="419" customFormat="1" ht="15" hidden="1" x14ac:dyDescent="0.25"/>
    <row r="420" customFormat="1" ht="15" hidden="1" x14ac:dyDescent="0.25"/>
    <row r="421" customFormat="1" ht="15" hidden="1" x14ac:dyDescent="0.25"/>
    <row r="422" customFormat="1" ht="15" hidden="1" x14ac:dyDescent="0.25"/>
    <row r="423" customFormat="1" ht="15" hidden="1" x14ac:dyDescent="0.25"/>
    <row r="424" customFormat="1" ht="15" hidden="1" x14ac:dyDescent="0.25"/>
    <row r="425" customFormat="1" ht="15" hidden="1" x14ac:dyDescent="0.25"/>
    <row r="426" customFormat="1" ht="15" hidden="1" x14ac:dyDescent="0.25"/>
    <row r="427" customFormat="1" ht="15" hidden="1" x14ac:dyDescent="0.25"/>
    <row r="428" customFormat="1" ht="15" hidden="1" x14ac:dyDescent="0.25"/>
    <row r="429" customFormat="1" ht="15" hidden="1" x14ac:dyDescent="0.25"/>
    <row r="430" customFormat="1" ht="15" hidden="1" x14ac:dyDescent="0.25"/>
    <row r="431" customFormat="1" ht="15" hidden="1" x14ac:dyDescent="0.25"/>
    <row r="432" customFormat="1" ht="15" hidden="1" x14ac:dyDescent="0.25"/>
    <row r="433" customFormat="1" ht="15" hidden="1" x14ac:dyDescent="0.25"/>
    <row r="434" customFormat="1" ht="15" hidden="1" x14ac:dyDescent="0.25"/>
    <row r="435" customFormat="1" ht="15" hidden="1" x14ac:dyDescent="0.25"/>
    <row r="436" customFormat="1" ht="15" hidden="1" x14ac:dyDescent="0.25"/>
    <row r="437" customFormat="1" ht="15" hidden="1" x14ac:dyDescent="0.25"/>
    <row r="438" customFormat="1" ht="15" hidden="1" x14ac:dyDescent="0.25"/>
    <row r="439" customFormat="1" ht="15" hidden="1" x14ac:dyDescent="0.25"/>
    <row r="440" customFormat="1" ht="15" hidden="1" x14ac:dyDescent="0.25"/>
    <row r="441" customFormat="1" ht="15" hidden="1" x14ac:dyDescent="0.25"/>
    <row r="442" customFormat="1" ht="15" hidden="1" x14ac:dyDescent="0.25"/>
    <row r="443" customFormat="1" ht="15" hidden="1" x14ac:dyDescent="0.25"/>
    <row r="444" customFormat="1" ht="15" hidden="1" x14ac:dyDescent="0.25"/>
    <row r="445" customFormat="1" ht="15" hidden="1" x14ac:dyDescent="0.25"/>
    <row r="446" customFormat="1" ht="15" hidden="1" x14ac:dyDescent="0.25"/>
    <row r="447" customFormat="1" ht="15" hidden="1" x14ac:dyDescent="0.25"/>
    <row r="448" customFormat="1" ht="15" hidden="1" x14ac:dyDescent="0.25"/>
    <row r="449" customFormat="1" ht="15" hidden="1" x14ac:dyDescent="0.25"/>
    <row r="450" customFormat="1" ht="15" hidden="1" x14ac:dyDescent="0.25"/>
    <row r="451" customFormat="1" ht="15" hidden="1" x14ac:dyDescent="0.25"/>
    <row r="452" customFormat="1" ht="15" hidden="1" x14ac:dyDescent="0.25"/>
    <row r="453" customFormat="1" ht="15" hidden="1" x14ac:dyDescent="0.25"/>
    <row r="454" customFormat="1" ht="15" hidden="1" x14ac:dyDescent="0.25"/>
    <row r="455" customFormat="1" ht="15" hidden="1" x14ac:dyDescent="0.25"/>
    <row r="456" customFormat="1" ht="15" hidden="1" x14ac:dyDescent="0.25"/>
    <row r="457" customFormat="1" ht="15" hidden="1" x14ac:dyDescent="0.25"/>
    <row r="458" customFormat="1" ht="15" hidden="1" x14ac:dyDescent="0.25"/>
    <row r="459" customFormat="1" ht="15" hidden="1" x14ac:dyDescent="0.25"/>
    <row r="460" customFormat="1" ht="15" hidden="1" x14ac:dyDescent="0.25"/>
    <row r="461" customFormat="1" ht="15" hidden="1" x14ac:dyDescent="0.25"/>
    <row r="462" customFormat="1" ht="15" hidden="1" x14ac:dyDescent="0.25"/>
    <row r="463" customFormat="1" ht="15" hidden="1" x14ac:dyDescent="0.25"/>
    <row r="464" customFormat="1" ht="15" hidden="1" x14ac:dyDescent="0.25"/>
    <row r="465" customFormat="1" ht="15" hidden="1" x14ac:dyDescent="0.25"/>
    <row r="466" customFormat="1" ht="15" hidden="1" x14ac:dyDescent="0.25"/>
    <row r="467" customFormat="1" ht="15" hidden="1" x14ac:dyDescent="0.25"/>
    <row r="468" customFormat="1" ht="15" hidden="1" x14ac:dyDescent="0.25"/>
    <row r="469" customFormat="1" ht="15" hidden="1" x14ac:dyDescent="0.25"/>
    <row r="470" customFormat="1" ht="15" hidden="1" x14ac:dyDescent="0.25"/>
    <row r="471" customFormat="1" ht="15" hidden="1" x14ac:dyDescent="0.25"/>
    <row r="472" customFormat="1" ht="15" hidden="1" x14ac:dyDescent="0.25"/>
    <row r="473" customFormat="1" ht="15" hidden="1" x14ac:dyDescent="0.25"/>
    <row r="474" customFormat="1" ht="15" hidden="1" x14ac:dyDescent="0.25"/>
    <row r="475" customFormat="1" ht="15" hidden="1" x14ac:dyDescent="0.25"/>
    <row r="476" customFormat="1" ht="15" hidden="1" x14ac:dyDescent="0.25"/>
    <row r="477" customFormat="1" ht="15" hidden="1" x14ac:dyDescent="0.25"/>
    <row r="478" customFormat="1" ht="15" hidden="1" x14ac:dyDescent="0.25"/>
    <row r="479" customFormat="1" ht="15" hidden="1" x14ac:dyDescent="0.25"/>
    <row r="480" customFormat="1" ht="15" hidden="1" x14ac:dyDescent="0.25"/>
    <row r="481" customFormat="1" ht="15" hidden="1" x14ac:dyDescent="0.25"/>
    <row r="482" customFormat="1" ht="15" hidden="1" x14ac:dyDescent="0.25"/>
    <row r="483" customFormat="1" ht="15" hidden="1" x14ac:dyDescent="0.25"/>
    <row r="484" customFormat="1" ht="15" hidden="1" x14ac:dyDescent="0.25"/>
    <row r="485" customFormat="1" ht="15" hidden="1" x14ac:dyDescent="0.25"/>
    <row r="486" customFormat="1" ht="15" hidden="1" x14ac:dyDescent="0.25"/>
    <row r="487" customFormat="1" ht="15" hidden="1" x14ac:dyDescent="0.25"/>
    <row r="488" customFormat="1" ht="15" hidden="1" x14ac:dyDescent="0.25"/>
    <row r="489" customFormat="1" ht="15" hidden="1" x14ac:dyDescent="0.25"/>
    <row r="490" customFormat="1" ht="15" hidden="1" x14ac:dyDescent="0.25"/>
    <row r="491" customFormat="1" ht="15" hidden="1" x14ac:dyDescent="0.25"/>
    <row r="492" customFormat="1" ht="15" hidden="1" x14ac:dyDescent="0.25"/>
    <row r="493" customFormat="1" ht="15" hidden="1" x14ac:dyDescent="0.25"/>
    <row r="494" customFormat="1" ht="15" hidden="1" x14ac:dyDescent="0.25"/>
    <row r="495" customFormat="1" ht="15" hidden="1" x14ac:dyDescent="0.25"/>
    <row r="496" customFormat="1" ht="15" hidden="1" x14ac:dyDescent="0.25"/>
    <row r="497" customFormat="1" ht="15" hidden="1" x14ac:dyDescent="0.25"/>
    <row r="498" customFormat="1" ht="15" hidden="1" x14ac:dyDescent="0.25"/>
    <row r="499" customFormat="1" ht="15" hidden="1" x14ac:dyDescent="0.25"/>
    <row r="500" customFormat="1" ht="15" hidden="1" x14ac:dyDescent="0.25"/>
    <row r="501" customFormat="1" ht="15" hidden="1" x14ac:dyDescent="0.25"/>
    <row r="502" customFormat="1" ht="15" hidden="1" x14ac:dyDescent="0.25"/>
    <row r="503" customFormat="1" ht="15" hidden="1" x14ac:dyDescent="0.25"/>
    <row r="504" customFormat="1" ht="15" hidden="1" x14ac:dyDescent="0.25"/>
    <row r="505" customFormat="1" ht="15" hidden="1" x14ac:dyDescent="0.25"/>
    <row r="506" customFormat="1" ht="15" hidden="1" x14ac:dyDescent="0.25"/>
    <row r="507" customFormat="1" ht="15" hidden="1" x14ac:dyDescent="0.25"/>
    <row r="508" customFormat="1" ht="15" hidden="1" x14ac:dyDescent="0.25"/>
    <row r="509" customFormat="1" ht="15" hidden="1" x14ac:dyDescent="0.25"/>
    <row r="510" customFormat="1" ht="15" hidden="1" x14ac:dyDescent="0.25"/>
    <row r="511" customFormat="1" ht="15" hidden="1" x14ac:dyDescent="0.25"/>
    <row r="512" customFormat="1" ht="15" hidden="1" x14ac:dyDescent="0.25"/>
    <row r="513" customFormat="1" ht="15" hidden="1" x14ac:dyDescent="0.25"/>
    <row r="514" customFormat="1" ht="15" hidden="1" x14ac:dyDescent="0.25"/>
    <row r="515" customFormat="1" ht="15" hidden="1" x14ac:dyDescent="0.25"/>
    <row r="516" customFormat="1" ht="15" hidden="1" x14ac:dyDescent="0.25"/>
    <row r="517" customFormat="1" ht="15" hidden="1" x14ac:dyDescent="0.25"/>
    <row r="518" customFormat="1" ht="15" hidden="1" x14ac:dyDescent="0.25"/>
    <row r="519" customFormat="1" ht="15" hidden="1" x14ac:dyDescent="0.25"/>
    <row r="520" customFormat="1" ht="15" hidden="1" x14ac:dyDescent="0.25"/>
    <row r="521" customFormat="1" ht="15" hidden="1" x14ac:dyDescent="0.25"/>
    <row r="522" customFormat="1" ht="15" hidden="1" x14ac:dyDescent="0.25"/>
    <row r="523" customFormat="1" ht="15" hidden="1" x14ac:dyDescent="0.25"/>
    <row r="524" customFormat="1" ht="15" hidden="1" x14ac:dyDescent="0.25"/>
    <row r="525" customFormat="1" ht="15" hidden="1" x14ac:dyDescent="0.25"/>
    <row r="526" customFormat="1" ht="15" hidden="1" x14ac:dyDescent="0.25"/>
    <row r="527" customFormat="1" ht="15" hidden="1" x14ac:dyDescent="0.25"/>
    <row r="528" customFormat="1" ht="15" hidden="1" x14ac:dyDescent="0.25"/>
    <row r="529" customFormat="1" ht="15" hidden="1" x14ac:dyDescent="0.25"/>
    <row r="530" customFormat="1" ht="15" hidden="1" x14ac:dyDescent="0.25"/>
    <row r="531" customFormat="1" ht="15" hidden="1" x14ac:dyDescent="0.25"/>
    <row r="532" customFormat="1" ht="15" hidden="1" x14ac:dyDescent="0.25"/>
    <row r="533" customFormat="1" ht="15" hidden="1" x14ac:dyDescent="0.25"/>
    <row r="534" customFormat="1" ht="15" hidden="1" x14ac:dyDescent="0.25"/>
    <row r="535" customFormat="1" ht="15" hidden="1" x14ac:dyDescent="0.25"/>
    <row r="536" customFormat="1" ht="15" hidden="1" x14ac:dyDescent="0.25"/>
    <row r="537" customFormat="1" ht="15" hidden="1" x14ac:dyDescent="0.25"/>
    <row r="538" customFormat="1" ht="15" hidden="1" x14ac:dyDescent="0.25"/>
    <row r="539" customFormat="1" ht="15" hidden="1" x14ac:dyDescent="0.25"/>
    <row r="540" customFormat="1" ht="15" hidden="1" x14ac:dyDescent="0.25"/>
    <row r="541" customFormat="1" ht="15" hidden="1" x14ac:dyDescent="0.25"/>
    <row r="542" customFormat="1" ht="15" hidden="1" x14ac:dyDescent="0.25"/>
    <row r="543" customFormat="1" ht="15" hidden="1" x14ac:dyDescent="0.25"/>
    <row r="544" customFormat="1" ht="15" hidden="1" x14ac:dyDescent="0.25"/>
    <row r="545" customFormat="1" ht="15" hidden="1" x14ac:dyDescent="0.25"/>
    <row r="546" customFormat="1" ht="15" hidden="1" x14ac:dyDescent="0.25"/>
    <row r="547" customFormat="1" ht="15" hidden="1" x14ac:dyDescent="0.25"/>
    <row r="548" customFormat="1" ht="15" hidden="1" x14ac:dyDescent="0.25"/>
    <row r="549" customFormat="1" ht="15" hidden="1" x14ac:dyDescent="0.25"/>
    <row r="550" customFormat="1" ht="15" hidden="1" x14ac:dyDescent="0.25"/>
    <row r="551" customFormat="1" ht="15" hidden="1" x14ac:dyDescent="0.25"/>
    <row r="552" customFormat="1" ht="15" hidden="1" x14ac:dyDescent="0.25"/>
    <row r="553" customFormat="1" ht="15" hidden="1" x14ac:dyDescent="0.25"/>
    <row r="554" customFormat="1" ht="15" hidden="1" x14ac:dyDescent="0.25"/>
    <row r="555" customFormat="1" ht="15" hidden="1" x14ac:dyDescent="0.25"/>
    <row r="556" customFormat="1" ht="15" hidden="1" x14ac:dyDescent="0.25"/>
    <row r="557" customFormat="1" ht="15" hidden="1" x14ac:dyDescent="0.25"/>
    <row r="558" customFormat="1" ht="15" hidden="1" x14ac:dyDescent="0.25"/>
    <row r="559" customFormat="1" ht="15" hidden="1" x14ac:dyDescent="0.25"/>
    <row r="560" customFormat="1" ht="15" hidden="1" x14ac:dyDescent="0.25"/>
    <row r="561" customFormat="1" ht="15" hidden="1" x14ac:dyDescent="0.25"/>
    <row r="562" customFormat="1" ht="15" hidden="1" x14ac:dyDescent="0.25"/>
    <row r="563" customFormat="1" ht="15" hidden="1" x14ac:dyDescent="0.25"/>
    <row r="564" customFormat="1" ht="15" hidden="1" x14ac:dyDescent="0.25"/>
    <row r="565" customFormat="1" ht="15" hidden="1" x14ac:dyDescent="0.25"/>
    <row r="566" customFormat="1" ht="15" hidden="1" x14ac:dyDescent="0.25"/>
    <row r="567" customFormat="1" ht="15" hidden="1" x14ac:dyDescent="0.25"/>
    <row r="568" customFormat="1" ht="15" hidden="1" x14ac:dyDescent="0.25"/>
    <row r="569" customFormat="1" ht="15" hidden="1" x14ac:dyDescent="0.25"/>
    <row r="570" customFormat="1" ht="15" hidden="1" x14ac:dyDescent="0.25"/>
    <row r="571" customFormat="1" ht="15" hidden="1" x14ac:dyDescent="0.25"/>
    <row r="572" customFormat="1" ht="15" hidden="1" x14ac:dyDescent="0.25"/>
    <row r="573" customFormat="1" ht="15" hidden="1" x14ac:dyDescent="0.25"/>
    <row r="574" customFormat="1" ht="15" hidden="1" x14ac:dyDescent="0.25"/>
    <row r="575" customFormat="1" ht="15" hidden="1" x14ac:dyDescent="0.25"/>
    <row r="576" customFormat="1" ht="15" hidden="1" x14ac:dyDescent="0.25"/>
    <row r="577" customFormat="1" ht="15" hidden="1" x14ac:dyDescent="0.25"/>
    <row r="578" customFormat="1" ht="15" hidden="1" x14ac:dyDescent="0.25"/>
    <row r="579" customFormat="1" ht="15" hidden="1" x14ac:dyDescent="0.25"/>
    <row r="580" customFormat="1" ht="15" hidden="1" x14ac:dyDescent="0.25"/>
    <row r="581" customFormat="1" ht="15" hidden="1" x14ac:dyDescent="0.25"/>
    <row r="582" customFormat="1" ht="15" hidden="1" x14ac:dyDescent="0.25"/>
    <row r="583" customFormat="1" ht="15" hidden="1" x14ac:dyDescent="0.25"/>
    <row r="584" customFormat="1" ht="15" hidden="1" x14ac:dyDescent="0.25"/>
    <row r="585" customFormat="1" ht="15" hidden="1" x14ac:dyDescent="0.25"/>
    <row r="586" customFormat="1" ht="15" hidden="1" x14ac:dyDescent="0.25"/>
    <row r="587" customFormat="1" ht="15" hidden="1" x14ac:dyDescent="0.25"/>
    <row r="588" customFormat="1" ht="15" hidden="1" x14ac:dyDescent="0.25"/>
    <row r="589" customFormat="1" ht="15" hidden="1" x14ac:dyDescent="0.25"/>
    <row r="590" customFormat="1" ht="15" hidden="1" x14ac:dyDescent="0.25"/>
    <row r="591" customFormat="1" ht="15" hidden="1" x14ac:dyDescent="0.25"/>
    <row r="592" customFormat="1" ht="15" hidden="1" x14ac:dyDescent="0.25"/>
    <row r="593" customFormat="1" ht="15" hidden="1" x14ac:dyDescent="0.25"/>
    <row r="594" customFormat="1" ht="15" hidden="1" x14ac:dyDescent="0.25"/>
    <row r="595" customFormat="1" ht="15" hidden="1" x14ac:dyDescent="0.25"/>
    <row r="596" customFormat="1" ht="15" hidden="1" x14ac:dyDescent="0.25"/>
    <row r="597" customFormat="1" ht="15" hidden="1" x14ac:dyDescent="0.25"/>
    <row r="598" customFormat="1" ht="15" hidden="1" x14ac:dyDescent="0.25"/>
    <row r="599" customFormat="1" ht="15" hidden="1" x14ac:dyDescent="0.25"/>
    <row r="600" customFormat="1" ht="15" hidden="1" x14ac:dyDescent="0.25"/>
    <row r="601" customFormat="1" ht="15" hidden="1" x14ac:dyDescent="0.25"/>
    <row r="602" customFormat="1" ht="15" hidden="1" x14ac:dyDescent="0.25"/>
    <row r="603" customFormat="1" ht="15" hidden="1" x14ac:dyDescent="0.25"/>
    <row r="604" customFormat="1" ht="15" hidden="1" x14ac:dyDescent="0.25"/>
    <row r="605" customFormat="1" ht="15" hidden="1" x14ac:dyDescent="0.25"/>
    <row r="606" customFormat="1" ht="15" hidden="1" x14ac:dyDescent="0.25"/>
    <row r="607" customFormat="1" ht="15" hidden="1" x14ac:dyDescent="0.25"/>
    <row r="608" customFormat="1" ht="15" hidden="1" x14ac:dyDescent="0.25"/>
    <row r="609" customFormat="1" ht="15" hidden="1" x14ac:dyDescent="0.25"/>
    <row r="610" customFormat="1" ht="15" hidden="1" x14ac:dyDescent="0.25"/>
    <row r="611" customFormat="1" ht="15" hidden="1" x14ac:dyDescent="0.25"/>
    <row r="612" customFormat="1" ht="15" hidden="1" x14ac:dyDescent="0.25"/>
    <row r="613" customFormat="1" ht="15" hidden="1" x14ac:dyDescent="0.25"/>
    <row r="614" customFormat="1" ht="15" hidden="1" x14ac:dyDescent="0.25"/>
    <row r="615" customFormat="1" ht="15" hidden="1" x14ac:dyDescent="0.25"/>
    <row r="616" customFormat="1" ht="15" hidden="1" x14ac:dyDescent="0.25"/>
    <row r="617" customFormat="1" ht="15" hidden="1" x14ac:dyDescent="0.25"/>
    <row r="618" customFormat="1" ht="15" hidden="1" x14ac:dyDescent="0.25"/>
    <row r="619" customFormat="1" ht="15" hidden="1" x14ac:dyDescent="0.25"/>
    <row r="620" customFormat="1" ht="15" hidden="1" x14ac:dyDescent="0.25"/>
    <row r="621" customFormat="1" ht="15" hidden="1" x14ac:dyDescent="0.25"/>
    <row r="622" customFormat="1" ht="15" hidden="1" x14ac:dyDescent="0.25"/>
    <row r="623" customFormat="1" ht="15" hidden="1" x14ac:dyDescent="0.25"/>
    <row r="624" customFormat="1" ht="15" hidden="1" x14ac:dyDescent="0.25"/>
    <row r="625" customFormat="1" ht="15" hidden="1" x14ac:dyDescent="0.25"/>
    <row r="626" customFormat="1" ht="15" hidden="1" x14ac:dyDescent="0.25"/>
    <row r="627" customFormat="1" ht="15" hidden="1" x14ac:dyDescent="0.25"/>
    <row r="628" customFormat="1" ht="15" hidden="1" x14ac:dyDescent="0.25"/>
    <row r="629" customFormat="1" ht="15" hidden="1" x14ac:dyDescent="0.25"/>
    <row r="630" customFormat="1" ht="15" hidden="1" x14ac:dyDescent="0.25"/>
    <row r="631" customFormat="1" ht="15" hidden="1" x14ac:dyDescent="0.25"/>
    <row r="632" customFormat="1" ht="15" hidden="1" x14ac:dyDescent="0.25"/>
    <row r="633" customFormat="1" ht="15" hidden="1" x14ac:dyDescent="0.25"/>
    <row r="634" customFormat="1" ht="15" hidden="1" x14ac:dyDescent="0.25"/>
    <row r="635" customFormat="1" ht="15" hidden="1" x14ac:dyDescent="0.25"/>
    <row r="636" customFormat="1" ht="15" hidden="1" x14ac:dyDescent="0.25"/>
    <row r="637" customFormat="1" ht="15" hidden="1" x14ac:dyDescent="0.25"/>
    <row r="638" customFormat="1" ht="15" hidden="1" x14ac:dyDescent="0.25"/>
    <row r="639" customFormat="1" ht="15" hidden="1" x14ac:dyDescent="0.25"/>
    <row r="640" customFormat="1" ht="15" hidden="1" x14ac:dyDescent="0.25"/>
    <row r="641" customFormat="1" ht="15" hidden="1" x14ac:dyDescent="0.25"/>
    <row r="642" customFormat="1" ht="15" hidden="1" x14ac:dyDescent="0.25"/>
    <row r="643" customFormat="1" ht="15" hidden="1" x14ac:dyDescent="0.25"/>
    <row r="644" customFormat="1" ht="15" hidden="1" x14ac:dyDescent="0.25"/>
    <row r="645" customFormat="1" ht="15" hidden="1" x14ac:dyDescent="0.25"/>
    <row r="646" customFormat="1" ht="15" hidden="1" x14ac:dyDescent="0.25"/>
    <row r="647" customFormat="1" ht="15" hidden="1" x14ac:dyDescent="0.25"/>
    <row r="648" customFormat="1" ht="15" hidden="1" x14ac:dyDescent="0.25"/>
    <row r="649" customFormat="1" ht="15" hidden="1" x14ac:dyDescent="0.25"/>
    <row r="650" customFormat="1" ht="15" hidden="1" x14ac:dyDescent="0.25"/>
    <row r="651" customFormat="1" ht="15" hidden="1" x14ac:dyDescent="0.25"/>
    <row r="652" customFormat="1" ht="15" hidden="1" x14ac:dyDescent="0.25"/>
    <row r="653" customFormat="1" ht="15" hidden="1" x14ac:dyDescent="0.25"/>
    <row r="654" customFormat="1" ht="15" hidden="1" x14ac:dyDescent="0.25"/>
    <row r="655" customFormat="1" ht="15" hidden="1" x14ac:dyDescent="0.25"/>
    <row r="656" customFormat="1" ht="15" hidden="1" x14ac:dyDescent="0.25"/>
    <row r="657" customFormat="1" ht="15" hidden="1" x14ac:dyDescent="0.25"/>
    <row r="658" customFormat="1" ht="15" hidden="1" x14ac:dyDescent="0.25"/>
    <row r="659" customFormat="1" ht="15" hidden="1" x14ac:dyDescent="0.25"/>
    <row r="660" customFormat="1" ht="15" hidden="1" x14ac:dyDescent="0.25"/>
    <row r="661" customFormat="1" ht="15" hidden="1" x14ac:dyDescent="0.25"/>
    <row r="662" customFormat="1" ht="15" hidden="1" x14ac:dyDescent="0.25"/>
    <row r="663" customFormat="1" ht="15" hidden="1" x14ac:dyDescent="0.25"/>
    <row r="664" customFormat="1" ht="15" hidden="1" x14ac:dyDescent="0.25"/>
    <row r="665" customFormat="1" ht="15" hidden="1" x14ac:dyDescent="0.25"/>
    <row r="666" customFormat="1" ht="15" hidden="1" x14ac:dyDescent="0.25"/>
    <row r="667" customFormat="1" ht="15" hidden="1" x14ac:dyDescent="0.25"/>
    <row r="668" customFormat="1" ht="15" hidden="1" x14ac:dyDescent="0.25"/>
    <row r="669" customFormat="1" ht="15" hidden="1" x14ac:dyDescent="0.25"/>
    <row r="670" customFormat="1" ht="15" hidden="1" x14ac:dyDescent="0.25"/>
    <row r="671" customFormat="1" ht="15" hidden="1" x14ac:dyDescent="0.25"/>
    <row r="672" customFormat="1" ht="15" hidden="1" x14ac:dyDescent="0.25"/>
    <row r="673" customFormat="1" ht="15" hidden="1" x14ac:dyDescent="0.25"/>
    <row r="674" customFormat="1" ht="15" hidden="1" x14ac:dyDescent="0.25"/>
    <row r="675" customFormat="1" ht="15" hidden="1" x14ac:dyDescent="0.25"/>
    <row r="676" customFormat="1" ht="15" hidden="1" x14ac:dyDescent="0.25"/>
    <row r="677" customFormat="1" ht="15" hidden="1" x14ac:dyDescent="0.25"/>
    <row r="678" customFormat="1" ht="15" hidden="1" x14ac:dyDescent="0.25"/>
    <row r="679" customFormat="1" ht="15" hidden="1" x14ac:dyDescent="0.25"/>
    <row r="680" customFormat="1" ht="15" hidden="1" x14ac:dyDescent="0.25"/>
    <row r="681" customFormat="1" ht="15" hidden="1" x14ac:dyDescent="0.25"/>
    <row r="682" customFormat="1" ht="15" hidden="1" x14ac:dyDescent="0.25"/>
    <row r="683" customFormat="1" ht="15" hidden="1" x14ac:dyDescent="0.25"/>
    <row r="684" customFormat="1" ht="15" hidden="1" x14ac:dyDescent="0.25"/>
    <row r="685" customFormat="1" ht="15" hidden="1" x14ac:dyDescent="0.25"/>
    <row r="686" customFormat="1" ht="15" hidden="1" x14ac:dyDescent="0.25"/>
    <row r="687" customFormat="1" ht="15" hidden="1" x14ac:dyDescent="0.25"/>
    <row r="688" customFormat="1" ht="15" hidden="1" x14ac:dyDescent="0.25"/>
    <row r="689" customFormat="1" ht="15" hidden="1" x14ac:dyDescent="0.25"/>
    <row r="690" customFormat="1" ht="15" hidden="1" x14ac:dyDescent="0.25"/>
    <row r="691" customFormat="1" ht="15" hidden="1" x14ac:dyDescent="0.25"/>
    <row r="692" customFormat="1" ht="15" hidden="1" x14ac:dyDescent="0.25"/>
    <row r="693" customFormat="1" ht="15" hidden="1" x14ac:dyDescent="0.25"/>
    <row r="694" customFormat="1" ht="15" hidden="1" x14ac:dyDescent="0.25"/>
    <row r="695" customFormat="1" ht="15" hidden="1" x14ac:dyDescent="0.25"/>
    <row r="696" customFormat="1" ht="15" hidden="1" x14ac:dyDescent="0.25"/>
    <row r="697" customFormat="1" ht="15" hidden="1" x14ac:dyDescent="0.25"/>
    <row r="698" customFormat="1" ht="15" hidden="1" x14ac:dyDescent="0.25"/>
    <row r="699" customFormat="1" ht="15" hidden="1" x14ac:dyDescent="0.25"/>
    <row r="700" customFormat="1" ht="15" hidden="1" x14ac:dyDescent="0.25"/>
    <row r="701" customFormat="1" ht="15" hidden="1" x14ac:dyDescent="0.25"/>
    <row r="702" customFormat="1" ht="15" hidden="1" x14ac:dyDescent="0.25"/>
    <row r="703" customFormat="1" ht="15" hidden="1" x14ac:dyDescent="0.25"/>
    <row r="704" customFormat="1" ht="15" hidden="1" x14ac:dyDescent="0.25"/>
    <row r="705" customFormat="1" ht="15" hidden="1" x14ac:dyDescent="0.25"/>
    <row r="706" customFormat="1" ht="15" hidden="1" x14ac:dyDescent="0.25"/>
    <row r="707" customFormat="1" ht="15" hidden="1" x14ac:dyDescent="0.25"/>
    <row r="708" customFormat="1" ht="15" hidden="1" x14ac:dyDescent="0.25"/>
    <row r="709" customFormat="1" ht="15" hidden="1" x14ac:dyDescent="0.25"/>
    <row r="710" customFormat="1" ht="15" hidden="1" x14ac:dyDescent="0.25"/>
    <row r="711" customFormat="1" ht="15" hidden="1" x14ac:dyDescent="0.25"/>
    <row r="712" customFormat="1" ht="15" hidden="1" x14ac:dyDescent="0.25"/>
    <row r="713" customFormat="1" ht="15" hidden="1" x14ac:dyDescent="0.25"/>
    <row r="714" customFormat="1" ht="15" hidden="1" x14ac:dyDescent="0.25"/>
    <row r="715" customFormat="1" ht="15" hidden="1" x14ac:dyDescent="0.25"/>
    <row r="716" customFormat="1" ht="15" hidden="1" x14ac:dyDescent="0.25"/>
    <row r="717" customFormat="1" ht="15" hidden="1" x14ac:dyDescent="0.25"/>
    <row r="718" customFormat="1" ht="15" hidden="1" x14ac:dyDescent="0.25"/>
    <row r="719" customFormat="1" ht="15" hidden="1" x14ac:dyDescent="0.25"/>
    <row r="720" customFormat="1" ht="15" hidden="1" x14ac:dyDescent="0.25"/>
    <row r="721" customFormat="1" ht="15" hidden="1" x14ac:dyDescent="0.25"/>
    <row r="722" customFormat="1" ht="15" hidden="1" x14ac:dyDescent="0.25"/>
    <row r="723" customFormat="1" ht="15" hidden="1" x14ac:dyDescent="0.25"/>
    <row r="724" customFormat="1" ht="15" hidden="1" x14ac:dyDescent="0.25"/>
    <row r="725" customFormat="1" ht="15" hidden="1" x14ac:dyDescent="0.25"/>
    <row r="726" customFormat="1" ht="15" hidden="1" x14ac:dyDescent="0.25"/>
    <row r="727" customFormat="1" ht="15" hidden="1" x14ac:dyDescent="0.25"/>
    <row r="728" customFormat="1" ht="15" hidden="1" x14ac:dyDescent="0.25"/>
    <row r="729" customFormat="1" ht="15" hidden="1" x14ac:dyDescent="0.25"/>
    <row r="730" customFormat="1" ht="15" hidden="1" x14ac:dyDescent="0.25"/>
    <row r="731" customFormat="1" ht="15" hidden="1" x14ac:dyDescent="0.25"/>
    <row r="732" customFormat="1" ht="15" hidden="1" x14ac:dyDescent="0.25"/>
    <row r="733" customFormat="1" ht="15" hidden="1" x14ac:dyDescent="0.25"/>
    <row r="734" customFormat="1" ht="15" hidden="1" x14ac:dyDescent="0.25"/>
    <row r="735" customFormat="1" ht="15" hidden="1" x14ac:dyDescent="0.25"/>
    <row r="736" customFormat="1" ht="15" hidden="1" x14ac:dyDescent="0.25"/>
    <row r="737" customFormat="1" ht="15" hidden="1" x14ac:dyDescent="0.25"/>
    <row r="738" customFormat="1" ht="15" hidden="1" x14ac:dyDescent="0.25"/>
    <row r="739" customFormat="1" ht="15" hidden="1" x14ac:dyDescent="0.25"/>
    <row r="740" customFormat="1" ht="15" hidden="1" x14ac:dyDescent="0.25"/>
    <row r="741" customFormat="1" ht="15" hidden="1" x14ac:dyDescent="0.25"/>
    <row r="742" customFormat="1" ht="15" hidden="1" x14ac:dyDescent="0.25"/>
    <row r="743" customFormat="1" ht="15" hidden="1" x14ac:dyDescent="0.25"/>
    <row r="744" customFormat="1" ht="15" hidden="1" x14ac:dyDescent="0.25"/>
    <row r="745" customFormat="1" ht="15" hidden="1" x14ac:dyDescent="0.25"/>
    <row r="746" customFormat="1" ht="15" hidden="1" x14ac:dyDescent="0.25"/>
    <row r="747" customFormat="1" ht="15" hidden="1" x14ac:dyDescent="0.25"/>
    <row r="748" customFormat="1" ht="15" hidden="1" x14ac:dyDescent="0.25"/>
    <row r="749" customFormat="1" ht="15" hidden="1" x14ac:dyDescent="0.25"/>
    <row r="750" customFormat="1" ht="15" hidden="1" x14ac:dyDescent="0.25"/>
    <row r="751" customFormat="1" ht="15" hidden="1" x14ac:dyDescent="0.25"/>
    <row r="752" customFormat="1" ht="15" hidden="1" x14ac:dyDescent="0.25"/>
    <row r="753" customFormat="1" ht="15" hidden="1" x14ac:dyDescent="0.25"/>
    <row r="754" customFormat="1" ht="15" hidden="1" x14ac:dyDescent="0.25"/>
    <row r="755" customFormat="1" ht="15" hidden="1" x14ac:dyDescent="0.25"/>
    <row r="756" customFormat="1" ht="15" hidden="1" x14ac:dyDescent="0.25"/>
    <row r="757" customFormat="1" ht="15" hidden="1" x14ac:dyDescent="0.25"/>
    <row r="758" customFormat="1" ht="15" hidden="1" x14ac:dyDescent="0.25"/>
    <row r="759" customFormat="1" ht="15" hidden="1" x14ac:dyDescent="0.25"/>
    <row r="760" customFormat="1" ht="15" hidden="1" x14ac:dyDescent="0.25"/>
    <row r="761" customFormat="1" ht="15" hidden="1" x14ac:dyDescent="0.25"/>
    <row r="762" customFormat="1" ht="15" hidden="1" x14ac:dyDescent="0.25"/>
    <row r="763" customFormat="1" ht="15" hidden="1" x14ac:dyDescent="0.25"/>
    <row r="764" customFormat="1" ht="15" hidden="1" x14ac:dyDescent="0.25"/>
    <row r="765" customFormat="1" ht="15" hidden="1" x14ac:dyDescent="0.25"/>
    <row r="766" customFormat="1" ht="15" hidden="1" x14ac:dyDescent="0.25"/>
    <row r="767" customFormat="1" ht="15" hidden="1" x14ac:dyDescent="0.25"/>
    <row r="768" customFormat="1" ht="15" hidden="1" x14ac:dyDescent="0.25"/>
    <row r="769" customFormat="1" ht="15" hidden="1" x14ac:dyDescent="0.25"/>
    <row r="770" customFormat="1" ht="15" hidden="1" x14ac:dyDescent="0.25"/>
    <row r="771" customFormat="1" ht="15" hidden="1" x14ac:dyDescent="0.25"/>
    <row r="772" customFormat="1" ht="15" hidden="1" x14ac:dyDescent="0.25"/>
    <row r="773" customFormat="1" ht="15" hidden="1" x14ac:dyDescent="0.25"/>
    <row r="774" customFormat="1" ht="15" hidden="1" x14ac:dyDescent="0.25"/>
    <row r="775" customFormat="1" ht="15" hidden="1" x14ac:dyDescent="0.25"/>
    <row r="776" customFormat="1" ht="15" hidden="1" x14ac:dyDescent="0.25"/>
    <row r="777" customFormat="1" ht="15" hidden="1" x14ac:dyDescent="0.25"/>
    <row r="778" customFormat="1" ht="15" hidden="1" x14ac:dyDescent="0.25"/>
    <row r="779" customFormat="1" ht="15" hidden="1" x14ac:dyDescent="0.25"/>
    <row r="780" customFormat="1" ht="15" hidden="1" x14ac:dyDescent="0.25"/>
    <row r="781" customFormat="1" ht="15" hidden="1" x14ac:dyDescent="0.25"/>
    <row r="782" customFormat="1" ht="15" hidden="1" x14ac:dyDescent="0.25"/>
    <row r="783" customFormat="1" ht="15" hidden="1" x14ac:dyDescent="0.25"/>
    <row r="784" customFormat="1" ht="15" hidden="1" x14ac:dyDescent="0.25"/>
    <row r="785" customFormat="1" ht="15" hidden="1" x14ac:dyDescent="0.25"/>
    <row r="786" customFormat="1" ht="15" hidden="1" x14ac:dyDescent="0.25"/>
    <row r="787" customFormat="1" ht="15" hidden="1" x14ac:dyDescent="0.25"/>
    <row r="788" customFormat="1" ht="15" hidden="1" x14ac:dyDescent="0.25"/>
    <row r="789" customFormat="1" ht="15" hidden="1" x14ac:dyDescent="0.25"/>
    <row r="790" customFormat="1" ht="15" hidden="1" x14ac:dyDescent="0.25"/>
    <row r="791" customFormat="1" ht="15" hidden="1" x14ac:dyDescent="0.25"/>
    <row r="792" customFormat="1" ht="15" hidden="1" x14ac:dyDescent="0.25"/>
    <row r="793" customFormat="1" ht="15" hidden="1" x14ac:dyDescent="0.25"/>
    <row r="794" customFormat="1" ht="15" hidden="1" x14ac:dyDescent="0.25"/>
    <row r="795" customFormat="1" ht="15" hidden="1" x14ac:dyDescent="0.25"/>
    <row r="796" customFormat="1" ht="15" hidden="1" x14ac:dyDescent="0.25"/>
    <row r="797" customFormat="1" ht="15" hidden="1" x14ac:dyDescent="0.25"/>
    <row r="798" customFormat="1" ht="15" hidden="1" x14ac:dyDescent="0.25"/>
    <row r="799" customFormat="1" ht="15" hidden="1" x14ac:dyDescent="0.25"/>
    <row r="800" customFormat="1" ht="15" hidden="1" x14ac:dyDescent="0.25"/>
    <row r="801" customFormat="1" ht="15" hidden="1" x14ac:dyDescent="0.25"/>
    <row r="802" customFormat="1" ht="15" hidden="1" x14ac:dyDescent="0.25"/>
    <row r="803" customFormat="1" ht="15" hidden="1" x14ac:dyDescent="0.25"/>
    <row r="804" customFormat="1" ht="15" hidden="1" x14ac:dyDescent="0.25"/>
    <row r="805" customFormat="1" ht="15" hidden="1" x14ac:dyDescent="0.25"/>
    <row r="806" customFormat="1" ht="15" hidden="1" x14ac:dyDescent="0.25"/>
    <row r="807" customFormat="1" ht="15" hidden="1" x14ac:dyDescent="0.25"/>
    <row r="808" customFormat="1" ht="15" hidden="1" x14ac:dyDescent="0.25"/>
    <row r="809" customFormat="1" ht="15" hidden="1" x14ac:dyDescent="0.25"/>
    <row r="810" customFormat="1" ht="15" hidden="1" x14ac:dyDescent="0.25"/>
    <row r="811" customFormat="1" ht="15" hidden="1" x14ac:dyDescent="0.25"/>
    <row r="812" customFormat="1" ht="15" hidden="1" x14ac:dyDescent="0.25"/>
    <row r="813" customFormat="1" ht="15" hidden="1" x14ac:dyDescent="0.25"/>
    <row r="814" customFormat="1" ht="15" hidden="1" x14ac:dyDescent="0.25"/>
    <row r="815" customFormat="1" ht="15" hidden="1" x14ac:dyDescent="0.25"/>
    <row r="816" customFormat="1" ht="15" hidden="1" x14ac:dyDescent="0.25"/>
    <row r="817" customFormat="1" ht="15" hidden="1" x14ac:dyDescent="0.25"/>
    <row r="818" customFormat="1" ht="15" hidden="1" x14ac:dyDescent="0.25"/>
    <row r="819" customFormat="1" ht="15" hidden="1" x14ac:dyDescent="0.25"/>
    <row r="820" customFormat="1" ht="15" hidden="1" x14ac:dyDescent="0.25"/>
    <row r="821" customFormat="1" ht="15" hidden="1" x14ac:dyDescent="0.25"/>
    <row r="822" customFormat="1" ht="15" hidden="1" x14ac:dyDescent="0.25"/>
    <row r="823" customFormat="1" ht="15" hidden="1" x14ac:dyDescent="0.25"/>
    <row r="824" customFormat="1" ht="15" hidden="1" x14ac:dyDescent="0.25"/>
    <row r="825" customFormat="1" ht="15" hidden="1" x14ac:dyDescent="0.25"/>
    <row r="826" customFormat="1" ht="15" hidden="1" x14ac:dyDescent="0.25"/>
    <row r="827" customFormat="1" ht="15" hidden="1" x14ac:dyDescent="0.25"/>
    <row r="828" customFormat="1" ht="15" hidden="1" x14ac:dyDescent="0.25"/>
    <row r="829" customFormat="1" ht="15" hidden="1" x14ac:dyDescent="0.25"/>
    <row r="830" customFormat="1" ht="15" hidden="1" x14ac:dyDescent="0.25"/>
    <row r="831" customFormat="1" ht="15" hidden="1" x14ac:dyDescent="0.25"/>
    <row r="832" customFormat="1" ht="15" hidden="1" x14ac:dyDescent="0.25"/>
    <row r="833" customFormat="1" ht="15" hidden="1" x14ac:dyDescent="0.25"/>
    <row r="834" customFormat="1" ht="15" hidden="1" x14ac:dyDescent="0.25"/>
    <row r="835" customFormat="1" ht="15" hidden="1" x14ac:dyDescent="0.25"/>
    <row r="836" customFormat="1" ht="15" hidden="1" x14ac:dyDescent="0.25"/>
    <row r="837" customFormat="1" ht="15" hidden="1" x14ac:dyDescent="0.25"/>
    <row r="838" customFormat="1" ht="15" hidden="1" x14ac:dyDescent="0.25"/>
    <row r="839" customFormat="1" ht="15" hidden="1" x14ac:dyDescent="0.25"/>
    <row r="840" customFormat="1" ht="15" hidden="1" x14ac:dyDescent="0.25"/>
    <row r="841" customFormat="1" ht="15" hidden="1" x14ac:dyDescent="0.25"/>
    <row r="842" customFormat="1" ht="15" hidden="1" x14ac:dyDescent="0.25"/>
    <row r="843" customFormat="1" ht="15" hidden="1" x14ac:dyDescent="0.25"/>
    <row r="844" customFormat="1" ht="15" hidden="1" x14ac:dyDescent="0.25"/>
    <row r="845" customFormat="1" ht="15" hidden="1" x14ac:dyDescent="0.25"/>
    <row r="846" customFormat="1" ht="15" hidden="1" x14ac:dyDescent="0.25"/>
    <row r="847" customFormat="1" ht="15" hidden="1" x14ac:dyDescent="0.25"/>
    <row r="848" customFormat="1" ht="15" hidden="1" x14ac:dyDescent="0.25"/>
    <row r="849" customFormat="1" ht="15" hidden="1" x14ac:dyDescent="0.25"/>
    <row r="850" customFormat="1" ht="15" hidden="1" x14ac:dyDescent="0.25"/>
    <row r="851" customFormat="1" ht="15" hidden="1" x14ac:dyDescent="0.25"/>
    <row r="852" customFormat="1" ht="15" hidden="1" x14ac:dyDescent="0.25"/>
    <row r="853" customFormat="1" ht="15" hidden="1" x14ac:dyDescent="0.25"/>
    <row r="854" customFormat="1" ht="15" hidden="1" x14ac:dyDescent="0.25"/>
    <row r="855" customFormat="1" ht="15" hidden="1" x14ac:dyDescent="0.25"/>
    <row r="856" customFormat="1" ht="15" hidden="1" x14ac:dyDescent="0.25"/>
    <row r="857" customFormat="1" ht="15" hidden="1" x14ac:dyDescent="0.25"/>
    <row r="858" customFormat="1" ht="15" hidden="1" x14ac:dyDescent="0.25"/>
    <row r="859" customFormat="1" ht="15" hidden="1" x14ac:dyDescent="0.25"/>
    <row r="860" customFormat="1" ht="15" hidden="1" x14ac:dyDescent="0.25"/>
    <row r="861" customFormat="1" ht="15" hidden="1" x14ac:dyDescent="0.25"/>
    <row r="862" customFormat="1" ht="15" hidden="1" x14ac:dyDescent="0.25"/>
    <row r="863" customFormat="1" ht="15" hidden="1" x14ac:dyDescent="0.25"/>
    <row r="864" customFormat="1" ht="15" hidden="1" x14ac:dyDescent="0.25"/>
    <row r="865" customFormat="1" ht="15" hidden="1" x14ac:dyDescent="0.25"/>
    <row r="866" customFormat="1" ht="15" hidden="1" x14ac:dyDescent="0.25"/>
    <row r="867" customFormat="1" ht="15" hidden="1" x14ac:dyDescent="0.25"/>
    <row r="868" customFormat="1" ht="15" hidden="1" x14ac:dyDescent="0.25"/>
    <row r="869" customFormat="1" ht="15" hidden="1" x14ac:dyDescent="0.25"/>
    <row r="870" customFormat="1" ht="15" hidden="1" x14ac:dyDescent="0.25"/>
    <row r="871" customFormat="1" ht="15" hidden="1" x14ac:dyDescent="0.25"/>
    <row r="872" customFormat="1" ht="15" hidden="1" x14ac:dyDescent="0.25"/>
    <row r="873" customFormat="1" ht="15" hidden="1" x14ac:dyDescent="0.25"/>
    <row r="874" customFormat="1" ht="15" hidden="1" x14ac:dyDescent="0.25"/>
    <row r="875" customFormat="1" ht="15" hidden="1" x14ac:dyDescent="0.25"/>
    <row r="876" customFormat="1" ht="15" hidden="1" x14ac:dyDescent="0.25"/>
    <row r="877" customFormat="1" ht="15" hidden="1" x14ac:dyDescent="0.25"/>
    <row r="878" customFormat="1" ht="15" hidden="1" x14ac:dyDescent="0.25"/>
    <row r="879" customFormat="1" ht="15" hidden="1" x14ac:dyDescent="0.25"/>
    <row r="880" customFormat="1" ht="15" hidden="1" x14ac:dyDescent="0.25"/>
    <row r="881" customFormat="1" ht="15" hidden="1" x14ac:dyDescent="0.25"/>
    <row r="882" customFormat="1" ht="15" hidden="1" x14ac:dyDescent="0.25"/>
    <row r="883" customFormat="1" ht="15" hidden="1" x14ac:dyDescent="0.25"/>
    <row r="884" customFormat="1" ht="15" hidden="1" x14ac:dyDescent="0.25"/>
    <row r="885" customFormat="1" ht="15" hidden="1" x14ac:dyDescent="0.25"/>
    <row r="886" customFormat="1" ht="15" hidden="1" x14ac:dyDescent="0.25"/>
    <row r="887" customFormat="1" ht="15" hidden="1" x14ac:dyDescent="0.25"/>
    <row r="888" customFormat="1" ht="15" hidden="1" x14ac:dyDescent="0.25"/>
    <row r="889" customFormat="1" ht="15" hidden="1" x14ac:dyDescent="0.25"/>
    <row r="890" customFormat="1" ht="15" hidden="1" x14ac:dyDescent="0.25"/>
    <row r="891" customFormat="1" ht="15" hidden="1" x14ac:dyDescent="0.25"/>
    <row r="892" customFormat="1" ht="15" hidden="1" x14ac:dyDescent="0.25"/>
    <row r="893" customFormat="1" ht="15" hidden="1" x14ac:dyDescent="0.25"/>
    <row r="894" customFormat="1" ht="15" hidden="1" x14ac:dyDescent="0.25"/>
    <row r="895" customFormat="1" ht="15" hidden="1" x14ac:dyDescent="0.25"/>
    <row r="896" customFormat="1" ht="15" hidden="1" x14ac:dyDescent="0.25"/>
    <row r="897" customFormat="1" ht="15" hidden="1" x14ac:dyDescent="0.25"/>
    <row r="898" customFormat="1" ht="15" hidden="1" x14ac:dyDescent="0.25"/>
    <row r="899" customFormat="1" ht="15" hidden="1" x14ac:dyDescent="0.25"/>
    <row r="900" customFormat="1" ht="15" hidden="1" x14ac:dyDescent="0.25"/>
    <row r="901" customFormat="1" ht="15" hidden="1" x14ac:dyDescent="0.25"/>
    <row r="902" customFormat="1" ht="15" hidden="1" x14ac:dyDescent="0.25"/>
    <row r="903" customFormat="1" ht="15" hidden="1" x14ac:dyDescent="0.25"/>
    <row r="904" customFormat="1" ht="15" hidden="1" x14ac:dyDescent="0.25"/>
    <row r="905" customFormat="1" ht="15" hidden="1" x14ac:dyDescent="0.25"/>
    <row r="906" customFormat="1" ht="15" hidden="1" x14ac:dyDescent="0.25"/>
    <row r="907" customFormat="1" ht="15" hidden="1" x14ac:dyDescent="0.25"/>
    <row r="908" customFormat="1" ht="15" hidden="1" x14ac:dyDescent="0.25"/>
    <row r="909" customFormat="1" ht="15" hidden="1" x14ac:dyDescent="0.25"/>
    <row r="910" customFormat="1" ht="15" hidden="1" x14ac:dyDescent="0.25"/>
    <row r="911" customFormat="1" ht="15" hidden="1" x14ac:dyDescent="0.25"/>
    <row r="912" customFormat="1" ht="15" hidden="1" x14ac:dyDescent="0.25"/>
    <row r="913" customFormat="1" ht="15" hidden="1" x14ac:dyDescent="0.25"/>
    <row r="914" customFormat="1" ht="15" hidden="1" x14ac:dyDescent="0.25"/>
    <row r="915" customFormat="1" ht="15" hidden="1" x14ac:dyDescent="0.25"/>
    <row r="916" customFormat="1" ht="15" hidden="1" x14ac:dyDescent="0.25"/>
    <row r="917" customFormat="1" ht="15" hidden="1" x14ac:dyDescent="0.25"/>
    <row r="918" customFormat="1" ht="15" hidden="1" x14ac:dyDescent="0.25"/>
    <row r="919" customFormat="1" ht="15" hidden="1" x14ac:dyDescent="0.25"/>
    <row r="920" customFormat="1" ht="15" hidden="1" x14ac:dyDescent="0.25"/>
    <row r="921" customFormat="1" ht="15" hidden="1" x14ac:dyDescent="0.25"/>
    <row r="922" customFormat="1" ht="15" hidden="1" x14ac:dyDescent="0.25"/>
    <row r="923" customFormat="1" ht="15" hidden="1" x14ac:dyDescent="0.25"/>
    <row r="924" customFormat="1" ht="15" hidden="1" x14ac:dyDescent="0.25"/>
    <row r="925" customFormat="1" ht="15" hidden="1" x14ac:dyDescent="0.25"/>
    <row r="926" customFormat="1" ht="15" hidden="1" x14ac:dyDescent="0.25"/>
    <row r="927" customFormat="1" ht="15" hidden="1" x14ac:dyDescent="0.25"/>
    <row r="928" customFormat="1" ht="15" hidden="1" x14ac:dyDescent="0.25"/>
    <row r="929" customFormat="1" ht="15" hidden="1" x14ac:dyDescent="0.25"/>
    <row r="930" customFormat="1" ht="15" hidden="1" x14ac:dyDescent="0.25"/>
    <row r="931" customFormat="1" ht="15" hidden="1" x14ac:dyDescent="0.25"/>
    <row r="932" customFormat="1" ht="15" hidden="1" x14ac:dyDescent="0.25"/>
    <row r="933" customFormat="1" ht="15" hidden="1" x14ac:dyDescent="0.25"/>
    <row r="934" customFormat="1" ht="15" hidden="1" x14ac:dyDescent="0.25"/>
    <row r="935" customFormat="1" ht="15" hidden="1" x14ac:dyDescent="0.25"/>
    <row r="936" customFormat="1" ht="15" hidden="1" x14ac:dyDescent="0.25"/>
    <row r="937" customFormat="1" ht="15" hidden="1" x14ac:dyDescent="0.25"/>
    <row r="938" customFormat="1" ht="15" hidden="1" x14ac:dyDescent="0.25"/>
    <row r="939" customFormat="1" ht="15" hidden="1" x14ac:dyDescent="0.25"/>
    <row r="940" customFormat="1" ht="15" hidden="1" x14ac:dyDescent="0.25"/>
    <row r="941" customFormat="1" ht="15" hidden="1" x14ac:dyDescent="0.25"/>
    <row r="942" customFormat="1" ht="15" hidden="1" x14ac:dyDescent="0.25"/>
    <row r="943" customFormat="1" ht="15" hidden="1" x14ac:dyDescent="0.25"/>
    <row r="944" customFormat="1" ht="15" hidden="1" x14ac:dyDescent="0.25"/>
    <row r="945" customFormat="1" ht="15" hidden="1" x14ac:dyDescent="0.25"/>
    <row r="946" customFormat="1" ht="15" hidden="1" x14ac:dyDescent="0.25"/>
    <row r="947" customFormat="1" ht="15" hidden="1" x14ac:dyDescent="0.25"/>
    <row r="948" customFormat="1" ht="15" hidden="1" x14ac:dyDescent="0.25"/>
    <row r="949" customFormat="1" ht="15" hidden="1" x14ac:dyDescent="0.25"/>
    <row r="950" customFormat="1" ht="15" hidden="1" x14ac:dyDescent="0.25"/>
    <row r="951" customFormat="1" ht="15" hidden="1" x14ac:dyDescent="0.25"/>
    <row r="952" customFormat="1" ht="15" hidden="1" x14ac:dyDescent="0.25"/>
    <row r="953" customFormat="1" ht="15" hidden="1" x14ac:dyDescent="0.25"/>
    <row r="954" customFormat="1" ht="15" hidden="1" x14ac:dyDescent="0.25"/>
    <row r="955" customFormat="1" ht="15" hidden="1" x14ac:dyDescent="0.25"/>
    <row r="956" customFormat="1" ht="15" hidden="1" x14ac:dyDescent="0.25"/>
    <row r="957" customFormat="1" ht="15" hidden="1" x14ac:dyDescent="0.25"/>
    <row r="958" customFormat="1" ht="15" hidden="1" x14ac:dyDescent="0.25"/>
    <row r="959" customFormat="1" ht="15" hidden="1" x14ac:dyDescent="0.25"/>
    <row r="960" customFormat="1" ht="15" hidden="1" x14ac:dyDescent="0.25"/>
    <row r="961" customFormat="1" ht="15" hidden="1" x14ac:dyDescent="0.25"/>
    <row r="962" customFormat="1" ht="15" hidden="1" x14ac:dyDescent="0.25"/>
    <row r="963" customFormat="1" ht="15" hidden="1" x14ac:dyDescent="0.25"/>
    <row r="964" customFormat="1" ht="15" hidden="1" x14ac:dyDescent="0.25"/>
    <row r="965" customFormat="1" ht="15" hidden="1" x14ac:dyDescent="0.25"/>
    <row r="966" customFormat="1" ht="15" hidden="1" x14ac:dyDescent="0.25"/>
    <row r="967" customFormat="1" ht="15" hidden="1" x14ac:dyDescent="0.25"/>
    <row r="968" customFormat="1" ht="15" hidden="1" x14ac:dyDescent="0.25"/>
    <row r="969" customFormat="1" ht="15" hidden="1" x14ac:dyDescent="0.25"/>
    <row r="970" customFormat="1" ht="15" hidden="1" x14ac:dyDescent="0.25"/>
    <row r="971" customFormat="1" ht="15" hidden="1" x14ac:dyDescent="0.25"/>
    <row r="972" customFormat="1" ht="15" hidden="1" x14ac:dyDescent="0.25"/>
    <row r="973" customFormat="1" ht="15" hidden="1" x14ac:dyDescent="0.25"/>
    <row r="974" customFormat="1" ht="15" hidden="1" x14ac:dyDescent="0.25"/>
    <row r="975" customFormat="1" ht="15" hidden="1" x14ac:dyDescent="0.25"/>
    <row r="976" customFormat="1" ht="15" hidden="1" x14ac:dyDescent="0.25"/>
    <row r="977" customFormat="1" ht="15" hidden="1" x14ac:dyDescent="0.25"/>
    <row r="978" customFormat="1" ht="15" hidden="1" x14ac:dyDescent="0.25"/>
    <row r="979" customFormat="1" ht="15" hidden="1" x14ac:dyDescent="0.25"/>
    <row r="980" customFormat="1" ht="15" hidden="1" x14ac:dyDescent="0.25"/>
    <row r="981" customFormat="1" ht="15" hidden="1" x14ac:dyDescent="0.25"/>
    <row r="982" customFormat="1" ht="15" hidden="1" x14ac:dyDescent="0.25"/>
    <row r="983" customFormat="1" ht="15" hidden="1" x14ac:dyDescent="0.25"/>
    <row r="984" customFormat="1" ht="15" hidden="1" x14ac:dyDescent="0.25"/>
    <row r="985" customFormat="1" ht="15" hidden="1" x14ac:dyDescent="0.25"/>
    <row r="986" customFormat="1" ht="15" hidden="1" x14ac:dyDescent="0.25"/>
    <row r="987" customFormat="1" ht="15" hidden="1" x14ac:dyDescent="0.25"/>
    <row r="988" customFormat="1" ht="15" hidden="1" x14ac:dyDescent="0.25"/>
    <row r="989" customFormat="1" ht="15" hidden="1" x14ac:dyDescent="0.25"/>
    <row r="990" customFormat="1" ht="15" hidden="1" x14ac:dyDescent="0.25"/>
    <row r="991" customFormat="1" ht="15" hidden="1" x14ac:dyDescent="0.25"/>
    <row r="992" customFormat="1" ht="15" hidden="1" x14ac:dyDescent="0.25"/>
    <row r="993" customFormat="1" ht="15" hidden="1" x14ac:dyDescent="0.25"/>
    <row r="994" customFormat="1" ht="15" hidden="1" x14ac:dyDescent="0.25"/>
    <row r="995" customFormat="1" ht="15" hidden="1" x14ac:dyDescent="0.25"/>
    <row r="996" customFormat="1" ht="15" hidden="1" x14ac:dyDescent="0.25"/>
    <row r="997" customFormat="1" ht="15" hidden="1" x14ac:dyDescent="0.25"/>
    <row r="998" customFormat="1" ht="15" hidden="1" x14ac:dyDescent="0.25"/>
    <row r="999" customFormat="1" ht="15" hidden="1" x14ac:dyDescent="0.25"/>
    <row r="1000" customFormat="1" ht="15" hidden="1" x14ac:dyDescent="0.25"/>
  </sheetData>
  <sheetProtection algorithmName="SHA-512" hashValue="viPTpjc5dwcQyx+oEQVzZYSJjd3Go9pGx72DPKJvqV0esCgSTjOWF2d4vwPt5T5hN9zc0+11UUmseFO9zVSJ8Q==" saltValue="OYpuMRzGy6QbWrca9r7IVA==" spinCount="100000" sheet="1" objects="1" scenarios="1"/>
  <dataConsolidate/>
  <mergeCells count="123">
    <mergeCell ref="K39:L39"/>
    <mergeCell ref="K21:L37"/>
    <mergeCell ref="F12:J12"/>
    <mergeCell ref="F28:H28"/>
    <mergeCell ref="F29:H29"/>
    <mergeCell ref="F26:H26"/>
    <mergeCell ref="F30:H30"/>
    <mergeCell ref="F20:J20"/>
    <mergeCell ref="E21:J21"/>
    <mergeCell ref="F31:H31"/>
    <mergeCell ref="F22:H22"/>
    <mergeCell ref="E14:I14"/>
    <mergeCell ref="F18:H18"/>
    <mergeCell ref="F19:H19"/>
    <mergeCell ref="F13:J13"/>
    <mergeCell ref="F15:H15"/>
    <mergeCell ref="F16:H16"/>
    <mergeCell ref="F17:H17"/>
    <mergeCell ref="K14:L19"/>
    <mergeCell ref="F25:H25"/>
    <mergeCell ref="F27:H27"/>
    <mergeCell ref="F36:H36"/>
    <mergeCell ref="F39:H39"/>
    <mergeCell ref="F23:H23"/>
    <mergeCell ref="C3:E3"/>
    <mergeCell ref="C4:C109"/>
    <mergeCell ref="D12:D13"/>
    <mergeCell ref="E6:J6"/>
    <mergeCell ref="G62:J62"/>
    <mergeCell ref="G56:H56"/>
    <mergeCell ref="G60:H60"/>
    <mergeCell ref="G54:H54"/>
    <mergeCell ref="F38:H38"/>
    <mergeCell ref="F33:H33"/>
    <mergeCell ref="F3:L3"/>
    <mergeCell ref="E7:J7"/>
    <mergeCell ref="E4:J4"/>
    <mergeCell ref="E5:J5"/>
    <mergeCell ref="E8:J8"/>
    <mergeCell ref="F9:J9"/>
    <mergeCell ref="F10:J10"/>
    <mergeCell ref="F11:J11"/>
    <mergeCell ref="E109:J109"/>
    <mergeCell ref="E102:F102"/>
    <mergeCell ref="E103:F103"/>
    <mergeCell ref="E106:J106"/>
    <mergeCell ref="E105:J105"/>
    <mergeCell ref="F32:H32"/>
    <mergeCell ref="F24:H24"/>
    <mergeCell ref="F66:H66"/>
    <mergeCell ref="G53:H53"/>
    <mergeCell ref="F52:J52"/>
    <mergeCell ref="F47:H47"/>
    <mergeCell ref="E64:J64"/>
    <mergeCell ref="G59:H59"/>
    <mergeCell ref="F63:J63"/>
    <mergeCell ref="E91:J91"/>
    <mergeCell ref="F50:H50"/>
    <mergeCell ref="F42:H42"/>
    <mergeCell ref="F43:H43"/>
    <mergeCell ref="F49:H49"/>
    <mergeCell ref="F48:H48"/>
    <mergeCell ref="F34:H34"/>
    <mergeCell ref="F35:H35"/>
    <mergeCell ref="F40:J40"/>
    <mergeCell ref="F37:H37"/>
    <mergeCell ref="F70:J70"/>
    <mergeCell ref="E71:J71"/>
    <mergeCell ref="F79:H79"/>
    <mergeCell ref="G61:H61"/>
    <mergeCell ref="F68:H68"/>
    <mergeCell ref="F44:H44"/>
    <mergeCell ref="E104:J104"/>
    <mergeCell ref="E101:J101"/>
    <mergeCell ref="K52:L61"/>
    <mergeCell ref="K41:L50"/>
    <mergeCell ref="E41:J41"/>
    <mergeCell ref="F46:H46"/>
    <mergeCell ref="F67:H67"/>
    <mergeCell ref="G103:J103"/>
    <mergeCell ref="F100:H100"/>
    <mergeCell ref="F86:H86"/>
    <mergeCell ref="F96:H96"/>
    <mergeCell ref="F97:H97"/>
    <mergeCell ref="F69:H69"/>
    <mergeCell ref="K64:L69"/>
    <mergeCell ref="K81:L88"/>
    <mergeCell ref="G55:H55"/>
    <mergeCell ref="G102:J102"/>
    <mergeCell ref="F51:J51"/>
    <mergeCell ref="G57:H57"/>
    <mergeCell ref="G58:H58"/>
    <mergeCell ref="K74:L78"/>
    <mergeCell ref="F75:H75"/>
    <mergeCell ref="F65:H65"/>
    <mergeCell ref="F45:H45"/>
    <mergeCell ref="D91:D100"/>
    <mergeCell ref="D81:D90"/>
    <mergeCell ref="F83:H83"/>
    <mergeCell ref="E81:J81"/>
    <mergeCell ref="D71:D80"/>
    <mergeCell ref="F72:H72"/>
    <mergeCell ref="F84:H84"/>
    <mergeCell ref="F89:H89"/>
    <mergeCell ref="F90:J90"/>
    <mergeCell ref="F98:H98"/>
    <mergeCell ref="F76:H76"/>
    <mergeCell ref="K71:L73"/>
    <mergeCell ref="F77:H77"/>
    <mergeCell ref="F80:J80"/>
    <mergeCell ref="F74:H74"/>
    <mergeCell ref="F73:H73"/>
    <mergeCell ref="F78:H78"/>
    <mergeCell ref="F82:H82"/>
    <mergeCell ref="K91:L99"/>
    <mergeCell ref="F92:H92"/>
    <mergeCell ref="F93:H93"/>
    <mergeCell ref="F94:H94"/>
    <mergeCell ref="F99:H99"/>
    <mergeCell ref="F85:H85"/>
    <mergeCell ref="F87:H87"/>
    <mergeCell ref="F88:H88"/>
    <mergeCell ref="F95:H95"/>
  </mergeCells>
  <dataValidations count="13">
    <dataValidation type="list" allowBlank="1" showInputMessage="1" showErrorMessage="1" sqref="L11 L5">
      <formula1>PortugueseCode</formula1>
    </dataValidation>
    <dataValidation type="list" allowBlank="1" showInputMessage="1" showErrorMessage="1" sqref="L9:L10">
      <formula1>Raw_Material</formula1>
    </dataValidation>
    <dataValidation type="whole" allowBlank="1" showErrorMessage="1" error="Non neative,  No decimal, upto 99,999,999,999,999 " sqref="J78:J79 J89">
      <formula1>0</formula1>
      <formula2>99999999999999</formula2>
    </dataValidation>
    <dataValidation type="whole" allowBlank="1" showErrorMessage="1" error="  Non negative, no decimal, upto 99,999,999,999,999" sqref="L40">
      <formula1>0</formula1>
      <formula2>9999999999999</formula2>
    </dataValidation>
    <dataValidation type="whole" allowBlank="1" showErrorMessage="1" error="  Non negative, no decimal, upto 99,999,999,999,999" sqref="J53:J61 J92:J99 L90 L100:L104 L80 J72:J77 L70 J65:J69 L62:L63 L51 J15:J19 L20 J22:J39 J42:J50 J82:J85 J87:J88">
      <formula1>0</formula1>
      <formula2>99999999999999</formula2>
    </dataValidation>
    <dataValidation type="whole" allowBlank="1" showErrorMessage="1" error="  Non negative, no decimal, upto 99,999,999,999,999" sqref="L6:L7">
      <formula1>-99999999999999</formula1>
      <formula2>99999999999999</formula2>
    </dataValidation>
    <dataValidation type="list" allowBlank="1" showInputMessage="1" showErrorMessage="1" sqref="L4">
      <formula1>Method_of_Acct</formula1>
    </dataValidation>
    <dataValidation type="whole" allowBlank="1" showErrorMessage="1" error="Numeric, Non negative, no decimal, upto 99,999,999,999,999" sqref="L13">
      <formula1>0</formula1>
      <formula2>99999999999999</formula2>
    </dataValidation>
    <dataValidation type="whole" allowBlank="1" showErrorMessage="1" error="Numeric,Non negative, No decimal, upto 99,999,999,999,999" sqref="L12">
      <formula1>0</formula1>
      <formula2>99999999999999</formula2>
    </dataValidation>
    <dataValidation type="whole" allowBlank="1" showErrorMessage="1" error="no decimal,Non negative upto 99,999,999,999,999" sqref="L106">
      <formula1>0</formula1>
      <formula2>99999999999999</formula2>
    </dataValidation>
    <dataValidation type="whole" allowBlank="1" showErrorMessage="1" error=" no decimal, upto 99,999,999,999,999" sqref="L105">
      <formula1>-99999999999999</formula1>
      <formula2>99999999999999</formula2>
    </dataValidation>
    <dataValidation type="whole" allowBlank="1" showErrorMessage="1" error=" should not contain Non negative, no decimal, upto 99,999,999,999,999" sqref="J86">
      <formula1>0</formula1>
      <formula2>99999999999999</formula2>
    </dataValidation>
    <dataValidation type="list" allowBlank="1" showInputMessage="1" showErrorMessage="1" sqref="L109">
      <formula1>"(Select),Yes,No"</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23" r:id="rId5" name="Button 7">
              <controlPr defaultSize="0" print="0" autoFill="0" autoPict="0" macro="[0]!ValidateOI_Click">
                <anchor>
                  <from>
                    <xdr:col>13</xdr:col>
                    <xdr:colOff>142875</xdr:colOff>
                    <xdr:row>2</xdr:row>
                    <xdr:rowOff>171450</xdr:rowOff>
                  </from>
                  <to>
                    <xdr:col>13</xdr:col>
                    <xdr:colOff>1514475</xdr:colOff>
                    <xdr:row>4</xdr:row>
                    <xdr:rowOff>19050</xdr:rowOff>
                  </to>
                </anchor>
              </controlPr>
            </control>
          </mc:Choice>
        </mc:AlternateContent>
        <mc:AlternateContent xmlns:mc="http://schemas.openxmlformats.org/markup-compatibility/2006">
          <mc:Choice Requires="x14">
            <control shapeId="9228" r:id="rId6" name="Button 12">
              <controlPr defaultSize="0" print="0" autoFill="0" autoPict="0" macro="[0]!Prev_Sheet">
                <anchor>
                  <from>
                    <xdr:col>13</xdr:col>
                    <xdr:colOff>142875</xdr:colOff>
                    <xdr:row>5</xdr:row>
                    <xdr:rowOff>133350</xdr:rowOff>
                  </from>
                  <to>
                    <xdr:col>13</xdr:col>
                    <xdr:colOff>1514475</xdr:colOff>
                    <xdr:row>6</xdr:row>
                    <xdr:rowOff>66675</xdr:rowOff>
                  </to>
                </anchor>
              </controlPr>
            </control>
          </mc:Choice>
        </mc:AlternateContent>
        <mc:AlternateContent xmlns:mc="http://schemas.openxmlformats.org/markup-compatibility/2006">
          <mc:Choice Requires="x14">
            <control shapeId="9229" r:id="rId7" name="Button 13">
              <controlPr defaultSize="0" print="0" autoFill="0" autoPict="0" macro="[0]!Img_Home_Click">
                <anchor>
                  <from>
                    <xdr:col>13</xdr:col>
                    <xdr:colOff>142875</xdr:colOff>
                    <xdr:row>1</xdr:row>
                    <xdr:rowOff>28575</xdr:rowOff>
                  </from>
                  <to>
                    <xdr:col>13</xdr:col>
                    <xdr:colOff>1514475</xdr:colOff>
                    <xdr:row>2</xdr:row>
                    <xdr:rowOff>142875</xdr:rowOff>
                  </to>
                </anchor>
              </controlPr>
            </control>
          </mc:Choice>
        </mc:AlternateContent>
        <mc:AlternateContent xmlns:mc="http://schemas.openxmlformats.org/markup-compatibility/2006">
          <mc:Choice Requires="x14">
            <control shapeId="9231" r:id="rId8" name="Button 15">
              <controlPr defaultSize="0" print="0" autoFill="0" autoPict="0" macro="[0]!Next_Sheet">
                <anchor>
                  <from>
                    <xdr:col>13</xdr:col>
                    <xdr:colOff>142875</xdr:colOff>
                    <xdr:row>4</xdr:row>
                    <xdr:rowOff>19050</xdr:rowOff>
                  </from>
                  <to>
                    <xdr:col>13</xdr:col>
                    <xdr:colOff>1514475</xdr:colOff>
                    <xdr:row>5</xdr:row>
                    <xdr:rowOff>104775</xdr:rowOff>
                  </to>
                </anchor>
              </controlPr>
            </control>
          </mc:Choice>
        </mc:AlternateContent>
        <mc:AlternateContent xmlns:mc="http://schemas.openxmlformats.org/markup-compatibility/2006">
          <mc:Choice Requires="x14">
            <control shapeId="9232" r:id="rId9" name="Button 16">
              <controlPr defaultSize="0" print="0" autoFill="0" autoPict="0" macro="[0]!Instruction_Sheet">
                <anchor>
                  <from>
                    <xdr:col>13</xdr:col>
                    <xdr:colOff>142875</xdr:colOff>
                    <xdr:row>8</xdr:row>
                    <xdr:rowOff>95250</xdr:rowOff>
                  </from>
                  <to>
                    <xdr:col>13</xdr:col>
                    <xdr:colOff>1514475</xdr:colOff>
                    <xdr:row>9</xdr:row>
                    <xdr:rowOff>28575</xdr:rowOff>
                  </to>
                </anchor>
              </controlPr>
            </control>
          </mc:Choice>
        </mc:AlternateContent>
        <mc:AlternateContent xmlns:mc="http://schemas.openxmlformats.org/markup-compatibility/2006">
          <mc:Choice Requires="x14">
            <control shapeId="9233" r:id="rId10" name="Button 17">
              <controlPr defaultSize="0" print="0" autoFill="0" autoPict="0" macro="[0]!WorksheetsPrint">
                <anchor>
                  <from>
                    <xdr:col>13</xdr:col>
                    <xdr:colOff>142875</xdr:colOff>
                    <xdr:row>6</xdr:row>
                    <xdr:rowOff>371475</xdr:rowOff>
                  </from>
                  <to>
                    <xdr:col>13</xdr:col>
                    <xdr:colOff>1514475</xdr:colOff>
                    <xdr:row>8</xdr:row>
                    <xdr:rowOff>76200</xdr:rowOff>
                  </to>
                </anchor>
              </controlPr>
            </control>
          </mc:Choice>
        </mc:AlternateContent>
        <mc:AlternateContent xmlns:mc="http://schemas.openxmlformats.org/markup-compatibility/2006">
          <mc:Choice Requires="x14">
            <control shapeId="9234" r:id="rId11" name="Button 18">
              <controlPr defaultSize="0" print="0" autoFill="0" autoPict="0" macro="[0]!GenerateJSON.GenerateJSON">
                <anchor>
                  <from>
                    <xdr:col>13</xdr:col>
                    <xdr:colOff>142875</xdr:colOff>
                    <xdr:row>6</xdr:row>
                    <xdr:rowOff>95250</xdr:rowOff>
                  </from>
                  <to>
                    <xdr:col>13</xdr:col>
                    <xdr:colOff>1514475</xdr:colOff>
                    <xdr:row>6</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U65538"/>
  <sheetViews>
    <sheetView showGridLines="0" showRowColHeaders="0" zoomScaleNormal="100" workbookViewId="0">
      <selection activeCell="L20" sqref="L20"/>
    </sheetView>
  </sheetViews>
  <sheetFormatPr defaultColWidth="0" defaultRowHeight="12.75" zeroHeight="1" x14ac:dyDescent="0.2"/>
  <cols>
    <col min="1" max="1" width="3.140625" style="113" customWidth="1"/>
    <col min="2" max="2" width="3.140625" style="113" hidden="1" customWidth="1"/>
    <col min="3" max="3" width="3.140625" style="113" customWidth="1"/>
    <col min="4" max="4" width="13.42578125" style="113" customWidth="1"/>
    <col min="5" max="5" width="13.140625" style="113" customWidth="1"/>
    <col min="6" max="6" width="14.5703125" style="113" customWidth="1"/>
    <col min="7" max="7" width="14.7109375" style="113" customWidth="1"/>
    <col min="8" max="9" width="13.5703125" style="113" customWidth="1"/>
    <col min="10" max="10" width="21.5703125" style="113" customWidth="1"/>
    <col min="11" max="11" width="14.28515625" style="113" customWidth="1"/>
    <col min="12" max="12" width="20.42578125" style="113" customWidth="1"/>
    <col min="13" max="13" width="12.28515625" style="113" customWidth="1"/>
    <col min="14" max="14" width="4.28515625" style="113" customWidth="1"/>
    <col min="15" max="15" width="4.7109375" style="113" customWidth="1"/>
    <col min="16" max="255" width="9.140625" style="113" hidden="1" customWidth="1"/>
    <col min="256" max="16384" width="2.28515625" style="113" hidden="1"/>
  </cols>
  <sheetData>
    <row r="1" spans="3:14" ht="13.5" thickBot="1" x14ac:dyDescent="0.25"/>
    <row r="2" spans="3:14" x14ac:dyDescent="0.2">
      <c r="C2" s="1130"/>
      <c r="D2" s="1131"/>
      <c r="E2" s="1131"/>
      <c r="F2" s="1131"/>
      <c r="G2" s="1131"/>
      <c r="H2" s="1131"/>
      <c r="I2" s="1131"/>
      <c r="J2" s="1131"/>
      <c r="K2" s="1131"/>
      <c r="L2" s="1131"/>
      <c r="M2" s="1131"/>
      <c r="N2" s="1132"/>
    </row>
    <row r="3" spans="3:14" ht="26.25" customHeight="1" x14ac:dyDescent="0.2">
      <c r="C3" s="1150"/>
      <c r="D3" s="1116" t="s">
        <v>639</v>
      </c>
      <c r="E3" s="2993" t="s">
        <v>9572</v>
      </c>
      <c r="F3" s="2994"/>
      <c r="G3" s="2994"/>
      <c r="H3" s="2994"/>
      <c r="I3" s="2994"/>
      <c r="J3" s="2995"/>
      <c r="K3" s="354"/>
      <c r="L3" s="354"/>
      <c r="M3" s="354"/>
      <c r="N3" s="1122"/>
    </row>
    <row r="4" spans="3:14" x14ac:dyDescent="0.2">
      <c r="C4" s="1121"/>
      <c r="D4" s="3109" t="s">
        <v>640</v>
      </c>
      <c r="E4" s="3119"/>
      <c r="F4" s="3119"/>
      <c r="G4" s="3119"/>
      <c r="H4" s="3119"/>
      <c r="I4" s="3119"/>
      <c r="J4" s="3120"/>
      <c r="K4" s="354"/>
      <c r="L4" s="354"/>
      <c r="M4" s="354"/>
      <c r="N4" s="1136"/>
    </row>
    <row r="5" spans="3:14" ht="43.9" customHeight="1" x14ac:dyDescent="0.2">
      <c r="C5" s="1121"/>
      <c r="D5" s="1416" t="s">
        <v>641</v>
      </c>
      <c r="E5" s="31" t="s">
        <v>642</v>
      </c>
      <c r="F5" s="31" t="s">
        <v>643</v>
      </c>
      <c r="G5" s="35" t="s">
        <v>7603</v>
      </c>
      <c r="H5" s="35" t="s">
        <v>7605</v>
      </c>
      <c r="I5" s="35" t="s">
        <v>644</v>
      </c>
      <c r="J5" s="31" t="s">
        <v>645</v>
      </c>
      <c r="K5" s="354"/>
      <c r="L5" s="354"/>
      <c r="M5" s="354"/>
      <c r="N5" s="1136"/>
    </row>
    <row r="6" spans="3:14" ht="12.75" customHeight="1" x14ac:dyDescent="0.2">
      <c r="C6" s="1121"/>
      <c r="D6" s="28">
        <v>1</v>
      </c>
      <c r="E6" s="28">
        <v>2</v>
      </c>
      <c r="F6" s="28">
        <v>3</v>
      </c>
      <c r="G6" s="28">
        <v>4</v>
      </c>
      <c r="H6" s="28">
        <v>5</v>
      </c>
      <c r="I6" s="28">
        <v>6</v>
      </c>
      <c r="J6" s="28">
        <v>7</v>
      </c>
      <c r="K6" s="354"/>
      <c r="L6" s="354"/>
      <c r="M6" s="354"/>
      <c r="N6" s="1136"/>
    </row>
    <row r="7" spans="3:14" ht="13.5" customHeight="1" x14ac:dyDescent="0.2">
      <c r="C7" s="1121"/>
      <c r="D7" s="390"/>
      <c r="E7" s="1404" t="s">
        <v>12</v>
      </c>
      <c r="F7" s="391"/>
      <c r="G7" s="391"/>
      <c r="H7" s="391"/>
      <c r="I7" s="391"/>
      <c r="J7" s="391"/>
      <c r="K7" s="354"/>
      <c r="L7" s="354"/>
      <c r="M7" s="354"/>
      <c r="N7" s="1136"/>
    </row>
    <row r="8" spans="3:14" ht="13.5" customHeight="1" x14ac:dyDescent="0.2">
      <c r="C8" s="1121"/>
      <c r="D8" s="390"/>
      <c r="E8" s="1404" t="s">
        <v>12</v>
      </c>
      <c r="F8" s="391"/>
      <c r="G8" s="391"/>
      <c r="H8" s="391"/>
      <c r="I8" s="391"/>
      <c r="J8" s="391"/>
      <c r="K8" s="354"/>
      <c r="L8" s="354"/>
      <c r="M8" s="354"/>
      <c r="N8" s="1136"/>
    </row>
    <row r="9" spans="3:14" ht="13.5" customHeight="1" x14ac:dyDescent="0.2">
      <c r="C9" s="1121"/>
      <c r="D9" s="390"/>
      <c r="E9" s="1404" t="s">
        <v>12</v>
      </c>
      <c r="F9" s="391"/>
      <c r="G9" s="391"/>
      <c r="H9" s="391"/>
      <c r="I9" s="391"/>
      <c r="J9" s="391"/>
      <c r="K9" s="354"/>
      <c r="L9" s="354"/>
      <c r="M9" s="354"/>
      <c r="N9" s="1136"/>
    </row>
    <row r="10" spans="3:14" ht="13.5" customHeight="1" x14ac:dyDescent="0.2">
      <c r="C10" s="1121"/>
      <c r="D10" s="390"/>
      <c r="E10" s="1404" t="s">
        <v>12</v>
      </c>
      <c r="F10" s="391"/>
      <c r="G10" s="391"/>
      <c r="H10" s="391"/>
      <c r="I10" s="391"/>
      <c r="J10" s="391"/>
      <c r="K10" s="354"/>
      <c r="L10" s="354"/>
      <c r="M10" s="354"/>
      <c r="N10" s="1136"/>
    </row>
    <row r="11" spans="3:14" ht="13.5" customHeight="1" x14ac:dyDescent="0.2">
      <c r="C11" s="1121"/>
      <c r="D11" s="390"/>
      <c r="E11" s="1404" t="s">
        <v>12</v>
      </c>
      <c r="F11" s="391"/>
      <c r="G11" s="391"/>
      <c r="H11" s="391"/>
      <c r="I11" s="391"/>
      <c r="J11" s="391"/>
      <c r="K11" s="354"/>
      <c r="L11" s="354"/>
      <c r="M11" s="354"/>
      <c r="N11" s="1136"/>
    </row>
    <row r="12" spans="3:14" ht="13.5" customHeight="1" x14ac:dyDescent="0.2">
      <c r="C12" s="1121"/>
      <c r="D12" s="390"/>
      <c r="E12" s="1404" t="s">
        <v>12</v>
      </c>
      <c r="F12" s="391"/>
      <c r="G12" s="391"/>
      <c r="H12" s="391"/>
      <c r="I12" s="391"/>
      <c r="J12" s="391"/>
      <c r="K12" s="354"/>
      <c r="L12" s="354"/>
      <c r="M12" s="354"/>
      <c r="N12" s="1136"/>
    </row>
    <row r="13" spans="3:14" ht="13.5" customHeight="1" x14ac:dyDescent="0.2">
      <c r="C13" s="1121"/>
      <c r="D13" s="390"/>
      <c r="E13" s="1404" t="s">
        <v>12</v>
      </c>
      <c r="F13" s="391"/>
      <c r="G13" s="391"/>
      <c r="H13" s="391"/>
      <c r="I13" s="391"/>
      <c r="J13" s="391"/>
      <c r="K13" s="354"/>
      <c r="L13" s="354"/>
      <c r="M13" s="354"/>
      <c r="N13" s="1136"/>
    </row>
    <row r="14" spans="3:14" ht="13.5" customHeight="1" x14ac:dyDescent="0.2">
      <c r="C14" s="1121"/>
      <c r="D14" s="390"/>
      <c r="E14" s="1404" t="s">
        <v>12</v>
      </c>
      <c r="F14" s="391"/>
      <c r="G14" s="391"/>
      <c r="H14" s="391"/>
      <c r="I14" s="391"/>
      <c r="J14" s="391"/>
      <c r="K14" s="354"/>
      <c r="L14" s="354"/>
      <c r="M14" s="354"/>
      <c r="N14" s="1136"/>
    </row>
    <row r="15" spans="3:14" ht="13.5" customHeight="1" x14ac:dyDescent="0.2">
      <c r="C15" s="1121"/>
      <c r="D15" s="390"/>
      <c r="E15" s="1404" t="s">
        <v>12</v>
      </c>
      <c r="F15" s="391"/>
      <c r="G15" s="391"/>
      <c r="H15" s="391"/>
      <c r="I15" s="391"/>
      <c r="J15" s="391"/>
      <c r="K15" s="354"/>
      <c r="L15" s="354"/>
      <c r="M15" s="354"/>
      <c r="N15" s="1136"/>
    </row>
    <row r="16" spans="3:14" ht="13.5" customHeight="1" x14ac:dyDescent="0.2">
      <c r="C16" s="1121"/>
      <c r="D16" s="390"/>
      <c r="E16" s="1404" t="s">
        <v>12</v>
      </c>
      <c r="F16" s="391"/>
      <c r="G16" s="391"/>
      <c r="H16" s="391"/>
      <c r="I16" s="391"/>
      <c r="J16" s="391"/>
      <c r="K16" s="354"/>
      <c r="L16" s="354"/>
      <c r="M16" s="354"/>
      <c r="N16" s="1136"/>
    </row>
    <row r="17" spans="3:14" ht="13.5" customHeight="1" x14ac:dyDescent="0.2">
      <c r="C17" s="1121"/>
      <c r="D17" s="390"/>
      <c r="E17" s="1404" t="s">
        <v>12</v>
      </c>
      <c r="F17" s="391"/>
      <c r="G17" s="391"/>
      <c r="H17" s="391"/>
      <c r="I17" s="391"/>
      <c r="J17" s="391"/>
      <c r="K17" s="354"/>
      <c r="L17" s="354"/>
      <c r="M17" s="354"/>
      <c r="N17" s="1136"/>
    </row>
    <row r="18" spans="3:14" ht="13.5" customHeight="1" x14ac:dyDescent="0.2">
      <c r="C18" s="1121"/>
      <c r="D18" s="390"/>
      <c r="E18" s="1404" t="s">
        <v>12</v>
      </c>
      <c r="F18" s="391"/>
      <c r="G18" s="391"/>
      <c r="H18" s="391"/>
      <c r="I18" s="391"/>
      <c r="J18" s="391"/>
      <c r="K18" s="354"/>
      <c r="L18" s="354"/>
      <c r="M18" s="354"/>
      <c r="N18" s="1136"/>
    </row>
    <row r="19" spans="3:14" ht="13.5" customHeight="1" x14ac:dyDescent="0.2">
      <c r="C19" s="1121"/>
      <c r="D19" s="390"/>
      <c r="E19" s="1404" t="s">
        <v>12</v>
      </c>
      <c r="F19" s="391"/>
      <c r="G19" s="391"/>
      <c r="H19" s="391"/>
      <c r="I19" s="391"/>
      <c r="J19" s="391"/>
      <c r="K19" s="354"/>
      <c r="L19" s="354"/>
      <c r="M19" s="354"/>
      <c r="N19" s="1136"/>
    </row>
    <row r="20" spans="3:14" ht="13.5" customHeight="1" x14ac:dyDescent="0.2">
      <c r="C20" s="1121"/>
      <c r="D20" s="390"/>
      <c r="E20" s="1404" t="s">
        <v>12</v>
      </c>
      <c r="F20" s="391"/>
      <c r="G20" s="391"/>
      <c r="H20" s="391"/>
      <c r="I20" s="391"/>
      <c r="J20" s="391"/>
      <c r="K20" s="354"/>
      <c r="L20" s="354"/>
      <c r="M20" s="354"/>
      <c r="N20" s="1136"/>
    </row>
    <row r="21" spans="3:14" ht="13.5" customHeight="1" x14ac:dyDescent="0.2">
      <c r="C21" s="1121"/>
      <c r="D21" s="390"/>
      <c r="E21" s="1404" t="s">
        <v>12</v>
      </c>
      <c r="F21" s="391"/>
      <c r="G21" s="391"/>
      <c r="H21" s="391"/>
      <c r="I21" s="391"/>
      <c r="J21" s="391"/>
      <c r="K21" s="354"/>
      <c r="L21" s="354"/>
      <c r="M21" s="354"/>
      <c r="N21" s="1136"/>
    </row>
    <row r="22" spans="3:14" ht="13.5" customHeight="1" x14ac:dyDescent="0.2">
      <c r="C22" s="1121"/>
      <c r="D22" s="390"/>
      <c r="E22" s="1404" t="s">
        <v>12</v>
      </c>
      <c r="F22" s="391"/>
      <c r="G22" s="391"/>
      <c r="H22" s="391"/>
      <c r="I22" s="391"/>
      <c r="J22" s="391"/>
      <c r="K22" s="354"/>
      <c r="L22" s="354"/>
      <c r="M22" s="354"/>
      <c r="N22" s="1136"/>
    </row>
    <row r="23" spans="3:14" ht="13.5" customHeight="1" x14ac:dyDescent="0.2">
      <c r="C23" s="1121"/>
      <c r="D23" s="390"/>
      <c r="E23" s="1404" t="s">
        <v>12</v>
      </c>
      <c r="F23" s="391"/>
      <c r="G23" s="391"/>
      <c r="H23" s="391"/>
      <c r="I23" s="391"/>
      <c r="J23" s="391"/>
      <c r="K23" s="354"/>
      <c r="L23" s="354"/>
      <c r="M23" s="354"/>
      <c r="N23" s="1136"/>
    </row>
    <row r="24" spans="3:14" ht="13.5" customHeight="1" x14ac:dyDescent="0.2">
      <c r="C24" s="1121"/>
      <c r="D24" s="390"/>
      <c r="E24" s="1404" t="s">
        <v>12</v>
      </c>
      <c r="F24" s="391"/>
      <c r="G24" s="391"/>
      <c r="H24" s="391"/>
      <c r="I24" s="391"/>
      <c r="J24" s="391"/>
      <c r="K24" s="354"/>
      <c r="L24" s="354"/>
      <c r="M24" s="354"/>
      <c r="N24" s="1136"/>
    </row>
    <row r="25" spans="3:14" ht="13.5" customHeight="1" x14ac:dyDescent="0.2">
      <c r="C25" s="1121"/>
      <c r="D25" s="390"/>
      <c r="E25" s="1404" t="s">
        <v>12</v>
      </c>
      <c r="F25" s="391"/>
      <c r="G25" s="391"/>
      <c r="H25" s="391"/>
      <c r="I25" s="391"/>
      <c r="J25" s="391"/>
      <c r="K25" s="354"/>
      <c r="L25" s="354"/>
      <c r="M25" s="354"/>
      <c r="N25" s="1136"/>
    </row>
    <row r="26" spans="3:14" x14ac:dyDescent="0.2">
      <c r="C26" s="1121"/>
      <c r="D26" s="354"/>
      <c r="E26" s="1417"/>
      <c r="F26" s="354"/>
      <c r="G26" s="354"/>
      <c r="H26" s="354"/>
      <c r="I26" s="354"/>
      <c r="J26" s="354"/>
      <c r="K26" s="354"/>
      <c r="L26" s="354"/>
      <c r="M26" s="354"/>
      <c r="N26" s="1136"/>
    </row>
    <row r="27" spans="3:14" x14ac:dyDescent="0.2">
      <c r="C27" s="1121"/>
      <c r="D27" s="354"/>
      <c r="E27" s="354"/>
      <c r="F27" s="354"/>
      <c r="G27" s="354"/>
      <c r="H27" s="354"/>
      <c r="I27" s="354"/>
      <c r="J27" s="354"/>
      <c r="K27" s="354"/>
      <c r="L27" s="354"/>
      <c r="M27" s="354"/>
      <c r="N27" s="1136"/>
    </row>
    <row r="28" spans="3:14" x14ac:dyDescent="0.2">
      <c r="C28" s="1121"/>
      <c r="D28" s="354"/>
      <c r="E28" s="354"/>
      <c r="F28" s="354"/>
      <c r="G28" s="354"/>
      <c r="H28" s="354"/>
      <c r="I28" s="354"/>
      <c r="J28" s="354"/>
      <c r="K28" s="354"/>
      <c r="L28" s="354"/>
      <c r="M28" s="354"/>
      <c r="N28" s="1136"/>
    </row>
    <row r="29" spans="3:14" ht="16.5" customHeight="1" x14ac:dyDescent="0.2">
      <c r="C29" s="1121"/>
      <c r="D29" s="3109" t="s">
        <v>646</v>
      </c>
      <c r="E29" s="3119"/>
      <c r="F29" s="3119"/>
      <c r="G29" s="3119"/>
      <c r="H29" s="3119"/>
      <c r="I29" s="3119"/>
      <c r="J29" s="3119"/>
      <c r="K29" s="3119"/>
      <c r="L29" s="3119"/>
      <c r="M29" s="3120"/>
      <c r="N29" s="1122"/>
    </row>
    <row r="30" spans="3:14" ht="41.25" customHeight="1" x14ac:dyDescent="0.2">
      <c r="C30" s="1121"/>
      <c r="D30" s="1407" t="s">
        <v>641</v>
      </c>
      <c r="E30" s="31" t="s">
        <v>647</v>
      </c>
      <c r="F30" s="31" t="s">
        <v>643</v>
      </c>
      <c r="G30" s="31" t="s">
        <v>7603</v>
      </c>
      <c r="H30" s="31" t="s">
        <v>7604</v>
      </c>
      <c r="I30" s="31" t="s">
        <v>7605</v>
      </c>
      <c r="J30" s="31" t="s">
        <v>644</v>
      </c>
      <c r="K30" s="28" t="s">
        <v>648</v>
      </c>
      <c r="L30" s="28" t="s">
        <v>7969</v>
      </c>
      <c r="M30" s="31" t="s">
        <v>645</v>
      </c>
      <c r="N30" s="1136"/>
    </row>
    <row r="31" spans="3:14" ht="13.5" customHeight="1" x14ac:dyDescent="0.2">
      <c r="C31" s="1121"/>
      <c r="D31" s="28">
        <v>1</v>
      </c>
      <c r="E31" s="28">
        <v>2</v>
      </c>
      <c r="F31" s="28">
        <v>3</v>
      </c>
      <c r="G31" s="28">
        <v>4</v>
      </c>
      <c r="H31" s="28">
        <v>5</v>
      </c>
      <c r="I31" s="28">
        <v>6</v>
      </c>
      <c r="J31" s="28">
        <v>7</v>
      </c>
      <c r="K31" s="28">
        <v>8</v>
      </c>
      <c r="L31" s="28">
        <v>9</v>
      </c>
      <c r="M31" s="28">
        <v>10</v>
      </c>
      <c r="N31" s="1136"/>
    </row>
    <row r="32" spans="3:14" ht="13.5" customHeight="1" x14ac:dyDescent="0.2">
      <c r="C32" s="1121"/>
      <c r="D32" s="390"/>
      <c r="E32" s="1404" t="s">
        <v>12</v>
      </c>
      <c r="F32" s="391"/>
      <c r="G32" s="391"/>
      <c r="H32" s="391"/>
      <c r="I32" s="391"/>
      <c r="J32" s="391"/>
      <c r="K32" s="391"/>
      <c r="L32" s="1418"/>
      <c r="M32" s="391"/>
      <c r="N32" s="1136"/>
    </row>
    <row r="33" spans="3:14" ht="13.5" customHeight="1" x14ac:dyDescent="0.2">
      <c r="C33" s="1121"/>
      <c r="D33" s="390"/>
      <c r="E33" s="1404" t="s">
        <v>12</v>
      </c>
      <c r="F33" s="391"/>
      <c r="G33" s="391"/>
      <c r="H33" s="391"/>
      <c r="I33" s="391"/>
      <c r="J33" s="391"/>
      <c r="K33" s="391"/>
      <c r="L33" s="1418"/>
      <c r="M33" s="391"/>
      <c r="N33" s="1136"/>
    </row>
    <row r="34" spans="3:14" ht="13.5" customHeight="1" x14ac:dyDescent="0.2">
      <c r="C34" s="1121"/>
      <c r="D34" s="390"/>
      <c r="E34" s="1404" t="s">
        <v>12</v>
      </c>
      <c r="F34" s="391"/>
      <c r="G34" s="391"/>
      <c r="H34" s="391"/>
      <c r="I34" s="391"/>
      <c r="J34" s="391"/>
      <c r="K34" s="391"/>
      <c r="L34" s="1418"/>
      <c r="M34" s="391"/>
      <c r="N34" s="1136"/>
    </row>
    <row r="35" spans="3:14" ht="13.5" customHeight="1" x14ac:dyDescent="0.2">
      <c r="C35" s="1121"/>
      <c r="D35" s="390"/>
      <c r="E35" s="1404" t="s">
        <v>12</v>
      </c>
      <c r="F35" s="391"/>
      <c r="G35" s="391"/>
      <c r="H35" s="391"/>
      <c r="I35" s="391"/>
      <c r="J35" s="391"/>
      <c r="K35" s="391"/>
      <c r="L35" s="1418"/>
      <c r="M35" s="391"/>
      <c r="N35" s="1136"/>
    </row>
    <row r="36" spans="3:14" ht="13.5" customHeight="1" x14ac:dyDescent="0.2">
      <c r="C36" s="1121"/>
      <c r="D36" s="390"/>
      <c r="E36" s="1404" t="s">
        <v>12</v>
      </c>
      <c r="F36" s="391"/>
      <c r="G36" s="391"/>
      <c r="H36" s="391"/>
      <c r="I36" s="391"/>
      <c r="J36" s="391"/>
      <c r="K36" s="391"/>
      <c r="L36" s="1418"/>
      <c r="M36" s="391"/>
      <c r="N36" s="1136"/>
    </row>
    <row r="37" spans="3:14" ht="13.5" customHeight="1" x14ac:dyDescent="0.2">
      <c r="C37" s="1121"/>
      <c r="D37" s="390"/>
      <c r="E37" s="1404" t="s">
        <v>12</v>
      </c>
      <c r="F37" s="391"/>
      <c r="G37" s="391"/>
      <c r="H37" s="391"/>
      <c r="I37" s="391"/>
      <c r="J37" s="391"/>
      <c r="K37" s="391"/>
      <c r="L37" s="1418"/>
      <c r="M37" s="391"/>
      <c r="N37" s="1136"/>
    </row>
    <row r="38" spans="3:14" ht="13.5" customHeight="1" x14ac:dyDescent="0.2">
      <c r="C38" s="1121"/>
      <c r="D38" s="390"/>
      <c r="E38" s="1404" t="s">
        <v>12</v>
      </c>
      <c r="F38" s="391"/>
      <c r="G38" s="391"/>
      <c r="H38" s="391"/>
      <c r="I38" s="391"/>
      <c r="J38" s="391"/>
      <c r="K38" s="391"/>
      <c r="L38" s="1418"/>
      <c r="M38" s="391"/>
      <c r="N38" s="1136"/>
    </row>
    <row r="39" spans="3:14" ht="13.5" customHeight="1" x14ac:dyDescent="0.2">
      <c r="C39" s="1121"/>
      <c r="D39" s="390"/>
      <c r="E39" s="1404" t="s">
        <v>12</v>
      </c>
      <c r="F39" s="391"/>
      <c r="G39" s="391"/>
      <c r="H39" s="391"/>
      <c r="I39" s="391"/>
      <c r="J39" s="391"/>
      <c r="K39" s="391"/>
      <c r="L39" s="1418"/>
      <c r="M39" s="391"/>
      <c r="N39" s="1136"/>
    </row>
    <row r="40" spans="3:14" ht="13.5" customHeight="1" x14ac:dyDescent="0.2">
      <c r="C40" s="1121"/>
      <c r="D40" s="390"/>
      <c r="E40" s="1404" t="s">
        <v>12</v>
      </c>
      <c r="F40" s="391"/>
      <c r="G40" s="391"/>
      <c r="H40" s="391"/>
      <c r="I40" s="391"/>
      <c r="J40" s="391"/>
      <c r="K40" s="391"/>
      <c r="L40" s="1418"/>
      <c r="M40" s="391"/>
      <c r="N40" s="1136"/>
    </row>
    <row r="41" spans="3:14" ht="13.5" customHeight="1" x14ac:dyDescent="0.2">
      <c r="C41" s="1121"/>
      <c r="D41" s="390"/>
      <c r="E41" s="1404" t="s">
        <v>12</v>
      </c>
      <c r="F41" s="391"/>
      <c r="G41" s="391"/>
      <c r="H41" s="391"/>
      <c r="I41" s="391"/>
      <c r="J41" s="391"/>
      <c r="K41" s="391"/>
      <c r="L41" s="1418"/>
      <c r="M41" s="391"/>
      <c r="N41" s="1136"/>
    </row>
    <row r="42" spans="3:14" ht="13.5" customHeight="1" x14ac:dyDescent="0.2">
      <c r="C42" s="1121"/>
      <c r="D42" s="390"/>
      <c r="E42" s="1404" t="s">
        <v>12</v>
      </c>
      <c r="F42" s="391"/>
      <c r="G42" s="391"/>
      <c r="H42" s="391"/>
      <c r="I42" s="391"/>
      <c r="J42" s="391"/>
      <c r="K42" s="391"/>
      <c r="L42" s="1418"/>
      <c r="M42" s="391"/>
      <c r="N42" s="1136"/>
    </row>
    <row r="43" spans="3:14" ht="13.5" customHeight="1" x14ac:dyDescent="0.2">
      <c r="C43" s="1121"/>
      <c r="D43" s="390"/>
      <c r="E43" s="1404" t="s">
        <v>12</v>
      </c>
      <c r="F43" s="391"/>
      <c r="G43" s="391"/>
      <c r="H43" s="391"/>
      <c r="I43" s="391"/>
      <c r="J43" s="391"/>
      <c r="K43" s="391"/>
      <c r="L43" s="1418"/>
      <c r="M43" s="391"/>
      <c r="N43" s="1136"/>
    </row>
    <row r="44" spans="3:14" ht="13.5" customHeight="1" x14ac:dyDescent="0.2">
      <c r="C44" s="1121"/>
      <c r="D44" s="390"/>
      <c r="E44" s="1404" t="s">
        <v>12</v>
      </c>
      <c r="F44" s="391"/>
      <c r="G44" s="391"/>
      <c r="H44" s="391"/>
      <c r="I44" s="391"/>
      <c r="J44" s="391"/>
      <c r="K44" s="391"/>
      <c r="L44" s="1418"/>
      <c r="M44" s="391"/>
      <c r="N44" s="1136"/>
    </row>
    <row r="45" spans="3:14" ht="13.5" customHeight="1" x14ac:dyDescent="0.2">
      <c r="C45" s="1121"/>
      <c r="D45" s="390"/>
      <c r="E45" s="1404" t="s">
        <v>12</v>
      </c>
      <c r="F45" s="391"/>
      <c r="G45" s="391"/>
      <c r="H45" s="391"/>
      <c r="I45" s="391"/>
      <c r="J45" s="391"/>
      <c r="K45" s="391"/>
      <c r="L45" s="1418"/>
      <c r="M45" s="391"/>
      <c r="N45" s="1136"/>
    </row>
    <row r="46" spans="3:14" ht="13.5" customHeight="1" x14ac:dyDescent="0.2">
      <c r="C46" s="1121"/>
      <c r="D46" s="390"/>
      <c r="E46" s="1404" t="s">
        <v>12</v>
      </c>
      <c r="F46" s="391"/>
      <c r="G46" s="391"/>
      <c r="H46" s="391"/>
      <c r="I46" s="391"/>
      <c r="J46" s="391"/>
      <c r="K46" s="391"/>
      <c r="L46" s="1418"/>
      <c r="M46" s="391"/>
      <c r="N46" s="1136"/>
    </row>
    <row r="47" spans="3:14" ht="13.5" customHeight="1" x14ac:dyDescent="0.2">
      <c r="C47" s="1121"/>
      <c r="D47" s="390"/>
      <c r="E47" s="1404" t="s">
        <v>12</v>
      </c>
      <c r="F47" s="391"/>
      <c r="G47" s="391"/>
      <c r="H47" s="391"/>
      <c r="I47" s="391"/>
      <c r="J47" s="391"/>
      <c r="K47" s="391"/>
      <c r="L47" s="1418"/>
      <c r="M47" s="391"/>
      <c r="N47" s="1136"/>
    </row>
    <row r="48" spans="3:14" ht="13.5" customHeight="1" x14ac:dyDescent="0.2">
      <c r="C48" s="1121"/>
      <c r="D48" s="390"/>
      <c r="E48" s="1404" t="s">
        <v>12</v>
      </c>
      <c r="F48" s="391"/>
      <c r="G48" s="391"/>
      <c r="H48" s="391"/>
      <c r="I48" s="391"/>
      <c r="J48" s="391"/>
      <c r="K48" s="391"/>
      <c r="L48" s="1418"/>
      <c r="M48" s="391"/>
      <c r="N48" s="1136"/>
    </row>
    <row r="49" spans="3:14" ht="13.5" customHeight="1" x14ac:dyDescent="0.2">
      <c r="C49" s="1121"/>
      <c r="D49" s="390"/>
      <c r="E49" s="1404" t="s">
        <v>12</v>
      </c>
      <c r="F49" s="391"/>
      <c r="G49" s="391"/>
      <c r="H49" s="391"/>
      <c r="I49" s="391"/>
      <c r="J49" s="391"/>
      <c r="K49" s="391"/>
      <c r="L49" s="1418"/>
      <c r="M49" s="391"/>
      <c r="N49" s="1136"/>
    </row>
    <row r="50" spans="3:14" ht="13.5" customHeight="1" x14ac:dyDescent="0.2">
      <c r="C50" s="1121"/>
      <c r="D50" s="390"/>
      <c r="E50" s="1404" t="s">
        <v>12</v>
      </c>
      <c r="F50" s="391"/>
      <c r="G50" s="391"/>
      <c r="H50" s="391"/>
      <c r="I50" s="391"/>
      <c r="J50" s="391"/>
      <c r="K50" s="391"/>
      <c r="L50" s="1418"/>
      <c r="M50" s="391"/>
      <c r="N50" s="1136"/>
    </row>
    <row r="51" spans="3:14" ht="13.5" customHeight="1" x14ac:dyDescent="0.2">
      <c r="C51" s="1121"/>
      <c r="D51" s="390"/>
      <c r="E51" s="1404" t="s">
        <v>12</v>
      </c>
      <c r="F51" s="391"/>
      <c r="G51" s="391"/>
      <c r="H51" s="391"/>
      <c r="I51" s="391"/>
      <c r="J51" s="391"/>
      <c r="K51" s="391"/>
      <c r="L51" s="1418"/>
      <c r="M51" s="391"/>
      <c r="N51" s="1136"/>
    </row>
    <row r="52" spans="3:14" x14ac:dyDescent="0.2">
      <c r="C52" s="1121"/>
      <c r="D52" s="354"/>
      <c r="E52" s="354"/>
      <c r="F52" s="354"/>
      <c r="G52" s="354"/>
      <c r="H52" s="354"/>
      <c r="I52" s="354"/>
      <c r="J52" s="354"/>
      <c r="K52" s="354"/>
      <c r="L52" s="354"/>
      <c r="M52" s="354"/>
      <c r="N52" s="1136"/>
    </row>
    <row r="53" spans="3:14" x14ac:dyDescent="0.2">
      <c r="C53" s="1121"/>
      <c r="D53" s="354"/>
      <c r="E53" s="354"/>
      <c r="F53" s="354"/>
      <c r="G53" s="354"/>
      <c r="H53" s="354"/>
      <c r="I53" s="354"/>
      <c r="J53" s="354"/>
      <c r="K53" s="354"/>
      <c r="L53" s="354"/>
      <c r="M53" s="354"/>
      <c r="N53" s="1136"/>
    </row>
    <row r="54" spans="3:14" x14ac:dyDescent="0.2">
      <c r="C54" s="1121"/>
      <c r="D54" s="354"/>
      <c r="E54" s="354"/>
      <c r="F54" s="354"/>
      <c r="G54" s="354"/>
      <c r="H54" s="354"/>
      <c r="I54" s="354"/>
      <c r="J54" s="354"/>
      <c r="K54" s="354"/>
      <c r="L54" s="354"/>
      <c r="M54" s="354"/>
      <c r="N54" s="1136"/>
    </row>
    <row r="55" spans="3:14" ht="12.75" customHeight="1" x14ac:dyDescent="0.2">
      <c r="C55" s="1121"/>
      <c r="D55" s="3109" t="s">
        <v>7606</v>
      </c>
      <c r="E55" s="3119"/>
      <c r="F55" s="3119"/>
      <c r="G55" s="3119"/>
      <c r="H55" s="3119"/>
      <c r="I55" s="3119"/>
      <c r="J55" s="3119"/>
      <c r="K55" s="3120"/>
      <c r="L55" s="354"/>
      <c r="M55" s="354"/>
      <c r="N55" s="1136"/>
    </row>
    <row r="56" spans="3:14" ht="53.25" customHeight="1" x14ac:dyDescent="0.2">
      <c r="C56" s="1121"/>
      <c r="D56" s="1416" t="s">
        <v>641</v>
      </c>
      <c r="E56" s="1343" t="s">
        <v>642</v>
      </c>
      <c r="F56" s="31" t="s">
        <v>643</v>
      </c>
      <c r="G56" s="35" t="s">
        <v>7603</v>
      </c>
      <c r="H56" s="1342" t="s">
        <v>7970</v>
      </c>
      <c r="I56" s="35" t="s">
        <v>7605</v>
      </c>
      <c r="J56" s="35" t="s">
        <v>644</v>
      </c>
      <c r="K56" s="31" t="s">
        <v>645</v>
      </c>
      <c r="L56" s="354"/>
      <c r="M56" s="354"/>
      <c r="N56" s="1136"/>
    </row>
    <row r="57" spans="3:14" ht="12.75" customHeight="1" x14ac:dyDescent="0.2">
      <c r="C57" s="1121"/>
      <c r="D57" s="28">
        <v>1</v>
      </c>
      <c r="E57" s="28">
        <v>2</v>
      </c>
      <c r="F57" s="28">
        <v>3</v>
      </c>
      <c r="G57" s="28">
        <v>4</v>
      </c>
      <c r="H57" s="28">
        <v>5</v>
      </c>
      <c r="I57" s="28">
        <v>6</v>
      </c>
      <c r="J57" s="28">
        <v>7</v>
      </c>
      <c r="K57" s="28">
        <v>8</v>
      </c>
      <c r="L57" s="354"/>
      <c r="M57" s="354"/>
      <c r="N57" s="1136"/>
    </row>
    <row r="58" spans="3:14" ht="13.5" customHeight="1" x14ac:dyDescent="0.2">
      <c r="C58" s="1121"/>
      <c r="D58" s="390"/>
      <c r="E58" s="1404" t="s">
        <v>12</v>
      </c>
      <c r="F58" s="391"/>
      <c r="G58" s="391"/>
      <c r="H58" s="391"/>
      <c r="I58" s="391"/>
      <c r="J58" s="391"/>
      <c r="K58" s="391"/>
      <c r="L58" s="354"/>
      <c r="M58" s="354"/>
      <c r="N58" s="1136"/>
    </row>
    <row r="59" spans="3:14" ht="13.5" customHeight="1" x14ac:dyDescent="0.2">
      <c r="C59" s="1121"/>
      <c r="D59" s="390"/>
      <c r="E59" s="1404" t="s">
        <v>12</v>
      </c>
      <c r="F59" s="391"/>
      <c r="G59" s="391"/>
      <c r="H59" s="391"/>
      <c r="I59" s="391"/>
      <c r="J59" s="391"/>
      <c r="K59" s="391"/>
      <c r="L59" s="354"/>
      <c r="M59" s="354"/>
      <c r="N59" s="1136"/>
    </row>
    <row r="60" spans="3:14" ht="13.5" customHeight="1" x14ac:dyDescent="0.2">
      <c r="C60" s="1121"/>
      <c r="D60" s="390"/>
      <c r="E60" s="1404" t="s">
        <v>12</v>
      </c>
      <c r="F60" s="391"/>
      <c r="G60" s="391"/>
      <c r="H60" s="391"/>
      <c r="I60" s="391"/>
      <c r="J60" s="391"/>
      <c r="K60" s="391"/>
      <c r="L60" s="354"/>
      <c r="M60" s="354"/>
      <c r="N60" s="1136"/>
    </row>
    <row r="61" spans="3:14" ht="13.5" customHeight="1" x14ac:dyDescent="0.2">
      <c r="C61" s="1121"/>
      <c r="D61" s="390"/>
      <c r="E61" s="1404" t="s">
        <v>12</v>
      </c>
      <c r="F61" s="391"/>
      <c r="G61" s="391"/>
      <c r="H61" s="391"/>
      <c r="I61" s="391"/>
      <c r="J61" s="391"/>
      <c r="K61" s="391"/>
      <c r="L61" s="354"/>
      <c r="M61" s="354"/>
      <c r="N61" s="1136"/>
    </row>
    <row r="62" spans="3:14" ht="13.5" customHeight="1" x14ac:dyDescent="0.2">
      <c r="C62" s="1121"/>
      <c r="D62" s="390"/>
      <c r="E62" s="1404" t="s">
        <v>12</v>
      </c>
      <c r="F62" s="391"/>
      <c r="G62" s="391"/>
      <c r="H62" s="391"/>
      <c r="I62" s="391"/>
      <c r="J62" s="391"/>
      <c r="K62" s="391"/>
      <c r="L62" s="354"/>
      <c r="M62" s="354"/>
      <c r="N62" s="1136"/>
    </row>
    <row r="63" spans="3:14" ht="13.5" customHeight="1" x14ac:dyDescent="0.2">
      <c r="C63" s="1121"/>
      <c r="D63" s="390"/>
      <c r="E63" s="1404" t="s">
        <v>12</v>
      </c>
      <c r="F63" s="391"/>
      <c r="G63" s="391"/>
      <c r="H63" s="391"/>
      <c r="I63" s="391"/>
      <c r="J63" s="391"/>
      <c r="K63" s="391"/>
      <c r="L63" s="354"/>
      <c r="M63" s="354"/>
      <c r="N63" s="1136"/>
    </row>
    <row r="64" spans="3:14" ht="13.5" customHeight="1" x14ac:dyDescent="0.2">
      <c r="C64" s="1121"/>
      <c r="D64" s="390"/>
      <c r="E64" s="1404" t="s">
        <v>12</v>
      </c>
      <c r="F64" s="391"/>
      <c r="G64" s="391"/>
      <c r="H64" s="391"/>
      <c r="I64" s="391"/>
      <c r="J64" s="391"/>
      <c r="K64" s="391"/>
      <c r="L64" s="354"/>
      <c r="M64" s="354"/>
      <c r="N64" s="1136"/>
    </row>
    <row r="65" spans="3:14" ht="13.5" customHeight="1" x14ac:dyDescent="0.2">
      <c r="C65" s="1121"/>
      <c r="D65" s="390"/>
      <c r="E65" s="1404" t="s">
        <v>12</v>
      </c>
      <c r="F65" s="391"/>
      <c r="G65" s="391"/>
      <c r="H65" s="391"/>
      <c r="I65" s="391"/>
      <c r="J65" s="391"/>
      <c r="K65" s="391"/>
      <c r="L65" s="354"/>
      <c r="M65" s="354"/>
      <c r="N65" s="1136"/>
    </row>
    <row r="66" spans="3:14" ht="13.5" customHeight="1" x14ac:dyDescent="0.2">
      <c r="C66" s="1121"/>
      <c r="D66" s="390"/>
      <c r="E66" s="1404" t="s">
        <v>12</v>
      </c>
      <c r="F66" s="391"/>
      <c r="G66" s="391"/>
      <c r="H66" s="391"/>
      <c r="I66" s="391"/>
      <c r="J66" s="391"/>
      <c r="K66" s="391"/>
      <c r="L66" s="354"/>
      <c r="M66" s="354"/>
      <c r="N66" s="1136"/>
    </row>
    <row r="67" spans="3:14" ht="13.5" customHeight="1" x14ac:dyDescent="0.2">
      <c r="C67" s="1121"/>
      <c r="D67" s="390"/>
      <c r="E67" s="1404" t="s">
        <v>12</v>
      </c>
      <c r="F67" s="391"/>
      <c r="G67" s="391"/>
      <c r="H67" s="391"/>
      <c r="I67" s="391"/>
      <c r="J67" s="391"/>
      <c r="K67" s="391"/>
      <c r="L67" s="354"/>
      <c r="M67" s="354"/>
      <c r="N67" s="1136"/>
    </row>
    <row r="68" spans="3:14" ht="13.5" customHeight="1" x14ac:dyDescent="0.2">
      <c r="C68" s="1121"/>
      <c r="D68" s="390"/>
      <c r="E68" s="1404" t="s">
        <v>12</v>
      </c>
      <c r="F68" s="391"/>
      <c r="G68" s="391"/>
      <c r="H68" s="391"/>
      <c r="I68" s="391"/>
      <c r="J68" s="391"/>
      <c r="K68" s="391"/>
      <c r="L68" s="354"/>
      <c r="M68" s="354"/>
      <c r="N68" s="1136"/>
    </row>
    <row r="69" spans="3:14" ht="13.5" customHeight="1" x14ac:dyDescent="0.2">
      <c r="C69" s="1121"/>
      <c r="D69" s="390"/>
      <c r="E69" s="1404" t="s">
        <v>12</v>
      </c>
      <c r="F69" s="391"/>
      <c r="G69" s="391"/>
      <c r="H69" s="391"/>
      <c r="I69" s="391"/>
      <c r="J69" s="391"/>
      <c r="K69" s="391"/>
      <c r="L69" s="354"/>
      <c r="M69" s="354"/>
      <c r="N69" s="1136"/>
    </row>
    <row r="70" spans="3:14" ht="13.5" customHeight="1" x14ac:dyDescent="0.2">
      <c r="C70" s="1121"/>
      <c r="D70" s="390"/>
      <c r="E70" s="1404" t="s">
        <v>12</v>
      </c>
      <c r="F70" s="391"/>
      <c r="G70" s="391"/>
      <c r="H70" s="391"/>
      <c r="I70" s="391"/>
      <c r="J70" s="391"/>
      <c r="K70" s="391"/>
      <c r="L70" s="354"/>
      <c r="M70" s="354"/>
      <c r="N70" s="1136"/>
    </row>
    <row r="71" spans="3:14" ht="13.5" customHeight="1" x14ac:dyDescent="0.2">
      <c r="C71" s="1121"/>
      <c r="D71" s="390"/>
      <c r="E71" s="1404" t="s">
        <v>12</v>
      </c>
      <c r="F71" s="391"/>
      <c r="G71" s="391"/>
      <c r="H71" s="391"/>
      <c r="I71" s="391"/>
      <c r="J71" s="391"/>
      <c r="K71" s="391"/>
      <c r="L71" s="354"/>
      <c r="M71" s="354"/>
      <c r="N71" s="1136"/>
    </row>
    <row r="72" spans="3:14" ht="13.5" customHeight="1" x14ac:dyDescent="0.2">
      <c r="C72" s="1121"/>
      <c r="D72" s="390"/>
      <c r="E72" s="1404" t="s">
        <v>12</v>
      </c>
      <c r="F72" s="391"/>
      <c r="G72" s="391"/>
      <c r="H72" s="391"/>
      <c r="I72" s="391"/>
      <c r="J72" s="391"/>
      <c r="K72" s="391"/>
      <c r="L72" s="354"/>
      <c r="M72" s="354"/>
      <c r="N72" s="1136"/>
    </row>
    <row r="73" spans="3:14" ht="13.5" customHeight="1" x14ac:dyDescent="0.2">
      <c r="C73" s="1121"/>
      <c r="D73" s="390"/>
      <c r="E73" s="1404" t="s">
        <v>12</v>
      </c>
      <c r="F73" s="391"/>
      <c r="G73" s="391"/>
      <c r="H73" s="391"/>
      <c r="I73" s="391"/>
      <c r="J73" s="391"/>
      <c r="K73" s="391"/>
      <c r="L73" s="354"/>
      <c r="M73" s="354"/>
      <c r="N73" s="1136"/>
    </row>
    <row r="74" spans="3:14" ht="13.5" customHeight="1" x14ac:dyDescent="0.2">
      <c r="C74" s="1121"/>
      <c r="D74" s="390"/>
      <c r="E74" s="1404" t="s">
        <v>12</v>
      </c>
      <c r="F74" s="391"/>
      <c r="G74" s="391"/>
      <c r="H74" s="391"/>
      <c r="I74" s="391"/>
      <c r="J74" s="391"/>
      <c r="K74" s="391"/>
      <c r="L74" s="354"/>
      <c r="M74" s="354"/>
      <c r="N74" s="1136"/>
    </row>
    <row r="75" spans="3:14" ht="13.5" customHeight="1" x14ac:dyDescent="0.2">
      <c r="C75" s="1121"/>
      <c r="D75" s="390"/>
      <c r="E75" s="1404" t="s">
        <v>12</v>
      </c>
      <c r="F75" s="391"/>
      <c r="G75" s="391"/>
      <c r="H75" s="391"/>
      <c r="I75" s="391"/>
      <c r="J75" s="391"/>
      <c r="K75" s="391"/>
      <c r="L75" s="354"/>
      <c r="M75" s="354"/>
      <c r="N75" s="1136"/>
    </row>
    <row r="76" spans="3:14" ht="13.5" customHeight="1" x14ac:dyDescent="0.2">
      <c r="C76" s="1121"/>
      <c r="D76" s="390"/>
      <c r="E76" s="1404" t="s">
        <v>12</v>
      </c>
      <c r="F76" s="391"/>
      <c r="G76" s="391"/>
      <c r="H76" s="391"/>
      <c r="I76" s="391"/>
      <c r="J76" s="391"/>
      <c r="K76" s="391"/>
      <c r="L76" s="354"/>
      <c r="M76" s="354"/>
      <c r="N76" s="1136"/>
    </row>
    <row r="77" spans="3:14" ht="13.5" customHeight="1" x14ac:dyDescent="0.2">
      <c r="C77" s="1121"/>
      <c r="D77" s="1986"/>
      <c r="E77" s="1972" t="s">
        <v>12</v>
      </c>
      <c r="F77" s="2619"/>
      <c r="G77" s="2619"/>
      <c r="H77" s="2619"/>
      <c r="I77" s="2619"/>
      <c r="J77" s="2619"/>
      <c r="K77" s="2619"/>
      <c r="L77" s="354"/>
      <c r="M77" s="354"/>
      <c r="N77" s="1136"/>
    </row>
    <row r="78" spans="3:14" s="117" customFormat="1" ht="18.75" customHeight="1" x14ac:dyDescent="0.2">
      <c r="C78" s="1121"/>
      <c r="D78" s="354"/>
      <c r="E78" s="354"/>
      <c r="F78" s="354"/>
      <c r="G78" s="354"/>
      <c r="H78" s="354"/>
      <c r="I78" s="354"/>
      <c r="J78" s="354"/>
      <c r="K78" s="354"/>
      <c r="L78" s="354"/>
      <c r="M78" s="354"/>
      <c r="N78" s="1136"/>
    </row>
    <row r="79" spans="3:14" s="117" customFormat="1" ht="18.75" customHeight="1" thickBot="1" x14ac:dyDescent="0.25">
      <c r="C79" s="1137"/>
      <c r="D79" s="1138"/>
      <c r="E79" s="1138"/>
      <c r="F79" s="1138"/>
      <c r="G79" s="1138"/>
      <c r="H79" s="1138"/>
      <c r="I79" s="1138"/>
      <c r="J79" s="1138"/>
      <c r="K79" s="1138"/>
      <c r="L79" s="1138"/>
      <c r="M79" s="1138"/>
      <c r="N79" s="1139"/>
    </row>
    <row r="80" spans="3:14" x14ac:dyDescent="0.2"/>
    <row r="81" x14ac:dyDescent="0.2"/>
    <row r="65522" x14ac:dyDescent="0.2"/>
    <row r="65537" x14ac:dyDescent="0.2"/>
    <row r="65538" ht="12.75" hidden="1" customHeight="1" x14ac:dyDescent="0.2"/>
  </sheetData>
  <sheetProtection algorithmName="SHA-512" hashValue="zwGb5d+GwYB1waT4ifAfxvQkJwpUoGfWNEvlkaAJz9RwL/Sfaq+7xhSpKQQ7tO3HA7kv0ZPnwugxUBg9PcCYOg==" saltValue="EQ72OztSg3w52jbSLkHMdQ==" spinCount="100000" sheet="1" objects="1" scenarios="1"/>
  <mergeCells count="4">
    <mergeCell ref="E3:J3"/>
    <mergeCell ref="D4:J4"/>
    <mergeCell ref="D29:M29"/>
    <mergeCell ref="D55:K55"/>
  </mergeCells>
  <dataValidations count="13">
    <dataValidation type="whole" allowBlank="1" showErrorMessage="1" errorTitle="AnyShortExces" error="AnyShortExces  No decimal, upto 99,999,999,999,999 " sqref="J7:J25 M32:M51 K58:K77">
      <formula1>-99999999999999</formula1>
      <formula2>99999999999999</formula2>
    </dataValidation>
    <dataValidation type="whole" allowBlank="1" showErrorMessage="1" errorTitle="ClgStock" error="ClgStock  Non negative, no decimal, upto 99,999,999,999,999" sqref="I7:I25 J32:J51 J58:J77">
      <formula1>0</formula1>
      <formula2>99999999999999</formula2>
    </dataValidation>
    <dataValidation type="whole" allowBlank="1" showErrorMessage="1" errorTitle="SaleQty" error="SaleQty  Non negative, no decimal, upto 99,999,999,999,999" sqref="H7:H25 I32:I51">
      <formula1>0</formula1>
      <formula2>99999999999999</formula2>
    </dataValidation>
    <dataValidation type="whole" allowBlank="1" showErrorMessage="1" errorTitle="PurchaseQty" error="PurchaseQty  Non negative, no decimal, upto 99,999,999,999,999" sqref="G7:G25 G32:G51 G58:G77">
      <formula1>0</formula1>
      <formula2>99999999999999</formula2>
    </dataValidation>
    <dataValidation type="whole" allowBlank="1" showErrorMessage="1" errorTitle="OpeningStock" error="OpeningStock  Non negative, no decimal, upto 99,999,999,999,999" sqref="F7:F25 F32:F51 F58:F77">
      <formula1>0</formula1>
      <formula2>99999999999999</formula2>
    </dataValidation>
    <dataValidation type="textLength" operator="lessThanOrEqual" allowBlank="1" showErrorMessage="1" errorTitle="ItemName" error="ItemName  should not exceed 125 characters " sqref="D58:D77 D32:D51">
      <formula1>125</formula1>
    </dataValidation>
    <dataValidation type="whole" allowBlank="1" showErrorMessage="1" errorTitle="Consumption" error="Consumption  Non negative, no decimal, upto 99,999,999,999,999" sqref="H32:H51">
      <formula1>0</formula1>
      <formula2>99999999999999</formula2>
    </dataValidation>
    <dataValidation type="decimal" allowBlank="1" showErrorMessage="1" errorTitle="PercentYld" error="PercentYld  2 decimal places, upto 100.00" sqref="L32:L51">
      <formula1>0</formula1>
      <formula2>100</formula2>
    </dataValidation>
    <dataValidation type="whole" allowBlank="1" showErrorMessage="1" errorTitle="yldFinisProd" error="yldFinisProd  Non negative, no decimal, upto 99,999,999,999,999" sqref="K32:K51">
      <formula1>0</formula1>
      <formula2>99999999999999</formula2>
    </dataValidation>
    <dataValidation type="whole" allowBlank="1" showErrorMessage="1" errorTitle="SalesQty" error="SalesQty  Non negative, no decimal, upto 99,999,999,999,999" sqref="I58:I77">
      <formula1>0</formula1>
      <formula2>99999999999999</formula2>
    </dataValidation>
    <dataValidation type="whole" allowBlank="1" showErrorMessage="1" errorTitle="FinishedGoods" error="FinishedGoods  Non negative, no decimal, upto 99,999,999,999,999" sqref="H58:H77">
      <formula1>0</formula1>
      <formula2>99999999999999</formula2>
    </dataValidation>
    <dataValidation type="list" allowBlank="1" showInputMessage="1" showErrorMessage="1" sqref="E58:E77 E32:E51 E7:E25">
      <formula1>Unit</formula1>
    </dataValidation>
    <dataValidation type="textLength" operator="lessThanOrEqual" allowBlank="1" showInputMessage="1" showErrorMessage="1" errorTitle="Item Name" error="ItemName  should not exceed 125 characters " sqref="D7:D25">
      <formula1>125</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43" r:id="rId5" name="Button 3">
              <controlPr defaultSize="0" print="0" autoFill="0" autoPict="0" macro="[0]!ValidateSheetQDClick">
                <anchor>
                  <from>
                    <xdr:col>10</xdr:col>
                    <xdr:colOff>285750</xdr:colOff>
                    <xdr:row>2</xdr:row>
                    <xdr:rowOff>266700</xdr:rowOff>
                  </from>
                  <to>
                    <xdr:col>11</xdr:col>
                    <xdr:colOff>704850</xdr:colOff>
                    <xdr:row>4</xdr:row>
                    <xdr:rowOff>57150</xdr:rowOff>
                  </to>
                </anchor>
              </controlPr>
            </control>
          </mc:Choice>
        </mc:AlternateContent>
        <mc:AlternateContent xmlns:mc="http://schemas.openxmlformats.org/markup-compatibility/2006">
          <mc:Choice Requires="x14">
            <control shapeId="10271" r:id="rId6" name="Button 31">
              <controlPr defaultSize="0" print="0" autoFill="0" autoPict="0" macro="[0]!Prev_Sheet">
                <anchor>
                  <from>
                    <xdr:col>10</xdr:col>
                    <xdr:colOff>285750</xdr:colOff>
                    <xdr:row>4</xdr:row>
                    <xdr:rowOff>361950</xdr:rowOff>
                  </from>
                  <to>
                    <xdr:col>11</xdr:col>
                    <xdr:colOff>704850</xdr:colOff>
                    <xdr:row>5</xdr:row>
                    <xdr:rowOff>57150</xdr:rowOff>
                  </to>
                </anchor>
              </controlPr>
            </control>
          </mc:Choice>
        </mc:AlternateContent>
        <mc:AlternateContent xmlns:mc="http://schemas.openxmlformats.org/markup-compatibility/2006">
          <mc:Choice Requires="x14">
            <control shapeId="10272" r:id="rId7" name="Button 32">
              <controlPr defaultSize="0" print="0" autoFill="0" autoPict="0" macro="[0]!Img_Home_Click">
                <anchor>
                  <from>
                    <xdr:col>10</xdr:col>
                    <xdr:colOff>285750</xdr:colOff>
                    <xdr:row>1</xdr:row>
                    <xdr:rowOff>142875</xdr:rowOff>
                  </from>
                  <to>
                    <xdr:col>11</xdr:col>
                    <xdr:colOff>704850</xdr:colOff>
                    <xdr:row>2</xdr:row>
                    <xdr:rowOff>257175</xdr:rowOff>
                  </to>
                </anchor>
              </controlPr>
            </control>
          </mc:Choice>
        </mc:AlternateContent>
        <mc:AlternateContent xmlns:mc="http://schemas.openxmlformats.org/markup-compatibility/2006">
          <mc:Choice Requires="x14">
            <control shapeId="10274" r:id="rId8" name="Button 34">
              <controlPr defaultSize="0" print="0" autoFill="0" autoPict="0" macro="[0]!Next_Sheet">
                <anchor>
                  <from>
                    <xdr:col>10</xdr:col>
                    <xdr:colOff>285750</xdr:colOff>
                    <xdr:row>4</xdr:row>
                    <xdr:rowOff>57150</xdr:rowOff>
                  </from>
                  <to>
                    <xdr:col>11</xdr:col>
                    <xdr:colOff>704850</xdr:colOff>
                    <xdr:row>4</xdr:row>
                    <xdr:rowOff>333375</xdr:rowOff>
                  </to>
                </anchor>
              </controlPr>
            </control>
          </mc:Choice>
        </mc:AlternateContent>
        <mc:AlternateContent xmlns:mc="http://schemas.openxmlformats.org/markup-compatibility/2006">
          <mc:Choice Requires="x14">
            <control shapeId="10275" r:id="rId9" name="Button 35">
              <controlPr defaultSize="0" print="0" autoFill="0" autoPict="0" macro="[0]!Instruction_Sheet">
                <anchor>
                  <from>
                    <xdr:col>10</xdr:col>
                    <xdr:colOff>285750</xdr:colOff>
                    <xdr:row>8</xdr:row>
                    <xdr:rowOff>133350</xdr:rowOff>
                  </from>
                  <to>
                    <xdr:col>11</xdr:col>
                    <xdr:colOff>704850</xdr:colOff>
                    <xdr:row>10</xdr:row>
                    <xdr:rowOff>76200</xdr:rowOff>
                  </to>
                </anchor>
              </controlPr>
            </control>
          </mc:Choice>
        </mc:AlternateContent>
        <mc:AlternateContent xmlns:mc="http://schemas.openxmlformats.org/markup-compatibility/2006">
          <mc:Choice Requires="x14">
            <control shapeId="10276" r:id="rId10" name="Button 36">
              <controlPr defaultSize="0" print="0" autoFill="0" autoPict="0" macro="[0]!WorksheetsPrint">
                <anchor>
                  <from>
                    <xdr:col>10</xdr:col>
                    <xdr:colOff>285750</xdr:colOff>
                    <xdr:row>7</xdr:row>
                    <xdr:rowOff>28575</xdr:rowOff>
                  </from>
                  <to>
                    <xdr:col>11</xdr:col>
                    <xdr:colOff>704850</xdr:colOff>
                    <xdr:row>8</xdr:row>
                    <xdr:rowOff>133350</xdr:rowOff>
                  </to>
                </anchor>
              </controlPr>
            </control>
          </mc:Choice>
        </mc:AlternateContent>
        <mc:AlternateContent xmlns:mc="http://schemas.openxmlformats.org/markup-compatibility/2006">
          <mc:Choice Requires="x14">
            <control shapeId="10277" r:id="rId11" name="Button 37">
              <controlPr defaultSize="0" print="0" autoFill="0" autoPict="0" macro="[0]!GenerateJSON.GenerateJSON">
                <anchor>
                  <from>
                    <xdr:col>10</xdr:col>
                    <xdr:colOff>285750</xdr:colOff>
                    <xdr:row>5</xdr:row>
                    <xdr:rowOff>76200</xdr:rowOff>
                  </from>
                  <to>
                    <xdr:col>11</xdr:col>
                    <xdr:colOff>704850</xdr:colOff>
                    <xdr:row>7</xdr:row>
                    <xdr:rowOff>19050</xdr:rowOff>
                  </to>
                </anchor>
              </controlPr>
            </control>
          </mc:Choice>
        </mc:AlternateContent>
        <mc:AlternateContent xmlns:mc="http://schemas.openxmlformats.org/markup-compatibility/2006">
          <mc:Choice Requires="x14">
            <control shapeId="10278" r:id="rId12" name="Button 38">
              <controlPr defaultSize="0" print="0" autoFill="0" autoPict="0" macro="[0]!AddRows_Trdng_QD">
                <anchor moveWithCells="1">
                  <from>
                    <xdr:col>2</xdr:col>
                    <xdr:colOff>209550</xdr:colOff>
                    <xdr:row>25</xdr:row>
                    <xdr:rowOff>95250</xdr:rowOff>
                  </from>
                  <to>
                    <xdr:col>4</xdr:col>
                    <xdr:colOff>476250</xdr:colOff>
                    <xdr:row>27</xdr:row>
                    <xdr:rowOff>38100</xdr:rowOff>
                  </to>
                </anchor>
              </controlPr>
            </control>
          </mc:Choice>
        </mc:AlternateContent>
        <mc:AlternateContent xmlns:mc="http://schemas.openxmlformats.org/markup-compatibility/2006">
          <mc:Choice Requires="x14">
            <control shapeId="10279" r:id="rId13" name="Button 39">
              <controlPr defaultSize="0" print="0" autoFill="0" autoPict="0" macro="[0]!AddRows_Rawmtrl_QD">
                <anchor moveWithCells="1">
                  <from>
                    <xdr:col>3</xdr:col>
                    <xdr:colOff>0</xdr:colOff>
                    <xdr:row>51</xdr:row>
                    <xdr:rowOff>95250</xdr:rowOff>
                  </from>
                  <to>
                    <xdr:col>4</xdr:col>
                    <xdr:colOff>485775</xdr:colOff>
                    <xdr:row>53</xdr:row>
                    <xdr:rowOff>57150</xdr:rowOff>
                  </to>
                </anchor>
              </controlPr>
            </control>
          </mc:Choice>
        </mc:AlternateContent>
        <mc:AlternateContent xmlns:mc="http://schemas.openxmlformats.org/markup-compatibility/2006">
          <mc:Choice Requires="x14">
            <control shapeId="10280" r:id="rId14" name="Button 40">
              <controlPr defaultSize="0" print="0" autoFill="0" autoPict="0" macro="[0]!AddRows_Finished_QD">
                <anchor moveWithCells="1">
                  <from>
                    <xdr:col>2</xdr:col>
                    <xdr:colOff>190500</xdr:colOff>
                    <xdr:row>77</xdr:row>
                    <xdr:rowOff>66675</xdr:rowOff>
                  </from>
                  <to>
                    <xdr:col>4</xdr:col>
                    <xdr:colOff>476250</xdr:colOff>
                    <xdr:row>78</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I26"/>
  <sheetViews>
    <sheetView workbookViewId="0"/>
  </sheetViews>
  <sheetFormatPr defaultColWidth="9.140625" defaultRowHeight="12.75" x14ac:dyDescent="0.2"/>
  <cols>
    <col min="1" max="1" width="25" style="113" bestFit="1" customWidth="1"/>
    <col min="2" max="2" width="26.7109375" style="113" bestFit="1" customWidth="1"/>
    <col min="3" max="3" width="16.5703125" style="113" customWidth="1"/>
    <col min="4" max="4" width="16.28515625" style="113" customWidth="1"/>
    <col min="5" max="5" width="16" style="113" customWidth="1"/>
    <col min="6" max="6" width="12" style="113" customWidth="1"/>
    <col min="7" max="7" width="11.140625" style="113" customWidth="1"/>
    <col min="8" max="8" width="44" style="113" bestFit="1" customWidth="1"/>
    <col min="9" max="16384" width="9.140625" style="113"/>
  </cols>
  <sheetData>
    <row r="2" spans="1:9" x14ac:dyDescent="0.2">
      <c r="A2" s="852" t="str">
        <f ca="1">CONCATENATE(YEAR(TODAY()),"-",IF(MONTH(TODAY())&lt;10,"0",""),MONTH(TODAY()),"-",IF(DAY(TODAY())&lt;10,"0",""),DAY(TODAY()))</f>
        <v>2022-09-02</v>
      </c>
      <c r="B2" s="853" t="s">
        <v>1689</v>
      </c>
      <c r="D2" s="854" t="s">
        <v>1692</v>
      </c>
      <c r="E2" s="855">
        <v>0</v>
      </c>
      <c r="H2" s="854" t="s">
        <v>1695</v>
      </c>
      <c r="I2" s="856">
        <v>0</v>
      </c>
    </row>
    <row r="3" spans="1:9" x14ac:dyDescent="0.2">
      <c r="A3" s="852" t="s">
        <v>13275</v>
      </c>
      <c r="B3" s="853" t="s">
        <v>1690</v>
      </c>
      <c r="D3" s="854" t="s">
        <v>1693</v>
      </c>
      <c r="E3" s="855">
        <v>0</v>
      </c>
      <c r="H3" s="854" t="s">
        <v>1696</v>
      </c>
      <c r="I3" s="856">
        <v>0</v>
      </c>
    </row>
    <row r="4" spans="1:9" x14ac:dyDescent="0.2">
      <c r="A4" s="852"/>
      <c r="B4" s="853" t="s">
        <v>1691</v>
      </c>
      <c r="D4" s="854" t="s">
        <v>1694</v>
      </c>
      <c r="E4" s="855">
        <v>0</v>
      </c>
      <c r="H4" s="854" t="s">
        <v>1697</v>
      </c>
      <c r="I4" s="856">
        <v>0</v>
      </c>
    </row>
    <row r="5" spans="1:9" x14ac:dyDescent="0.2">
      <c r="A5" s="852" t="s">
        <v>8210</v>
      </c>
      <c r="B5" s="857" t="s">
        <v>8005</v>
      </c>
      <c r="H5" s="854" t="s">
        <v>1698</v>
      </c>
      <c r="I5" s="856">
        <v>0</v>
      </c>
    </row>
    <row r="6" spans="1:9" ht="13.5" thickBot="1" x14ac:dyDescent="0.25"/>
    <row r="7" spans="1:9" ht="13.5" thickBot="1" x14ac:dyDescent="0.25">
      <c r="A7" s="858" t="s">
        <v>1676</v>
      </c>
      <c r="B7" s="859" t="s">
        <v>1677</v>
      </c>
      <c r="C7" s="860" t="s">
        <v>1678</v>
      </c>
      <c r="D7" s="858" t="s">
        <v>1679</v>
      </c>
      <c r="E7" s="859" t="s">
        <v>1680</v>
      </c>
      <c r="F7" s="859" t="s">
        <v>1681</v>
      </c>
      <c r="G7" s="859" t="s">
        <v>1682</v>
      </c>
    </row>
    <row r="8" spans="1:9" x14ac:dyDescent="0.2">
      <c r="A8" s="861" t="s">
        <v>1683</v>
      </c>
      <c r="B8" s="862" t="b">
        <v>1</v>
      </c>
      <c r="C8" s="861" t="s">
        <v>1684</v>
      </c>
      <c r="D8" s="863">
        <v>0</v>
      </c>
      <c r="E8" s="864" t="b">
        <v>0</v>
      </c>
      <c r="F8" s="864" t="b">
        <v>1</v>
      </c>
      <c r="G8" s="379">
        <v>2014</v>
      </c>
    </row>
    <row r="10" spans="1:9" x14ac:dyDescent="0.2">
      <c r="A10" s="148" t="s">
        <v>1685</v>
      </c>
      <c r="B10" s="379">
        <v>200000</v>
      </c>
      <c r="D10" s="855">
        <f>IF(GrpC,0,IF(AND(TaxableIncome&gt;=0,TaxableIncome&lt;=B10),0,0))</f>
        <v>0</v>
      </c>
    </row>
    <row r="11" spans="1:9" x14ac:dyDescent="0.2">
      <c r="A11" s="148"/>
      <c r="B11" s="379">
        <v>500000</v>
      </c>
      <c r="D11" s="855">
        <f>IF(GrpC,0,IF(AND(TaxableIncome&gt;=200001,TaxableIncome&lt;=B11),(ROUND(VALUE(TaxableIncome-B10) * 0.1,0)),0))</f>
        <v>0</v>
      </c>
    </row>
    <row r="12" spans="1:9" x14ac:dyDescent="0.2">
      <c r="A12" s="148"/>
      <c r="B12" s="379">
        <v>1000000</v>
      </c>
      <c r="D12" s="855">
        <f>IF(GrpC,0,IF(AND(TaxableIncome&gt;=500001,TaxableIncome&lt;=B12),(ROUND(VALUE(TaxableIncome-B11) * 0.2,0))+30000,0))</f>
        <v>0</v>
      </c>
    </row>
    <row r="13" spans="1:9" x14ac:dyDescent="0.2">
      <c r="A13" s="148"/>
      <c r="B13" s="379">
        <v>1000001</v>
      </c>
      <c r="D13" s="855">
        <f>IF(GrpC,0,IF((TaxableIncome&gt;=B13),(ROUND(VALUE(TaxableIncome-B12) * 0.3,0))+130000,0))</f>
        <v>0</v>
      </c>
    </row>
    <row r="15" spans="1:9" x14ac:dyDescent="0.2">
      <c r="A15" s="148" t="s">
        <v>1686</v>
      </c>
      <c r="B15" s="379">
        <v>250000</v>
      </c>
      <c r="C15" s="148"/>
      <c r="D15" s="855">
        <f>IF(GrpA,0,IF(AND(TaxableIncome&gt;=0,TaxableIncome&lt;=B15),0,0))</f>
        <v>0</v>
      </c>
    </row>
    <row r="16" spans="1:9" x14ac:dyDescent="0.2">
      <c r="A16" s="148"/>
      <c r="B16" s="379">
        <v>500000</v>
      </c>
      <c r="C16" s="148"/>
      <c r="D16" s="855">
        <f>IF(GrpA,0,IF(AND(TaxableIncome&gt;=250001,TaxableIncome&lt;=B16),(ROUND(VALUE(TaxableIncome-B15) * 0.1,0)),0))</f>
        <v>0</v>
      </c>
    </row>
    <row r="17" spans="1:6" x14ac:dyDescent="0.2">
      <c r="A17" s="148"/>
      <c r="B17" s="379">
        <v>1000000</v>
      </c>
      <c r="C17" s="148"/>
      <c r="D17" s="855">
        <f>IF(GrpA,0,IF(AND(TaxableIncome&gt;=500001,TaxableIncome&lt;=B17),(ROUND(VALUE(TaxableIncome-B16) * 0.2,0))+25000,0))</f>
        <v>0</v>
      </c>
    </row>
    <row r="18" spans="1:6" x14ac:dyDescent="0.2">
      <c r="A18" s="148"/>
      <c r="B18" s="379">
        <v>1000001</v>
      </c>
      <c r="C18" s="148"/>
      <c r="D18" s="855">
        <f>IF(GrpA,0,IF((TaxableIncome&gt;=B18),(ROUND(VALUE(TaxableIncome-B17) * 0.3,0))+125000,0))</f>
        <v>0</v>
      </c>
      <c r="F18" s="19">
        <v>459920</v>
      </c>
    </row>
    <row r="19" spans="1:6" x14ac:dyDescent="0.2">
      <c r="F19" s="294">
        <f>F18-D18</f>
        <v>459920</v>
      </c>
    </row>
    <row r="20" spans="1:6" x14ac:dyDescent="0.2">
      <c r="A20" s="148" t="s">
        <v>1687</v>
      </c>
      <c r="B20" s="148"/>
      <c r="C20" s="148"/>
      <c r="D20" s="148"/>
    </row>
    <row r="21" spans="1:6" x14ac:dyDescent="0.2">
      <c r="A21" s="148"/>
      <c r="B21" s="148"/>
      <c r="C21" s="148"/>
      <c r="D21" s="148"/>
    </row>
    <row r="22" spans="1:6" x14ac:dyDescent="0.2">
      <c r="A22" s="148"/>
      <c r="B22" s="379">
        <v>500000</v>
      </c>
      <c r="C22" s="148"/>
      <c r="D22" s="855">
        <f>IF(GrpB,0,IF(AND(TaxableIncome&gt;=0,TaxableIncome&lt;=B22),0,0))</f>
        <v>0</v>
      </c>
    </row>
    <row r="23" spans="1:6" x14ac:dyDescent="0.2">
      <c r="A23" s="148"/>
      <c r="B23" s="379">
        <v>1000000</v>
      </c>
      <c r="C23" s="148"/>
      <c r="D23" s="855">
        <f>IF(GrpB,0,IF(AND(TaxableIncome&gt;=500001,TaxableIncome&lt;=B23),(ROUND(VALUE(TaxableIncome-B22) * 0.2,0)),0))</f>
        <v>0</v>
      </c>
    </row>
    <row r="24" spans="1:6" x14ac:dyDescent="0.2">
      <c r="A24" s="148"/>
      <c r="B24" s="379">
        <v>1000001</v>
      </c>
      <c r="C24" s="148"/>
      <c r="D24" s="855">
        <f>IF(GrpB,0,IF((TaxableIncome&gt;=B24),(ROUND(VALUE(TaxableIncome-B23) * 0.3,0))+100000,0))</f>
        <v>0</v>
      </c>
    </row>
    <row r="26" spans="1:6" x14ac:dyDescent="0.2">
      <c r="A26" s="3267" t="s">
        <v>1688</v>
      </c>
      <c r="B26" s="3268"/>
      <c r="C26" s="3269"/>
      <c r="D26" s="865">
        <f>SUM(D10:D24)</f>
        <v>0</v>
      </c>
    </row>
  </sheetData>
  <sheetProtection algorithmName="SHA-512" hashValue="0M3w7zb0mzKiUqTmIuPm/5tYgIdqQrNsJx5ziPwefVhjJtOs0C6DfCwZMFcrszeHG2BB63uTziEWgxZ5bRgBJA==" saltValue="HHxGwOm9xMptJU7NT2leKQ==" spinCount="100000" sheet="1" objects="1" scenarios="1"/>
  <mergeCells count="1">
    <mergeCell ref="A26:C26"/>
  </mergeCells>
  <dataValidations count="1">
    <dataValidation type="whole" allowBlank="1" showErrorMessage="1" error="  No decimal, upto 99,999,999,999,999 " sqref="F18">
      <formula1>-99999999999999</formula1>
      <formula2>99999999999999</formula2>
    </dataValidation>
  </dataValidation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8"/>
  <dimension ref="A1:V1000"/>
  <sheetViews>
    <sheetView workbookViewId="0"/>
  </sheetViews>
  <sheetFormatPr defaultColWidth="9.140625" defaultRowHeight="12.75" zeroHeight="1" x14ac:dyDescent="0.2"/>
  <cols>
    <col min="1" max="1" width="7.7109375" style="113" customWidth="1"/>
    <col min="2" max="2" width="6.42578125" style="113" customWidth="1"/>
    <col min="3" max="4" width="21.85546875" style="113" customWidth="1"/>
    <col min="5" max="5" width="12.28515625" style="113" customWidth="1"/>
    <col min="6" max="6" width="14.140625" style="113" customWidth="1"/>
    <col min="7" max="7" width="6.42578125" style="113" customWidth="1"/>
    <col min="8" max="8" width="4.85546875" style="113" customWidth="1"/>
    <col min="9" max="9" width="17.140625" style="117" customWidth="1"/>
    <col min="10" max="13" width="3.7109375" style="113" customWidth="1"/>
    <col min="14" max="14" width="6.140625" style="113" customWidth="1"/>
    <col min="15" max="15" width="14.85546875" style="113" bestFit="1" customWidth="1"/>
    <col min="16" max="16" width="10.140625" style="113" bestFit="1" customWidth="1"/>
    <col min="17" max="17" width="12.140625" style="113" bestFit="1" customWidth="1"/>
    <col min="18" max="18" width="23.5703125" style="113" bestFit="1" customWidth="1"/>
    <col min="19" max="21" width="10.140625" style="113" bestFit="1" customWidth="1"/>
    <col min="22" max="22" width="3.7109375" style="113" customWidth="1"/>
    <col min="23" max="16384" width="9.140625" style="113"/>
  </cols>
  <sheetData>
    <row r="1" spans="1:22" x14ac:dyDescent="0.2">
      <c r="A1" s="82" t="s">
        <v>7339</v>
      </c>
      <c r="B1" s="3270" t="s">
        <v>7262</v>
      </c>
      <c r="C1" s="3271"/>
      <c r="D1" s="3271"/>
      <c r="E1" s="3271"/>
      <c r="F1" s="3272"/>
      <c r="G1" s="117"/>
      <c r="H1" s="117"/>
      <c r="I1" s="113"/>
    </row>
    <row r="2" spans="1:22" x14ac:dyDescent="0.2">
      <c r="A2" s="28" t="s">
        <v>309</v>
      </c>
      <c r="B2" s="2993" t="s">
        <v>1227</v>
      </c>
      <c r="C2" s="2994"/>
      <c r="D2" s="2994"/>
      <c r="E2" s="2994"/>
      <c r="F2" s="2995"/>
      <c r="G2" s="117"/>
      <c r="H2" s="117"/>
    </row>
    <row r="3" spans="1:22" ht="38.25" x14ac:dyDescent="0.2">
      <c r="A3" s="83"/>
      <c r="B3" s="28" t="s">
        <v>1179</v>
      </c>
      <c r="C3" s="31" t="s">
        <v>1228</v>
      </c>
      <c r="D3" s="31" t="s">
        <v>7337</v>
      </c>
      <c r="E3" s="35" t="s">
        <v>1229</v>
      </c>
      <c r="F3" s="36" t="s">
        <v>1176</v>
      </c>
      <c r="G3" s="754"/>
      <c r="H3" s="680"/>
      <c r="S3" s="866" t="s">
        <v>7396</v>
      </c>
      <c r="T3" s="113">
        <f>SUMIF(FormulaOfExSAT,"=A",IT.Amt)</f>
        <v>0</v>
      </c>
    </row>
    <row r="4" spans="1:22" x14ac:dyDescent="0.2">
      <c r="A4" s="58"/>
      <c r="B4" s="28">
        <v>1</v>
      </c>
      <c r="C4" s="28">
        <v>2</v>
      </c>
      <c r="D4" s="28">
        <v>3</v>
      </c>
      <c r="E4" s="28">
        <v>4</v>
      </c>
      <c r="F4" s="28">
        <v>5</v>
      </c>
      <c r="G4" s="354"/>
      <c r="H4" s="681"/>
      <c r="R4" s="867"/>
      <c r="S4" s="867"/>
      <c r="T4" s="867"/>
    </row>
    <row r="5" spans="1:22" x14ac:dyDescent="0.2">
      <c r="A5" s="58"/>
      <c r="B5" s="16">
        <v>1</v>
      </c>
      <c r="C5" s="80"/>
      <c r="D5" s="80"/>
      <c r="E5" s="81"/>
      <c r="F5" s="7"/>
      <c r="G5" s="354"/>
      <c r="H5" s="681"/>
      <c r="O5" s="144" t="e">
        <f>VALUE(MID(D5,7,4))</f>
        <v>#VALUE!</v>
      </c>
      <c r="P5" s="144" t="e">
        <f>VALUE(MID(D5,1,2))</f>
        <v>#VALUE!</v>
      </c>
      <c r="Q5" s="144" t="e">
        <f>VALUE(MID(D5,4,2))</f>
        <v>#VALUE!</v>
      </c>
      <c r="R5" s="379" t="e">
        <f>IF(O5&gt;2016,2,IF(O5&gt;=2016,IF(Q5&gt;=4,2,1),1))</f>
        <v>#VALUE!</v>
      </c>
      <c r="S5" s="379" t="e">
        <f>IF(R5&gt;1,6,IF(O5&lt;2016,IF((Q5=6)*(P5&gt;15),2,IF(Q5&lt;7,1,IF((Q5=9)*(P5&gt;15),3,IF(Q5&lt;10,2,IF((Q5=12)*(P5&gt;15),4,IF(Q5&lt;13,3,4)))))),IF(Q5&lt;3,4,IF(P5&lt;16,4,5))))</f>
        <v>#VALUE!</v>
      </c>
      <c r="T5" s="379" t="e">
        <f>IF(O5&lt;=2016,IF(R5&gt;1,IF(Q5&lt;4,Q5+9,Q5-3),0),Q5+9)</f>
        <v>#VALUE!</v>
      </c>
      <c r="U5" s="380" t="e">
        <f>IF(O5&lt;=2016,IF(R5&gt;1,IF(Q5&lt;4,Q5+9,IF(Q5=9,IF(P5 &lt;=7,"A",Q5-3),Q5-3)),0),Q5+9)</f>
        <v>#VALUE!</v>
      </c>
    </row>
    <row r="6" spans="1:22" x14ac:dyDescent="0.2">
      <c r="A6" s="58"/>
      <c r="B6" s="6">
        <f>B5+1</f>
        <v>2</v>
      </c>
      <c r="C6" s="80"/>
      <c r="D6" s="80"/>
      <c r="E6" s="81"/>
      <c r="F6" s="7"/>
      <c r="G6" s="354"/>
      <c r="H6" s="681"/>
      <c r="O6" s="144" t="e">
        <f>VALUE(MID(D6,7,4))</f>
        <v>#VALUE!</v>
      </c>
      <c r="P6" s="144" t="e">
        <f>VALUE(MID(D6,1,2))</f>
        <v>#VALUE!</v>
      </c>
      <c r="Q6" s="144" t="e">
        <f>VALUE(MID(D6,4,2))</f>
        <v>#VALUE!</v>
      </c>
      <c r="R6" s="379" t="e">
        <f>IF(O6&gt;2016,2,IF(O6&gt;=2016,IF(Q6&gt;=4,2,1),1))</f>
        <v>#VALUE!</v>
      </c>
      <c r="S6" s="379" t="e">
        <f>IF(R6&gt;1,6,IF(O6&lt;2016,IF((Q6=6)*(P6&gt;15),2,IF(Q6&lt;7,1,IF((Q6=9)*(P6&gt;15),3,IF(Q6&lt;10,2,IF((Q6=12)*(P6&gt;15),4,IF(Q6&lt;13,3,4)))))),IF(Q6&lt;3,4,IF(P6&lt;16,4,5))))</f>
        <v>#VALUE!</v>
      </c>
      <c r="T6" s="379" t="e">
        <f>IF(O6&lt;=2016,IF(R6&gt;1,IF(Q6&lt;4,Q6+9,Q6-3),0),Q6+9)</f>
        <v>#VALUE!</v>
      </c>
      <c r="U6" s="380" t="e">
        <f>IF(O6&lt;=2016,IF(R6&gt;1,IF(Q6&lt;4,Q6+9,IF(Q6=9,IF(P6 &lt;=7,"A",Q6-3),Q6-3)),0),Q6+9)</f>
        <v>#VALUE!</v>
      </c>
    </row>
    <row r="7" spans="1:22" x14ac:dyDescent="0.2">
      <c r="A7" s="58"/>
      <c r="B7" s="6">
        <f>B6+1</f>
        <v>3</v>
      </c>
      <c r="C7" s="80"/>
      <c r="D7" s="80"/>
      <c r="E7" s="81"/>
      <c r="F7" s="7"/>
      <c r="G7" s="354"/>
      <c r="H7" s="681"/>
      <c r="O7" s="144" t="e">
        <f>VALUE(MID(D7,7,4))</f>
        <v>#VALUE!</v>
      </c>
      <c r="P7" s="144" t="e">
        <f>VALUE(MID(D7,1,2))</f>
        <v>#VALUE!</v>
      </c>
      <c r="Q7" s="144" t="e">
        <f>VALUE(MID(D7,4,2))</f>
        <v>#VALUE!</v>
      </c>
      <c r="R7" s="379" t="e">
        <f>IF(O7&gt;2016,2,IF(O7&gt;=2016,IF(Q7&gt;=4,2,1),1))</f>
        <v>#VALUE!</v>
      </c>
      <c r="S7" s="379" t="e">
        <f>IF(R7&gt;1,6,IF(O7&lt;2016,IF((Q7=6)*(P7&gt;15),2,IF(Q7&lt;7,1,IF((Q7=9)*(P7&gt;15),3,IF(Q7&lt;10,2,IF((Q7=12)*(P7&gt;15),4,IF(Q7&lt;13,3,4)))))),IF(Q7&lt;3,4,IF(P7&lt;16,4,5))))</f>
        <v>#VALUE!</v>
      </c>
      <c r="T7" s="379" t="e">
        <f>IF(O7&lt;=2016,IF(R7&gt;1,IF(Q7&lt;4,Q7+9,Q7-3),0),Q7+9)</f>
        <v>#VALUE!</v>
      </c>
      <c r="U7" s="380" t="e">
        <f>IF(O7&lt;=2016,IF(R7&gt;1,IF(Q7&lt;4,Q7+9,IF(Q7=9,IF(P7 &lt;=7,"A",Q7-3),Q7-3)),0),Q7+9)</f>
        <v>#VALUE!</v>
      </c>
    </row>
    <row r="8" spans="1:22" x14ac:dyDescent="0.2">
      <c r="A8" s="58"/>
      <c r="B8" s="6">
        <f>B7+1</f>
        <v>4</v>
      </c>
      <c r="C8" s="80"/>
      <c r="D8" s="80"/>
      <c r="E8" s="81"/>
      <c r="F8" s="7"/>
      <c r="G8" s="354"/>
      <c r="H8" s="681"/>
      <c r="O8" s="144" t="e">
        <f>VALUE(MID(D8,7,4))</f>
        <v>#VALUE!</v>
      </c>
      <c r="P8" s="144" t="e">
        <f>VALUE(MID(D8,1,2))</f>
        <v>#VALUE!</v>
      </c>
      <c r="Q8" s="144" t="e">
        <f>VALUE(MID(D8,4,2))</f>
        <v>#VALUE!</v>
      </c>
      <c r="R8" s="379" t="e">
        <f>IF(O8&gt;2016,2,IF(O8&gt;=2016,IF(Q8&gt;=4,2,1),1))</f>
        <v>#VALUE!</v>
      </c>
      <c r="S8" s="379" t="e">
        <f>IF(R8&gt;1,6,IF(O8&lt;2016,IF((Q8=6)*(P8&gt;15),2,IF(Q8&lt;7,1,IF((Q8=9)*(P8&gt;15),3,IF(Q8&lt;10,2,IF((Q8=12)*(P8&gt;15),4,IF(Q8&lt;13,3,4)))))),IF(Q8&lt;3,4,IF(P8&lt;16,4,5))))</f>
        <v>#VALUE!</v>
      </c>
      <c r="T8" s="379" t="e">
        <f>IF(O8&lt;=2016,IF(R8&gt;1,IF(Q8&lt;4,Q8+9,Q8-3),0),Q8+9)</f>
        <v>#VALUE!</v>
      </c>
      <c r="U8" s="380" t="e">
        <f>IF(O8&lt;=2016,IF(R8&gt;1,IF(Q8&lt;4,Q8+9,IF(Q8=9,IF(P8 &lt;=7,"A",Q8-3),Q8-3)),0),Q8+9)</f>
        <v>#VALUE!</v>
      </c>
    </row>
    <row r="9" spans="1:22" x14ac:dyDescent="0.2">
      <c r="A9" s="76"/>
      <c r="B9" s="403"/>
      <c r="C9" s="403"/>
      <c r="D9" s="403"/>
      <c r="E9" s="403"/>
      <c r="F9" s="403"/>
      <c r="G9" s="354"/>
      <c r="H9" s="681"/>
    </row>
    <row r="10" spans="1:22" x14ac:dyDescent="0.2">
      <c r="A10" s="58"/>
      <c r="B10" s="29"/>
      <c r="C10" s="77" t="s">
        <v>749</v>
      </c>
      <c r="D10" s="78"/>
      <c r="E10" s="79"/>
      <c r="F10" s="45">
        <f>SUM(IT.Amt)</f>
        <v>0</v>
      </c>
      <c r="G10" s="354"/>
      <c r="H10" s="681"/>
    </row>
    <row r="11" spans="1:22" x14ac:dyDescent="0.2">
      <c r="A11" s="37" t="s">
        <v>818</v>
      </c>
      <c r="B11" s="37"/>
      <c r="C11" s="3273" t="s">
        <v>1230</v>
      </c>
      <c r="D11" s="3274"/>
      <c r="E11" s="3274"/>
      <c r="F11" s="3274"/>
      <c r="G11" s="3274"/>
      <c r="H11" s="3275"/>
    </row>
    <row r="12" spans="1:22" x14ac:dyDescent="0.2">
      <c r="A12" s="117"/>
      <c r="B12" s="3276"/>
      <c r="C12" s="3276"/>
      <c r="D12" s="117"/>
      <c r="E12" s="117"/>
      <c r="F12" s="117"/>
      <c r="G12" s="117"/>
      <c r="H12" s="117"/>
    </row>
    <row r="13" spans="1:22" x14ac:dyDescent="0.2">
      <c r="A13" s="117"/>
      <c r="B13" s="3277"/>
      <c r="C13" s="3277"/>
      <c r="D13" s="117"/>
      <c r="E13" s="117"/>
      <c r="F13" s="117"/>
      <c r="G13" s="117"/>
      <c r="H13" s="117"/>
      <c r="T13" s="148">
        <f>SUMIF(FormulaOfSAT,"=12",IT.Amt)</f>
        <v>0</v>
      </c>
      <c r="U13" s="148">
        <f>SUMIF(FormulaOfSAT,"=24",IT.Amt)</f>
        <v>0</v>
      </c>
    </row>
    <row r="14" spans="1:22" x14ac:dyDescent="0.2">
      <c r="I14" s="113"/>
      <c r="O14" s="868"/>
      <c r="P14" s="868"/>
      <c r="Q14" s="868"/>
      <c r="R14" s="868"/>
      <c r="S14" s="868"/>
      <c r="T14" s="384">
        <f>SUMIF(FormulaOfSAT,"=11",IT.Amt)</f>
        <v>0</v>
      </c>
      <c r="U14" s="384">
        <f>SUMIF(FormulaOfSAT,"=23",IT.Amt)</f>
        <v>0</v>
      </c>
      <c r="V14" s="868"/>
    </row>
    <row r="15" spans="1:22" x14ac:dyDescent="0.2">
      <c r="I15" s="113"/>
      <c r="O15" s="869"/>
      <c r="P15" s="310"/>
      <c r="Q15" s="869"/>
      <c r="R15" s="310"/>
      <c r="S15" s="310"/>
      <c r="T15" s="148">
        <f>SUMIF(FormulaOfSAT,"=10",IT.Amt)</f>
        <v>0</v>
      </c>
      <c r="U15" s="148">
        <f>SUMIF(FormulaOfSAT,"=22",IT.Amt)</f>
        <v>0</v>
      </c>
    </row>
    <row r="16" spans="1:22" x14ac:dyDescent="0.2">
      <c r="I16" s="113"/>
      <c r="T16" s="148">
        <f>SUMIF(FormulaOfSAT,"=9",IT.Amt)</f>
        <v>0</v>
      </c>
      <c r="U16" s="148">
        <f>SUMIF(FormulaOfSAT,"=21",IT.Amt)</f>
        <v>0</v>
      </c>
    </row>
    <row r="17" spans="9:21" x14ac:dyDescent="0.2">
      <c r="I17" s="113"/>
      <c r="T17" s="148">
        <f>SUMIF(FormulaOfSAT,"=8",IT.Amt)</f>
        <v>0</v>
      </c>
      <c r="U17" s="148">
        <f>SUMIF(FormulaOfSAT,"=20",IT.Amt)</f>
        <v>0</v>
      </c>
    </row>
    <row r="18" spans="9:21" x14ac:dyDescent="0.2">
      <c r="I18" s="113"/>
      <c r="T18" s="148">
        <f>SUMIF(FormulaOfSAT,"=7",IT.Amt)</f>
        <v>0</v>
      </c>
      <c r="U18" s="148">
        <f>SUMIF(FormulaOfSAT,"=19",IT.Amt)</f>
        <v>0</v>
      </c>
    </row>
    <row r="19" spans="9:21" x14ac:dyDescent="0.2">
      <c r="I19" s="113"/>
      <c r="T19" s="148">
        <f>SUMIF(FormulaOfSAT,"=6",IT.Amt)</f>
        <v>0</v>
      </c>
      <c r="U19" s="148">
        <f>SUMIF(FormulaOfSAT,"=18",IT.Amt)</f>
        <v>0</v>
      </c>
    </row>
    <row r="20" spans="9:21" x14ac:dyDescent="0.2">
      <c r="I20" s="113"/>
      <c r="O20" s="869"/>
      <c r="P20" s="310"/>
      <c r="Q20" s="869"/>
      <c r="R20" s="144" t="s">
        <v>1701</v>
      </c>
      <c r="S20" s="379">
        <f>SUMIF(FormulaOfQ,"=5",IT.Amt)</f>
        <v>0</v>
      </c>
      <c r="T20" s="148">
        <f>SUMIF(FormulaOfSAT,"=5",IT.Amt)</f>
        <v>0</v>
      </c>
      <c r="U20" s="148">
        <f>SUMIF(FormulaOfSAT,"=17",IT.Amt)</f>
        <v>0</v>
      </c>
    </row>
    <row r="21" spans="9:21" x14ac:dyDescent="0.2">
      <c r="I21" s="113"/>
      <c r="S21" s="379">
        <f>SUMIF(FormulaOfQ,"=4",IT.Amt)</f>
        <v>0</v>
      </c>
      <c r="T21" s="148">
        <f>SUMIF(FormulaOfSAT,"=4",IT.Amt)</f>
        <v>0</v>
      </c>
      <c r="U21" s="148">
        <f>SUMIF(FormulaOfSAT,"=16",IT.Amt)</f>
        <v>0</v>
      </c>
    </row>
    <row r="22" spans="9:21" x14ac:dyDescent="0.2">
      <c r="I22" s="113"/>
      <c r="S22" s="379">
        <f>SUMIF(FormulaOfQ,"=3",IT.Amt)</f>
        <v>0</v>
      </c>
      <c r="T22" s="148">
        <f>SUMIF(FormulaOfSAT,"=3",IT.Amt)</f>
        <v>0</v>
      </c>
      <c r="U22" s="148">
        <f>SUMIF(FormulaOfSAT,"=15",IT.Amt)</f>
        <v>0</v>
      </c>
    </row>
    <row r="23" spans="9:21" x14ac:dyDescent="0.2">
      <c r="I23" s="113"/>
      <c r="S23" s="379">
        <f>SUMIF(FormulaOfQ,"=2",IT.Amt)</f>
        <v>0</v>
      </c>
      <c r="T23" s="148">
        <f>SUMIF(FormulaOfSAT,"=2",IT.Amt)</f>
        <v>0</v>
      </c>
      <c r="U23" s="148">
        <f>SUMIF(FormulaOfSAT,"=14",IT.Amt)</f>
        <v>0</v>
      </c>
    </row>
    <row r="24" spans="9:21" x14ac:dyDescent="0.2">
      <c r="I24" s="113"/>
      <c r="O24" s="382" t="s">
        <v>1699</v>
      </c>
      <c r="P24" s="256">
        <f>SUMIF(IT.FormulaOFS,"&gt;=2",IT.Amt)</f>
        <v>0</v>
      </c>
      <c r="Q24" s="382" t="s">
        <v>1700</v>
      </c>
      <c r="R24" s="144">
        <f>SUMIF(IT.FormulaOFS,"&lt;2",IT.Amt)</f>
        <v>0</v>
      </c>
      <c r="S24" s="383">
        <f>SUMIF(FormulaOfQ,"=1",IT.Amt)</f>
        <v>0</v>
      </c>
      <c r="T24" s="148">
        <f>SUMIF(FormulaOfSAT,"=1",IT.Amt)</f>
        <v>0</v>
      </c>
      <c r="U24" s="148">
        <f>SUMIF(FormulaOfSAT,"=13",IT.Amt)</f>
        <v>0</v>
      </c>
    </row>
    <row r="25" spans="9:21" x14ac:dyDescent="0.2">
      <c r="I25" s="113"/>
    </row>
    <row r="26" spans="9:21" x14ac:dyDescent="0.2">
      <c r="I26" s="113"/>
    </row>
    <row r="27" spans="9:21" x14ac:dyDescent="0.2">
      <c r="I27" s="113"/>
    </row>
    <row r="28" spans="9:21" x14ac:dyDescent="0.2">
      <c r="I28" s="113"/>
    </row>
    <row r="29" spans="9:21" x14ac:dyDescent="0.2">
      <c r="I29" s="113"/>
    </row>
    <row r="30" spans="9:21" x14ac:dyDescent="0.2">
      <c r="I30" s="113"/>
    </row>
    <row r="31" spans="9:21" x14ac:dyDescent="0.2">
      <c r="I31" s="113"/>
    </row>
    <row r="32" spans="9:21" x14ac:dyDescent="0.2">
      <c r="I32" s="113"/>
    </row>
    <row r="33" spans="9:9" x14ac:dyDescent="0.2">
      <c r="I33" s="113"/>
    </row>
    <row r="34" spans="9:9" x14ac:dyDescent="0.2">
      <c r="I34" s="113"/>
    </row>
    <row r="35" spans="9:9" x14ac:dyDescent="0.2">
      <c r="I35" s="113"/>
    </row>
    <row r="36" spans="9:9" x14ac:dyDescent="0.2">
      <c r="I36" s="113"/>
    </row>
    <row r="37" spans="9:9" x14ac:dyDescent="0.2">
      <c r="I37" s="113"/>
    </row>
    <row r="38" spans="9:9" x14ac:dyDescent="0.2">
      <c r="I38" s="113"/>
    </row>
    <row r="39" spans="9:9" x14ac:dyDescent="0.2">
      <c r="I39" s="113"/>
    </row>
    <row r="40" spans="9:9" x14ac:dyDescent="0.2">
      <c r="I40" s="113"/>
    </row>
    <row r="41" spans="9:9" x14ac:dyDescent="0.2">
      <c r="I41" s="113"/>
    </row>
    <row r="42" spans="9:9" x14ac:dyDescent="0.2">
      <c r="I42" s="113"/>
    </row>
    <row r="43" spans="9:9" x14ac:dyDescent="0.2">
      <c r="I43" s="113"/>
    </row>
    <row r="44" spans="9:9" x14ac:dyDescent="0.2">
      <c r="I44" s="113"/>
    </row>
    <row r="45" spans="9:9" x14ac:dyDescent="0.2">
      <c r="I45" s="113"/>
    </row>
    <row r="46" spans="9:9" x14ac:dyDescent="0.2">
      <c r="I46" s="113"/>
    </row>
    <row r="47" spans="9:9" x14ac:dyDescent="0.2">
      <c r="I47" s="113"/>
    </row>
    <row r="48" spans="9:9" x14ac:dyDescent="0.2">
      <c r="I48" s="113"/>
    </row>
    <row r="49" spans="9:9" x14ac:dyDescent="0.2">
      <c r="I49" s="113"/>
    </row>
    <row r="50" spans="9:9" x14ac:dyDescent="0.2">
      <c r="I50" s="113"/>
    </row>
    <row r="51" spans="9:9" x14ac:dyDescent="0.2">
      <c r="I51" s="113"/>
    </row>
    <row r="52" spans="9:9" x14ac:dyDescent="0.2">
      <c r="I52" s="113"/>
    </row>
    <row r="53" spans="9:9" x14ac:dyDescent="0.2">
      <c r="I53" s="113"/>
    </row>
    <row r="54" spans="9:9" x14ac:dyDescent="0.2">
      <c r="I54" s="113"/>
    </row>
    <row r="55" spans="9:9" x14ac:dyDescent="0.2">
      <c r="I55" s="113"/>
    </row>
    <row r="56" spans="9:9" x14ac:dyDescent="0.2">
      <c r="I56" s="113"/>
    </row>
    <row r="57" spans="9:9" x14ac:dyDescent="0.2">
      <c r="I57" s="113"/>
    </row>
    <row r="58" spans="9:9" x14ac:dyDescent="0.2">
      <c r="I58" s="113"/>
    </row>
    <row r="59" spans="9:9" x14ac:dyDescent="0.2">
      <c r="I59" s="113"/>
    </row>
    <row r="60" spans="9:9" x14ac:dyDescent="0.2">
      <c r="I60" s="113"/>
    </row>
    <row r="61" spans="9:9" x14ac:dyDescent="0.2">
      <c r="I61" s="113"/>
    </row>
    <row r="62" spans="9:9" x14ac:dyDescent="0.2">
      <c r="I62" s="113"/>
    </row>
    <row r="63" spans="9:9" x14ac:dyDescent="0.2">
      <c r="I63" s="113"/>
    </row>
    <row r="64" spans="9:9" x14ac:dyDescent="0.2">
      <c r="I64" s="113"/>
    </row>
    <row r="65" spans="9:9" x14ac:dyDescent="0.2">
      <c r="I65" s="113"/>
    </row>
    <row r="66" spans="9:9" x14ac:dyDescent="0.2">
      <c r="I66" s="113"/>
    </row>
    <row r="67" spans="9:9" x14ac:dyDescent="0.2">
      <c r="I67" s="113"/>
    </row>
    <row r="68" spans="9:9" x14ac:dyDescent="0.2">
      <c r="I68" s="113"/>
    </row>
    <row r="69" spans="9:9" x14ac:dyDescent="0.2">
      <c r="I69" s="113"/>
    </row>
    <row r="70" spans="9:9" x14ac:dyDescent="0.2">
      <c r="I70" s="113"/>
    </row>
    <row r="71" spans="9:9" x14ac:dyDescent="0.2">
      <c r="I71" s="113"/>
    </row>
    <row r="72" spans="9:9" x14ac:dyDescent="0.2">
      <c r="I72" s="113"/>
    </row>
    <row r="73" spans="9:9" x14ac:dyDescent="0.2">
      <c r="I73" s="113"/>
    </row>
    <row r="74" spans="9:9" x14ac:dyDescent="0.2">
      <c r="I74" s="113"/>
    </row>
    <row r="75" spans="9:9" x14ac:dyDescent="0.2">
      <c r="I75" s="113"/>
    </row>
    <row r="76" spans="9:9" x14ac:dyDescent="0.2">
      <c r="I76" s="113"/>
    </row>
    <row r="77" spans="9:9" x14ac:dyDescent="0.2">
      <c r="I77" s="113"/>
    </row>
    <row r="78" spans="9:9" x14ac:dyDescent="0.2">
      <c r="I78" s="113"/>
    </row>
    <row r="79" spans="9:9" x14ac:dyDescent="0.2">
      <c r="I79" s="113"/>
    </row>
    <row r="80" spans="9:9" x14ac:dyDescent="0.2">
      <c r="I80" s="113"/>
    </row>
    <row r="81" spans="9:9" x14ac:dyDescent="0.2">
      <c r="I81" s="113"/>
    </row>
    <row r="82" spans="9:9" x14ac:dyDescent="0.2">
      <c r="I82" s="113"/>
    </row>
    <row r="83" spans="9:9" x14ac:dyDescent="0.2">
      <c r="I83" s="113"/>
    </row>
    <row r="84" spans="9:9" x14ac:dyDescent="0.2">
      <c r="I84" s="113"/>
    </row>
    <row r="85" spans="9:9" x14ac:dyDescent="0.2">
      <c r="I85" s="113"/>
    </row>
    <row r="86" spans="9:9" x14ac:dyDescent="0.2">
      <c r="I86" s="113"/>
    </row>
    <row r="87" spans="9:9" x14ac:dyDescent="0.2">
      <c r="I87" s="113"/>
    </row>
    <row r="88" spans="9:9" x14ac:dyDescent="0.2">
      <c r="I88" s="113"/>
    </row>
    <row r="89" spans="9:9" x14ac:dyDescent="0.2">
      <c r="I89" s="113"/>
    </row>
    <row r="90" spans="9:9" x14ac:dyDescent="0.2">
      <c r="I90" s="113"/>
    </row>
    <row r="91" spans="9:9" x14ac:dyDescent="0.2">
      <c r="I91" s="113"/>
    </row>
    <row r="92" spans="9:9" x14ac:dyDescent="0.2">
      <c r="I92" s="113"/>
    </row>
    <row r="93" spans="9:9" x14ac:dyDescent="0.2">
      <c r="I93" s="113"/>
    </row>
    <row r="94" spans="9:9" x14ac:dyDescent="0.2">
      <c r="I94" s="113"/>
    </row>
    <row r="95" spans="9:9" x14ac:dyDescent="0.2">
      <c r="I95" s="113"/>
    </row>
    <row r="96" spans="9:9" x14ac:dyDescent="0.2">
      <c r="I96" s="113"/>
    </row>
    <row r="97" spans="9:9" x14ac:dyDescent="0.2">
      <c r="I97" s="113"/>
    </row>
    <row r="98" spans="9:9" x14ac:dyDescent="0.2">
      <c r="I98" s="113"/>
    </row>
    <row r="99" spans="9:9" x14ac:dyDescent="0.2">
      <c r="I99" s="113"/>
    </row>
    <row r="100" spans="9:9" x14ac:dyDescent="0.2">
      <c r="I100" s="113"/>
    </row>
    <row r="101" spans="9:9" x14ac:dyDescent="0.2">
      <c r="I101" s="113"/>
    </row>
    <row r="102" spans="9:9" x14ac:dyDescent="0.2">
      <c r="I102" s="113"/>
    </row>
    <row r="103" spans="9:9" x14ac:dyDescent="0.2">
      <c r="I103" s="113"/>
    </row>
    <row r="104" spans="9:9" x14ac:dyDescent="0.2">
      <c r="I104" s="113"/>
    </row>
    <row r="105" spans="9:9" x14ac:dyDescent="0.2">
      <c r="I105" s="113"/>
    </row>
    <row r="106" spans="9:9" x14ac:dyDescent="0.2">
      <c r="I106" s="113"/>
    </row>
    <row r="107" spans="9:9" x14ac:dyDescent="0.2">
      <c r="I107" s="113"/>
    </row>
    <row r="108" spans="9:9" x14ac:dyDescent="0.2">
      <c r="I108" s="113"/>
    </row>
    <row r="109" spans="9:9" x14ac:dyDescent="0.2">
      <c r="I109" s="113"/>
    </row>
    <row r="110" spans="9:9" x14ac:dyDescent="0.2">
      <c r="I110" s="113"/>
    </row>
    <row r="111" spans="9:9" x14ac:dyDescent="0.2">
      <c r="I111" s="113"/>
    </row>
    <row r="112" spans="9:9" x14ac:dyDescent="0.2">
      <c r="I112" s="113"/>
    </row>
    <row r="113" spans="9:9" x14ac:dyDescent="0.2">
      <c r="I113" s="113"/>
    </row>
    <row r="114" spans="9:9" x14ac:dyDescent="0.2">
      <c r="I114" s="113"/>
    </row>
    <row r="115" spans="9:9" x14ac:dyDescent="0.2">
      <c r="I115" s="113"/>
    </row>
    <row r="116" spans="9:9" x14ac:dyDescent="0.2">
      <c r="I116" s="113"/>
    </row>
    <row r="117" spans="9:9" x14ac:dyDescent="0.2">
      <c r="I117" s="113"/>
    </row>
    <row r="118" spans="9:9" x14ac:dyDescent="0.2">
      <c r="I118" s="113"/>
    </row>
    <row r="119" spans="9:9" x14ac:dyDescent="0.2">
      <c r="I119" s="113"/>
    </row>
    <row r="120" spans="9:9" x14ac:dyDescent="0.2">
      <c r="I120" s="113"/>
    </row>
    <row r="121" spans="9:9" x14ac:dyDescent="0.2">
      <c r="I121" s="113"/>
    </row>
    <row r="122" spans="9:9" x14ac:dyDescent="0.2">
      <c r="I122" s="113"/>
    </row>
    <row r="123" spans="9:9" x14ac:dyDescent="0.2">
      <c r="I123" s="113"/>
    </row>
    <row r="124" spans="9:9" x14ac:dyDescent="0.2">
      <c r="I124" s="113"/>
    </row>
    <row r="125" spans="9:9" x14ac:dyDescent="0.2">
      <c r="I125" s="113"/>
    </row>
    <row r="126" spans="9:9" x14ac:dyDescent="0.2">
      <c r="I126" s="113"/>
    </row>
    <row r="127" spans="9:9" x14ac:dyDescent="0.2">
      <c r="I127" s="113"/>
    </row>
    <row r="128" spans="9:9" x14ac:dyDescent="0.2">
      <c r="I128" s="113"/>
    </row>
    <row r="129" spans="9:9" x14ac:dyDescent="0.2">
      <c r="I129" s="113"/>
    </row>
    <row r="130" spans="9:9" x14ac:dyDescent="0.2">
      <c r="I130" s="113"/>
    </row>
    <row r="131" spans="9:9" x14ac:dyDescent="0.2">
      <c r="I131" s="113"/>
    </row>
    <row r="132" spans="9:9" x14ac:dyDescent="0.2">
      <c r="I132" s="113"/>
    </row>
    <row r="133" spans="9:9" x14ac:dyDescent="0.2">
      <c r="I133" s="113"/>
    </row>
    <row r="134" spans="9:9" x14ac:dyDescent="0.2">
      <c r="I134" s="113"/>
    </row>
    <row r="135" spans="9:9" x14ac:dyDescent="0.2">
      <c r="I135" s="113"/>
    </row>
    <row r="136" spans="9:9" x14ac:dyDescent="0.2">
      <c r="I136" s="113"/>
    </row>
    <row r="137" spans="9:9" x14ac:dyDescent="0.2">
      <c r="I137" s="113"/>
    </row>
    <row r="138" spans="9:9" x14ac:dyDescent="0.2">
      <c r="I138" s="113"/>
    </row>
    <row r="139" spans="9:9" x14ac:dyDescent="0.2">
      <c r="I139" s="113"/>
    </row>
    <row r="140" spans="9:9" x14ac:dyDescent="0.2">
      <c r="I140" s="113"/>
    </row>
    <row r="141" spans="9:9" x14ac:dyDescent="0.2">
      <c r="I141" s="113"/>
    </row>
    <row r="142" spans="9:9" x14ac:dyDescent="0.2">
      <c r="I142" s="113"/>
    </row>
    <row r="143" spans="9:9" x14ac:dyDescent="0.2">
      <c r="I143" s="113"/>
    </row>
    <row r="144" spans="9:9" x14ac:dyDescent="0.2">
      <c r="I144" s="113"/>
    </row>
    <row r="145" spans="9:9" x14ac:dyDescent="0.2">
      <c r="I145" s="113"/>
    </row>
    <row r="146" spans="9:9" x14ac:dyDescent="0.2">
      <c r="I146" s="113"/>
    </row>
    <row r="147" spans="9:9" x14ac:dyDescent="0.2">
      <c r="I147" s="113"/>
    </row>
    <row r="148" spans="9:9" x14ac:dyDescent="0.2">
      <c r="I148" s="113"/>
    </row>
    <row r="149" spans="9:9" x14ac:dyDescent="0.2">
      <c r="I149" s="113"/>
    </row>
    <row r="150" spans="9:9" x14ac:dyDescent="0.2">
      <c r="I150" s="113"/>
    </row>
    <row r="151" spans="9:9" x14ac:dyDescent="0.2">
      <c r="I151" s="113"/>
    </row>
    <row r="152" spans="9:9" x14ac:dyDescent="0.2">
      <c r="I152" s="113"/>
    </row>
    <row r="153" spans="9:9" x14ac:dyDescent="0.2">
      <c r="I153" s="113"/>
    </row>
    <row r="154" spans="9:9" x14ac:dyDescent="0.2">
      <c r="I154" s="113"/>
    </row>
    <row r="155" spans="9:9" x14ac:dyDescent="0.2">
      <c r="I155" s="113"/>
    </row>
    <row r="156" spans="9:9" x14ac:dyDescent="0.2">
      <c r="I156" s="113"/>
    </row>
    <row r="157" spans="9:9" x14ac:dyDescent="0.2">
      <c r="I157" s="113"/>
    </row>
    <row r="158" spans="9:9" x14ac:dyDescent="0.2">
      <c r="I158" s="113"/>
    </row>
    <row r="159" spans="9:9" x14ac:dyDescent="0.2">
      <c r="I159" s="113"/>
    </row>
    <row r="160" spans="9:9" x14ac:dyDescent="0.2">
      <c r="I160" s="113"/>
    </row>
    <row r="161" spans="9:9" x14ac:dyDescent="0.2">
      <c r="I161" s="113"/>
    </row>
    <row r="162" spans="9:9" x14ac:dyDescent="0.2">
      <c r="I162" s="113"/>
    </row>
    <row r="163" spans="9:9" x14ac:dyDescent="0.2">
      <c r="I163" s="113"/>
    </row>
    <row r="164" spans="9:9" x14ac:dyDescent="0.2">
      <c r="I164" s="113"/>
    </row>
    <row r="165" spans="9:9" x14ac:dyDescent="0.2">
      <c r="I165" s="113"/>
    </row>
    <row r="166" spans="9:9" x14ac:dyDescent="0.2">
      <c r="I166" s="113"/>
    </row>
    <row r="167" spans="9:9" x14ac:dyDescent="0.2">
      <c r="I167" s="113"/>
    </row>
    <row r="168" spans="9:9" x14ac:dyDescent="0.2">
      <c r="I168" s="113"/>
    </row>
    <row r="169" spans="9:9" x14ac:dyDescent="0.2">
      <c r="I169" s="113"/>
    </row>
    <row r="170" spans="9:9" x14ac:dyDescent="0.2">
      <c r="I170" s="113"/>
    </row>
    <row r="171" spans="9:9" x14ac:dyDescent="0.2">
      <c r="I171" s="113"/>
    </row>
    <row r="172" spans="9:9" x14ac:dyDescent="0.2">
      <c r="I172" s="113"/>
    </row>
    <row r="173" spans="9:9" x14ac:dyDescent="0.2">
      <c r="I173" s="113"/>
    </row>
    <row r="174" spans="9:9" x14ac:dyDescent="0.2">
      <c r="I174" s="113"/>
    </row>
    <row r="175" spans="9:9" x14ac:dyDescent="0.2">
      <c r="I175" s="113"/>
    </row>
    <row r="176" spans="9:9" x14ac:dyDescent="0.2">
      <c r="I176" s="113"/>
    </row>
    <row r="177" spans="9:9" x14ac:dyDescent="0.2">
      <c r="I177" s="113"/>
    </row>
    <row r="178" spans="9:9" x14ac:dyDescent="0.2">
      <c r="I178" s="113"/>
    </row>
    <row r="179" spans="9:9" x14ac:dyDescent="0.2">
      <c r="I179" s="113"/>
    </row>
    <row r="180" spans="9:9" x14ac:dyDescent="0.2">
      <c r="I180" s="113"/>
    </row>
    <row r="181" spans="9:9" x14ac:dyDescent="0.2">
      <c r="I181" s="113"/>
    </row>
    <row r="182" spans="9:9" x14ac:dyDescent="0.2">
      <c r="I182" s="113"/>
    </row>
    <row r="183" spans="9:9" x14ac:dyDescent="0.2">
      <c r="I183" s="113"/>
    </row>
    <row r="184" spans="9:9" x14ac:dyDescent="0.2">
      <c r="I184" s="113"/>
    </row>
    <row r="185" spans="9:9" x14ac:dyDescent="0.2">
      <c r="I185" s="113"/>
    </row>
    <row r="186" spans="9:9" x14ac:dyDescent="0.2">
      <c r="I186" s="113"/>
    </row>
    <row r="187" spans="9:9" x14ac:dyDescent="0.2">
      <c r="I187" s="113"/>
    </row>
    <row r="188" spans="9:9" x14ac:dyDescent="0.2">
      <c r="I188" s="113"/>
    </row>
    <row r="189" spans="9:9" x14ac:dyDescent="0.2">
      <c r="I189" s="113"/>
    </row>
    <row r="190" spans="9:9" x14ac:dyDescent="0.2">
      <c r="I190" s="113"/>
    </row>
    <row r="191" spans="9:9" x14ac:dyDescent="0.2">
      <c r="I191" s="113"/>
    </row>
    <row r="192" spans="9:9" x14ac:dyDescent="0.2">
      <c r="I192" s="113"/>
    </row>
    <row r="193" spans="9:9" x14ac:dyDescent="0.2">
      <c r="I193" s="113"/>
    </row>
    <row r="194" spans="9:9" x14ac:dyDescent="0.2">
      <c r="I194" s="113"/>
    </row>
    <row r="195" spans="9:9" x14ac:dyDescent="0.2">
      <c r="I195" s="113"/>
    </row>
    <row r="196" spans="9:9" x14ac:dyDescent="0.2">
      <c r="I196" s="113"/>
    </row>
    <row r="197" spans="9:9" x14ac:dyDescent="0.2">
      <c r="I197" s="113"/>
    </row>
    <row r="198" spans="9:9" x14ac:dyDescent="0.2">
      <c r="I198" s="113"/>
    </row>
    <row r="199" spans="9:9" x14ac:dyDescent="0.2">
      <c r="I199" s="113"/>
    </row>
    <row r="200" spans="9:9" x14ac:dyDescent="0.2">
      <c r="I200" s="113"/>
    </row>
    <row r="201" spans="9:9" x14ac:dyDescent="0.2">
      <c r="I201" s="113"/>
    </row>
    <row r="202" spans="9:9" x14ac:dyDescent="0.2">
      <c r="I202" s="113"/>
    </row>
    <row r="203" spans="9:9" x14ac:dyDescent="0.2">
      <c r="I203" s="113"/>
    </row>
    <row r="204" spans="9:9" x14ac:dyDescent="0.2">
      <c r="I204" s="113"/>
    </row>
    <row r="205" spans="9:9" x14ac:dyDescent="0.2">
      <c r="I205" s="113"/>
    </row>
    <row r="206" spans="9:9" x14ac:dyDescent="0.2">
      <c r="I206" s="113"/>
    </row>
    <row r="207" spans="9:9" x14ac:dyDescent="0.2">
      <c r="I207" s="113"/>
    </row>
    <row r="208" spans="9:9" x14ac:dyDescent="0.2">
      <c r="I208" s="113"/>
    </row>
    <row r="209" spans="9:9" x14ac:dyDescent="0.2">
      <c r="I209" s="113"/>
    </row>
    <row r="210" spans="9:9" x14ac:dyDescent="0.2">
      <c r="I210" s="113"/>
    </row>
    <row r="211" spans="9:9" x14ac:dyDescent="0.2">
      <c r="I211" s="113"/>
    </row>
    <row r="212" spans="9:9" x14ac:dyDescent="0.2">
      <c r="I212" s="113"/>
    </row>
    <row r="213" spans="9:9" x14ac:dyDescent="0.2">
      <c r="I213" s="113"/>
    </row>
    <row r="214" spans="9:9" x14ac:dyDescent="0.2">
      <c r="I214" s="113"/>
    </row>
    <row r="215" spans="9:9" x14ac:dyDescent="0.2">
      <c r="I215" s="113"/>
    </row>
    <row r="216" spans="9:9" x14ac:dyDescent="0.2">
      <c r="I216" s="113"/>
    </row>
    <row r="217" spans="9:9" x14ac:dyDescent="0.2">
      <c r="I217" s="113"/>
    </row>
    <row r="218" spans="9:9" x14ac:dyDescent="0.2">
      <c r="I218" s="113"/>
    </row>
    <row r="219" spans="9:9" x14ac:dyDescent="0.2">
      <c r="I219" s="113"/>
    </row>
    <row r="220" spans="9:9" x14ac:dyDescent="0.2">
      <c r="I220" s="113"/>
    </row>
    <row r="221" spans="9:9" x14ac:dyDescent="0.2">
      <c r="I221" s="113"/>
    </row>
    <row r="222" spans="9:9" x14ac:dyDescent="0.2">
      <c r="I222" s="113"/>
    </row>
    <row r="223" spans="9:9" x14ac:dyDescent="0.2">
      <c r="I223" s="113"/>
    </row>
    <row r="224" spans="9:9" x14ac:dyDescent="0.2">
      <c r="I224" s="113"/>
    </row>
    <row r="225" spans="9:9" x14ac:dyDescent="0.2">
      <c r="I225" s="113"/>
    </row>
    <row r="226" spans="9:9" x14ac:dyDescent="0.2">
      <c r="I226" s="113"/>
    </row>
    <row r="227" spans="9:9" x14ac:dyDescent="0.2">
      <c r="I227" s="113"/>
    </row>
    <row r="228" spans="9:9" x14ac:dyDescent="0.2">
      <c r="I228" s="113"/>
    </row>
    <row r="229" spans="9:9" x14ac:dyDescent="0.2">
      <c r="I229" s="113"/>
    </row>
    <row r="230" spans="9:9" x14ac:dyDescent="0.2">
      <c r="I230" s="113"/>
    </row>
    <row r="231" spans="9:9" x14ac:dyDescent="0.2">
      <c r="I231" s="113"/>
    </row>
    <row r="232" spans="9:9" x14ac:dyDescent="0.2">
      <c r="I232" s="113"/>
    </row>
    <row r="233" spans="9:9" x14ac:dyDescent="0.2">
      <c r="I233" s="113"/>
    </row>
    <row r="234" spans="9:9" x14ac:dyDescent="0.2">
      <c r="I234" s="113"/>
    </row>
    <row r="235" spans="9:9" x14ac:dyDescent="0.2">
      <c r="I235" s="113"/>
    </row>
    <row r="236" spans="9:9" x14ac:dyDescent="0.2">
      <c r="I236" s="113"/>
    </row>
    <row r="237" spans="9:9" x14ac:dyDescent="0.2">
      <c r="I237" s="113"/>
    </row>
    <row r="238" spans="9:9" x14ac:dyDescent="0.2">
      <c r="I238" s="113"/>
    </row>
    <row r="239" spans="9:9" x14ac:dyDescent="0.2">
      <c r="I239" s="113"/>
    </row>
    <row r="240" spans="9:9" x14ac:dyDescent="0.2">
      <c r="I240" s="113"/>
    </row>
    <row r="241" spans="9:9" x14ac:dyDescent="0.2">
      <c r="I241" s="113"/>
    </row>
    <row r="242" spans="9:9" x14ac:dyDescent="0.2">
      <c r="I242" s="113"/>
    </row>
    <row r="243" spans="9:9" x14ac:dyDescent="0.2">
      <c r="I243" s="113"/>
    </row>
    <row r="244" spans="9:9" x14ac:dyDescent="0.2">
      <c r="I244" s="113"/>
    </row>
    <row r="245" spans="9:9" x14ac:dyDescent="0.2">
      <c r="I245" s="113"/>
    </row>
    <row r="246" spans="9:9" x14ac:dyDescent="0.2">
      <c r="I246" s="113"/>
    </row>
    <row r="247" spans="9:9" x14ac:dyDescent="0.2">
      <c r="I247" s="113"/>
    </row>
    <row r="248" spans="9:9" x14ac:dyDescent="0.2">
      <c r="I248" s="113"/>
    </row>
    <row r="249" spans="9:9" x14ac:dyDescent="0.2">
      <c r="I249" s="113"/>
    </row>
    <row r="250" spans="9:9" x14ac:dyDescent="0.2">
      <c r="I250" s="113"/>
    </row>
    <row r="251" spans="9:9" x14ac:dyDescent="0.2">
      <c r="I251" s="113"/>
    </row>
    <row r="252" spans="9:9" x14ac:dyDescent="0.2">
      <c r="I252" s="113"/>
    </row>
    <row r="253" spans="9:9" x14ac:dyDescent="0.2">
      <c r="I253" s="113"/>
    </row>
    <row r="254" spans="9:9" x14ac:dyDescent="0.2">
      <c r="I254" s="113"/>
    </row>
    <row r="255" spans="9:9" x14ac:dyDescent="0.2">
      <c r="I255" s="113"/>
    </row>
    <row r="256" spans="9:9" x14ac:dyDescent="0.2">
      <c r="I256" s="113"/>
    </row>
    <row r="257" spans="9:9" x14ac:dyDescent="0.2">
      <c r="I257" s="113"/>
    </row>
    <row r="258" spans="9:9" x14ac:dyDescent="0.2">
      <c r="I258" s="113"/>
    </row>
    <row r="259" spans="9:9" x14ac:dyDescent="0.2">
      <c r="I259" s="113"/>
    </row>
    <row r="260" spans="9:9" x14ac:dyDescent="0.2">
      <c r="I260" s="113"/>
    </row>
    <row r="261" spans="9:9" x14ac:dyDescent="0.2">
      <c r="I261" s="113"/>
    </row>
    <row r="262" spans="9:9" x14ac:dyDescent="0.2">
      <c r="I262" s="113"/>
    </row>
    <row r="263" spans="9:9" x14ac:dyDescent="0.2">
      <c r="I263" s="113"/>
    </row>
    <row r="264" spans="9:9" x14ac:dyDescent="0.2">
      <c r="I264" s="113"/>
    </row>
    <row r="265" spans="9:9" x14ac:dyDescent="0.2">
      <c r="I265" s="113"/>
    </row>
    <row r="266" spans="9:9" x14ac:dyDescent="0.2">
      <c r="I266" s="113"/>
    </row>
    <row r="267" spans="9:9" x14ac:dyDescent="0.2">
      <c r="I267" s="113"/>
    </row>
    <row r="268" spans="9:9" x14ac:dyDescent="0.2">
      <c r="I268" s="113"/>
    </row>
    <row r="269" spans="9:9" x14ac:dyDescent="0.2">
      <c r="I269" s="113"/>
    </row>
    <row r="270" spans="9:9" x14ac:dyDescent="0.2">
      <c r="I270" s="113"/>
    </row>
    <row r="271" spans="9:9" x14ac:dyDescent="0.2">
      <c r="I271" s="113"/>
    </row>
    <row r="272" spans="9:9" x14ac:dyDescent="0.2">
      <c r="I272" s="113"/>
    </row>
    <row r="273" spans="9:9" x14ac:dyDescent="0.2">
      <c r="I273" s="113"/>
    </row>
    <row r="274" spans="9:9" x14ac:dyDescent="0.2">
      <c r="I274" s="113"/>
    </row>
    <row r="275" spans="9:9" x14ac:dyDescent="0.2">
      <c r="I275" s="113"/>
    </row>
    <row r="276" spans="9:9" x14ac:dyDescent="0.2">
      <c r="I276" s="113"/>
    </row>
    <row r="277" spans="9:9" x14ac:dyDescent="0.2">
      <c r="I277" s="113"/>
    </row>
    <row r="278" spans="9:9" x14ac:dyDescent="0.2">
      <c r="I278" s="113"/>
    </row>
    <row r="279" spans="9:9" x14ac:dyDescent="0.2">
      <c r="I279" s="113"/>
    </row>
    <row r="280" spans="9:9" x14ac:dyDescent="0.2">
      <c r="I280" s="113"/>
    </row>
    <row r="281" spans="9:9" x14ac:dyDescent="0.2">
      <c r="I281" s="113"/>
    </row>
    <row r="282" spans="9:9" x14ac:dyDescent="0.2">
      <c r="I282" s="113"/>
    </row>
    <row r="283" spans="9:9" x14ac:dyDescent="0.2">
      <c r="I283" s="113"/>
    </row>
    <row r="284" spans="9:9" x14ac:dyDescent="0.2">
      <c r="I284" s="113"/>
    </row>
    <row r="285" spans="9:9" x14ac:dyDescent="0.2">
      <c r="I285" s="113"/>
    </row>
    <row r="286" spans="9:9" x14ac:dyDescent="0.2">
      <c r="I286" s="113"/>
    </row>
    <row r="287" spans="9:9" x14ac:dyDescent="0.2">
      <c r="I287" s="113"/>
    </row>
    <row r="288" spans="9:9" x14ac:dyDescent="0.2">
      <c r="I288" s="113"/>
    </row>
    <row r="289" spans="9:9" x14ac:dyDescent="0.2">
      <c r="I289" s="113"/>
    </row>
    <row r="290" spans="9:9" x14ac:dyDescent="0.2">
      <c r="I290" s="113"/>
    </row>
    <row r="291" spans="9:9" x14ac:dyDescent="0.2">
      <c r="I291" s="113"/>
    </row>
    <row r="292" spans="9:9" x14ac:dyDescent="0.2">
      <c r="I292" s="113"/>
    </row>
    <row r="293" spans="9:9" x14ac:dyDescent="0.2">
      <c r="I293" s="113"/>
    </row>
    <row r="294" spans="9:9" x14ac:dyDescent="0.2">
      <c r="I294" s="113"/>
    </row>
    <row r="295" spans="9:9" x14ac:dyDescent="0.2">
      <c r="I295" s="113"/>
    </row>
    <row r="296" spans="9:9" x14ac:dyDescent="0.2">
      <c r="I296" s="113"/>
    </row>
    <row r="297" spans="9:9" x14ac:dyDescent="0.2">
      <c r="I297" s="113"/>
    </row>
    <row r="298" spans="9:9" x14ac:dyDescent="0.2">
      <c r="I298" s="113"/>
    </row>
    <row r="299" spans="9:9" x14ac:dyDescent="0.2">
      <c r="I299" s="113"/>
    </row>
    <row r="300" spans="9:9" x14ac:dyDescent="0.2">
      <c r="I300" s="113"/>
    </row>
    <row r="301" spans="9:9" x14ac:dyDescent="0.2">
      <c r="I301" s="113"/>
    </row>
    <row r="302" spans="9:9" x14ac:dyDescent="0.2">
      <c r="I302" s="113"/>
    </row>
    <row r="303" spans="9:9" x14ac:dyDescent="0.2">
      <c r="I303" s="113"/>
    </row>
    <row r="304" spans="9:9" x14ac:dyDescent="0.2">
      <c r="I304" s="113"/>
    </row>
    <row r="305" spans="9:9" x14ac:dyDescent="0.2">
      <c r="I305" s="113"/>
    </row>
    <row r="306" spans="9:9" x14ac:dyDescent="0.2">
      <c r="I306" s="113"/>
    </row>
    <row r="307" spans="9:9" x14ac:dyDescent="0.2">
      <c r="I307" s="113"/>
    </row>
    <row r="308" spans="9:9" x14ac:dyDescent="0.2">
      <c r="I308" s="113"/>
    </row>
    <row r="309" spans="9:9" x14ac:dyDescent="0.2">
      <c r="I309" s="113"/>
    </row>
    <row r="310" spans="9:9" x14ac:dyDescent="0.2">
      <c r="I310" s="113"/>
    </row>
    <row r="311" spans="9:9" x14ac:dyDescent="0.2">
      <c r="I311" s="113"/>
    </row>
    <row r="312" spans="9:9" x14ac:dyDescent="0.2">
      <c r="I312" s="113"/>
    </row>
    <row r="313" spans="9:9" x14ac:dyDescent="0.2">
      <c r="I313" s="113"/>
    </row>
    <row r="314" spans="9:9" x14ac:dyDescent="0.2">
      <c r="I314" s="113"/>
    </row>
    <row r="315" spans="9:9" x14ac:dyDescent="0.2">
      <c r="I315" s="113"/>
    </row>
    <row r="316" spans="9:9" x14ac:dyDescent="0.2">
      <c r="I316" s="113"/>
    </row>
    <row r="317" spans="9:9" x14ac:dyDescent="0.2">
      <c r="I317" s="113"/>
    </row>
    <row r="318" spans="9:9" x14ac:dyDescent="0.2">
      <c r="I318" s="113"/>
    </row>
    <row r="319" spans="9:9" x14ac:dyDescent="0.2">
      <c r="I319" s="113"/>
    </row>
    <row r="320" spans="9:9" x14ac:dyDescent="0.2">
      <c r="I320" s="113"/>
    </row>
    <row r="321" spans="9:9" x14ac:dyDescent="0.2">
      <c r="I321" s="113"/>
    </row>
    <row r="322" spans="9:9" x14ac:dyDescent="0.2">
      <c r="I322" s="113"/>
    </row>
    <row r="323" spans="9:9" x14ac:dyDescent="0.2">
      <c r="I323" s="113"/>
    </row>
    <row r="324" spans="9:9" x14ac:dyDescent="0.2">
      <c r="I324" s="113"/>
    </row>
    <row r="325" spans="9:9" x14ac:dyDescent="0.2">
      <c r="I325" s="113"/>
    </row>
    <row r="326" spans="9:9" x14ac:dyDescent="0.2">
      <c r="I326" s="113"/>
    </row>
    <row r="327" spans="9:9" x14ac:dyDescent="0.2">
      <c r="I327" s="113"/>
    </row>
    <row r="328" spans="9:9" x14ac:dyDescent="0.2">
      <c r="I328" s="113"/>
    </row>
    <row r="329" spans="9:9" x14ac:dyDescent="0.2">
      <c r="I329" s="113"/>
    </row>
    <row r="330" spans="9:9" x14ac:dyDescent="0.2">
      <c r="I330" s="113"/>
    </row>
    <row r="331" spans="9:9" x14ac:dyDescent="0.2">
      <c r="I331" s="113"/>
    </row>
    <row r="332" spans="9:9" x14ac:dyDescent="0.2">
      <c r="I332" s="113"/>
    </row>
    <row r="333" spans="9:9" x14ac:dyDescent="0.2">
      <c r="I333" s="113"/>
    </row>
    <row r="334" spans="9:9" x14ac:dyDescent="0.2">
      <c r="I334" s="113"/>
    </row>
    <row r="335" spans="9:9" x14ac:dyDescent="0.2">
      <c r="I335" s="113"/>
    </row>
    <row r="336" spans="9:9" x14ac:dyDescent="0.2">
      <c r="I336" s="113"/>
    </row>
    <row r="337" spans="9:9" x14ac:dyDescent="0.2">
      <c r="I337" s="113"/>
    </row>
    <row r="338" spans="9:9" x14ac:dyDescent="0.2">
      <c r="I338" s="113"/>
    </row>
    <row r="339" spans="9:9" x14ac:dyDescent="0.2">
      <c r="I339" s="113"/>
    </row>
    <row r="340" spans="9:9" x14ac:dyDescent="0.2">
      <c r="I340" s="113"/>
    </row>
    <row r="341" spans="9:9" x14ac:dyDescent="0.2">
      <c r="I341" s="113"/>
    </row>
    <row r="342" spans="9:9" x14ac:dyDescent="0.2">
      <c r="I342" s="113"/>
    </row>
    <row r="343" spans="9:9" x14ac:dyDescent="0.2">
      <c r="I343" s="113"/>
    </row>
    <row r="344" spans="9:9" x14ac:dyDescent="0.2">
      <c r="I344" s="113"/>
    </row>
    <row r="345" spans="9:9" x14ac:dyDescent="0.2">
      <c r="I345" s="113"/>
    </row>
    <row r="346" spans="9:9" x14ac:dyDescent="0.2">
      <c r="I346" s="113"/>
    </row>
    <row r="347" spans="9:9" x14ac:dyDescent="0.2">
      <c r="I347" s="113"/>
    </row>
    <row r="348" spans="9:9" x14ac:dyDescent="0.2">
      <c r="I348" s="113"/>
    </row>
    <row r="349" spans="9:9" x14ac:dyDescent="0.2">
      <c r="I349" s="113"/>
    </row>
    <row r="350" spans="9:9" x14ac:dyDescent="0.2">
      <c r="I350" s="113"/>
    </row>
    <row r="351" spans="9:9" x14ac:dyDescent="0.2">
      <c r="I351" s="113"/>
    </row>
    <row r="352" spans="9:9" x14ac:dyDescent="0.2">
      <c r="I352" s="113"/>
    </row>
    <row r="353" spans="9:9" x14ac:dyDescent="0.2">
      <c r="I353" s="113"/>
    </row>
    <row r="354" spans="9:9" x14ac:dyDescent="0.2">
      <c r="I354" s="113"/>
    </row>
    <row r="355" spans="9:9" x14ac:dyDescent="0.2">
      <c r="I355" s="113"/>
    </row>
    <row r="356" spans="9:9" x14ac:dyDescent="0.2">
      <c r="I356" s="113"/>
    </row>
    <row r="357" spans="9:9" x14ac:dyDescent="0.2">
      <c r="I357" s="113"/>
    </row>
    <row r="358" spans="9:9" x14ac:dyDescent="0.2">
      <c r="I358" s="113"/>
    </row>
    <row r="359" spans="9:9" x14ac:dyDescent="0.2">
      <c r="I359" s="113"/>
    </row>
    <row r="360" spans="9:9" x14ac:dyDescent="0.2">
      <c r="I360" s="113"/>
    </row>
    <row r="361" spans="9:9" x14ac:dyDescent="0.2">
      <c r="I361" s="113"/>
    </row>
    <row r="362" spans="9:9" x14ac:dyDescent="0.2">
      <c r="I362" s="113"/>
    </row>
    <row r="363" spans="9:9" x14ac:dyDescent="0.2">
      <c r="I363" s="113"/>
    </row>
    <row r="364" spans="9:9" x14ac:dyDescent="0.2">
      <c r="I364" s="113"/>
    </row>
    <row r="365" spans="9:9" x14ac:dyDescent="0.2">
      <c r="I365" s="113"/>
    </row>
    <row r="366" spans="9:9" x14ac:dyDescent="0.2">
      <c r="I366" s="113"/>
    </row>
    <row r="367" spans="9:9" x14ac:dyDescent="0.2">
      <c r="I367" s="113"/>
    </row>
    <row r="368" spans="9:9" x14ac:dyDescent="0.2">
      <c r="I368" s="113"/>
    </row>
    <row r="369" spans="9:9" x14ac:dyDescent="0.2">
      <c r="I369" s="113"/>
    </row>
    <row r="370" spans="9:9" x14ac:dyDescent="0.2">
      <c r="I370" s="113"/>
    </row>
    <row r="371" spans="9:9" x14ac:dyDescent="0.2">
      <c r="I371" s="113"/>
    </row>
    <row r="372" spans="9:9" x14ac:dyDescent="0.2">
      <c r="I372" s="113"/>
    </row>
    <row r="373" spans="9:9" x14ac:dyDescent="0.2">
      <c r="I373" s="113"/>
    </row>
    <row r="374" spans="9:9" x14ac:dyDescent="0.2">
      <c r="I374" s="113"/>
    </row>
    <row r="375" spans="9:9" x14ac:dyDescent="0.2">
      <c r="I375" s="113"/>
    </row>
    <row r="376" spans="9:9" x14ac:dyDescent="0.2">
      <c r="I376" s="113"/>
    </row>
    <row r="377" spans="9:9" x14ac:dyDescent="0.2">
      <c r="I377" s="113"/>
    </row>
    <row r="378" spans="9:9" x14ac:dyDescent="0.2">
      <c r="I378" s="113"/>
    </row>
    <row r="379" spans="9:9" x14ac:dyDescent="0.2">
      <c r="I379" s="113"/>
    </row>
    <row r="380" spans="9:9" x14ac:dyDescent="0.2">
      <c r="I380" s="113"/>
    </row>
    <row r="381" spans="9:9" x14ac:dyDescent="0.2">
      <c r="I381" s="113"/>
    </row>
    <row r="382" spans="9:9" x14ac:dyDescent="0.2">
      <c r="I382" s="113"/>
    </row>
    <row r="383" spans="9:9" x14ac:dyDescent="0.2">
      <c r="I383" s="113"/>
    </row>
    <row r="384" spans="9:9" x14ac:dyDescent="0.2">
      <c r="I384" s="113"/>
    </row>
    <row r="385" spans="9:9" x14ac:dyDescent="0.2">
      <c r="I385" s="113"/>
    </row>
    <row r="386" spans="9:9" x14ac:dyDescent="0.2">
      <c r="I386" s="113"/>
    </row>
    <row r="387" spans="9:9" x14ac:dyDescent="0.2">
      <c r="I387" s="113"/>
    </row>
    <row r="388" spans="9:9" x14ac:dyDescent="0.2">
      <c r="I388" s="113"/>
    </row>
    <row r="389" spans="9:9" x14ac:dyDescent="0.2">
      <c r="I389" s="113"/>
    </row>
    <row r="390" spans="9:9" x14ac:dyDescent="0.2">
      <c r="I390" s="113"/>
    </row>
    <row r="391" spans="9:9" x14ac:dyDescent="0.2">
      <c r="I391" s="113"/>
    </row>
    <row r="392" spans="9:9" x14ac:dyDescent="0.2">
      <c r="I392" s="113"/>
    </row>
    <row r="393" spans="9:9" x14ac:dyDescent="0.2">
      <c r="I393" s="113"/>
    </row>
    <row r="394" spans="9:9" x14ac:dyDescent="0.2">
      <c r="I394" s="113"/>
    </row>
    <row r="395" spans="9:9" x14ac:dyDescent="0.2">
      <c r="I395" s="113"/>
    </row>
    <row r="396" spans="9:9" x14ac:dyDescent="0.2">
      <c r="I396" s="113"/>
    </row>
    <row r="397" spans="9:9" x14ac:dyDescent="0.2">
      <c r="I397" s="113"/>
    </row>
    <row r="398" spans="9:9" x14ac:dyDescent="0.2">
      <c r="I398" s="113"/>
    </row>
    <row r="399" spans="9:9" x14ac:dyDescent="0.2">
      <c r="I399" s="113"/>
    </row>
    <row r="400" spans="9:9" x14ac:dyDescent="0.2">
      <c r="I400" s="113"/>
    </row>
    <row r="401" spans="9:9" x14ac:dyDescent="0.2">
      <c r="I401" s="113"/>
    </row>
    <row r="402" spans="9:9" x14ac:dyDescent="0.2">
      <c r="I402" s="113"/>
    </row>
    <row r="403" spans="9:9" x14ac:dyDescent="0.2">
      <c r="I403" s="113"/>
    </row>
    <row r="404" spans="9:9" x14ac:dyDescent="0.2">
      <c r="I404" s="113"/>
    </row>
    <row r="405" spans="9:9" x14ac:dyDescent="0.2">
      <c r="I405" s="113"/>
    </row>
    <row r="406" spans="9:9" x14ac:dyDescent="0.2">
      <c r="I406" s="113"/>
    </row>
    <row r="407" spans="9:9" x14ac:dyDescent="0.2">
      <c r="I407" s="113"/>
    </row>
    <row r="408" spans="9:9" x14ac:dyDescent="0.2">
      <c r="I408" s="113"/>
    </row>
    <row r="409" spans="9:9" x14ac:dyDescent="0.2">
      <c r="I409" s="113"/>
    </row>
    <row r="410" spans="9:9" x14ac:dyDescent="0.2">
      <c r="I410" s="113"/>
    </row>
    <row r="411" spans="9:9" x14ac:dyDescent="0.2">
      <c r="I411" s="113"/>
    </row>
    <row r="412" spans="9:9" x14ac:dyDescent="0.2">
      <c r="I412" s="113"/>
    </row>
    <row r="413" spans="9:9" x14ac:dyDescent="0.2">
      <c r="I413" s="113"/>
    </row>
    <row r="414" spans="9:9" x14ac:dyDescent="0.2">
      <c r="I414" s="113"/>
    </row>
    <row r="415" spans="9:9" x14ac:dyDescent="0.2">
      <c r="I415" s="113"/>
    </row>
    <row r="416" spans="9:9" x14ac:dyDescent="0.2">
      <c r="I416" s="113"/>
    </row>
    <row r="417" spans="9:9" x14ac:dyDescent="0.2">
      <c r="I417" s="113"/>
    </row>
    <row r="418" spans="9:9" x14ac:dyDescent="0.2">
      <c r="I418" s="113"/>
    </row>
    <row r="419" spans="9:9" x14ac:dyDescent="0.2">
      <c r="I419" s="113"/>
    </row>
    <row r="420" spans="9:9" x14ac:dyDescent="0.2">
      <c r="I420" s="113"/>
    </row>
    <row r="421" spans="9:9" x14ac:dyDescent="0.2">
      <c r="I421" s="113"/>
    </row>
    <row r="422" spans="9:9" x14ac:dyDescent="0.2">
      <c r="I422" s="113"/>
    </row>
    <row r="423" spans="9:9" x14ac:dyDescent="0.2">
      <c r="I423" s="113"/>
    </row>
    <row r="424" spans="9:9" x14ac:dyDescent="0.2">
      <c r="I424" s="113"/>
    </row>
    <row r="425" spans="9:9" x14ac:dyDescent="0.2">
      <c r="I425" s="113"/>
    </row>
    <row r="426" spans="9:9" x14ac:dyDescent="0.2">
      <c r="I426" s="113"/>
    </row>
    <row r="427" spans="9:9" x14ac:dyDescent="0.2">
      <c r="I427" s="113"/>
    </row>
    <row r="428" spans="9:9" x14ac:dyDescent="0.2">
      <c r="I428" s="113"/>
    </row>
    <row r="429" spans="9:9" x14ac:dyDescent="0.2">
      <c r="I429" s="113"/>
    </row>
    <row r="430" spans="9:9" x14ac:dyDescent="0.2">
      <c r="I430" s="113"/>
    </row>
    <row r="431" spans="9:9" x14ac:dyDescent="0.2">
      <c r="I431" s="113"/>
    </row>
    <row r="432" spans="9:9" x14ac:dyDescent="0.2">
      <c r="I432" s="113"/>
    </row>
    <row r="433" spans="9:9" x14ac:dyDescent="0.2">
      <c r="I433" s="113"/>
    </row>
    <row r="434" spans="9:9" x14ac:dyDescent="0.2">
      <c r="I434" s="113"/>
    </row>
    <row r="435" spans="9:9" x14ac:dyDescent="0.2">
      <c r="I435" s="113"/>
    </row>
    <row r="436" spans="9:9" x14ac:dyDescent="0.2">
      <c r="I436" s="113"/>
    </row>
    <row r="437" spans="9:9" x14ac:dyDescent="0.2">
      <c r="I437" s="113"/>
    </row>
    <row r="438" spans="9:9" x14ac:dyDescent="0.2">
      <c r="I438" s="113"/>
    </row>
    <row r="439" spans="9:9" x14ac:dyDescent="0.2">
      <c r="I439" s="113"/>
    </row>
    <row r="440" spans="9:9" x14ac:dyDescent="0.2">
      <c r="I440" s="113"/>
    </row>
    <row r="441" spans="9:9" x14ac:dyDescent="0.2">
      <c r="I441" s="113"/>
    </row>
    <row r="442" spans="9:9" x14ac:dyDescent="0.2">
      <c r="I442" s="113"/>
    </row>
    <row r="443" spans="9:9" x14ac:dyDescent="0.2">
      <c r="I443" s="113"/>
    </row>
    <row r="444" spans="9:9" x14ac:dyDescent="0.2">
      <c r="I444" s="113"/>
    </row>
    <row r="445" spans="9:9" x14ac:dyDescent="0.2">
      <c r="I445" s="113"/>
    </row>
    <row r="446" spans="9:9" x14ac:dyDescent="0.2">
      <c r="I446" s="113"/>
    </row>
    <row r="447" spans="9:9" x14ac:dyDescent="0.2">
      <c r="I447" s="113"/>
    </row>
    <row r="448" spans="9:9" x14ac:dyDescent="0.2">
      <c r="I448" s="113"/>
    </row>
    <row r="449" spans="9:9" x14ac:dyDescent="0.2">
      <c r="I449" s="113"/>
    </row>
    <row r="450" spans="9:9" x14ac:dyDescent="0.2">
      <c r="I450" s="113"/>
    </row>
    <row r="451" spans="9:9" x14ac:dyDescent="0.2">
      <c r="I451" s="113"/>
    </row>
    <row r="452" spans="9:9" x14ac:dyDescent="0.2">
      <c r="I452" s="113"/>
    </row>
    <row r="453" spans="9:9" x14ac:dyDescent="0.2">
      <c r="I453" s="113"/>
    </row>
    <row r="454" spans="9:9" x14ac:dyDescent="0.2">
      <c r="I454" s="113"/>
    </row>
    <row r="455" spans="9:9" x14ac:dyDescent="0.2">
      <c r="I455" s="113"/>
    </row>
    <row r="456" spans="9:9" x14ac:dyDescent="0.2">
      <c r="I456" s="113"/>
    </row>
    <row r="457" spans="9:9" x14ac:dyDescent="0.2">
      <c r="I457" s="113"/>
    </row>
    <row r="458" spans="9:9" x14ac:dyDescent="0.2">
      <c r="I458" s="113"/>
    </row>
    <row r="459" spans="9:9" x14ac:dyDescent="0.2">
      <c r="I459" s="113"/>
    </row>
    <row r="460" spans="9:9" x14ac:dyDescent="0.2">
      <c r="I460" s="113"/>
    </row>
    <row r="461" spans="9:9" x14ac:dyDescent="0.2">
      <c r="I461" s="113"/>
    </row>
    <row r="462" spans="9:9" x14ac:dyDescent="0.2">
      <c r="I462" s="113"/>
    </row>
    <row r="463" spans="9:9" x14ac:dyDescent="0.2">
      <c r="I463" s="113"/>
    </row>
    <row r="464" spans="9:9" x14ac:dyDescent="0.2">
      <c r="I464" s="113"/>
    </row>
    <row r="465" spans="9:9" x14ac:dyDescent="0.2">
      <c r="I465" s="113"/>
    </row>
    <row r="466" spans="9:9" x14ac:dyDescent="0.2">
      <c r="I466" s="113"/>
    </row>
    <row r="467" spans="9:9" x14ac:dyDescent="0.2">
      <c r="I467" s="113"/>
    </row>
    <row r="468" spans="9:9" x14ac:dyDescent="0.2">
      <c r="I468" s="113"/>
    </row>
    <row r="469" spans="9:9" x14ac:dyDescent="0.2">
      <c r="I469" s="113"/>
    </row>
    <row r="470" spans="9:9" x14ac:dyDescent="0.2">
      <c r="I470" s="113"/>
    </row>
    <row r="471" spans="9:9" x14ac:dyDescent="0.2">
      <c r="I471" s="113"/>
    </row>
    <row r="472" spans="9:9" x14ac:dyDescent="0.2">
      <c r="I472" s="113"/>
    </row>
    <row r="473" spans="9:9" x14ac:dyDescent="0.2">
      <c r="I473" s="113"/>
    </row>
    <row r="474" spans="9:9" x14ac:dyDescent="0.2">
      <c r="I474" s="113"/>
    </row>
    <row r="475" spans="9:9" x14ac:dyDescent="0.2">
      <c r="I475" s="113"/>
    </row>
    <row r="476" spans="9:9" x14ac:dyDescent="0.2">
      <c r="I476" s="113"/>
    </row>
    <row r="477" spans="9:9" x14ac:dyDescent="0.2">
      <c r="I477" s="113"/>
    </row>
    <row r="478" spans="9:9" x14ac:dyDescent="0.2">
      <c r="I478" s="113"/>
    </row>
    <row r="479" spans="9:9" x14ac:dyDescent="0.2">
      <c r="I479" s="113"/>
    </row>
    <row r="480" spans="9:9" x14ac:dyDescent="0.2">
      <c r="I480" s="113"/>
    </row>
    <row r="481" spans="9:9" x14ac:dyDescent="0.2">
      <c r="I481" s="113"/>
    </row>
    <row r="482" spans="9:9" x14ac:dyDescent="0.2">
      <c r="I482" s="113"/>
    </row>
    <row r="483" spans="9:9" x14ac:dyDescent="0.2">
      <c r="I483" s="113"/>
    </row>
    <row r="484" spans="9:9" x14ac:dyDescent="0.2">
      <c r="I484" s="113"/>
    </row>
    <row r="485" spans="9:9" x14ac:dyDescent="0.2">
      <c r="I485" s="113"/>
    </row>
    <row r="486" spans="9:9" x14ac:dyDescent="0.2">
      <c r="I486" s="113"/>
    </row>
    <row r="487" spans="9:9" x14ac:dyDescent="0.2">
      <c r="I487" s="113"/>
    </row>
    <row r="488" spans="9:9" x14ac:dyDescent="0.2">
      <c r="I488" s="113"/>
    </row>
    <row r="489" spans="9:9" x14ac:dyDescent="0.2">
      <c r="I489" s="113"/>
    </row>
    <row r="490" spans="9:9" x14ac:dyDescent="0.2">
      <c r="I490" s="113"/>
    </row>
    <row r="491" spans="9:9" x14ac:dyDescent="0.2">
      <c r="I491" s="113"/>
    </row>
    <row r="492" spans="9:9" x14ac:dyDescent="0.2">
      <c r="I492" s="113"/>
    </row>
    <row r="493" spans="9:9" x14ac:dyDescent="0.2">
      <c r="I493" s="113"/>
    </row>
    <row r="494" spans="9:9" x14ac:dyDescent="0.2">
      <c r="I494" s="113"/>
    </row>
    <row r="495" spans="9:9" x14ac:dyDescent="0.2">
      <c r="I495" s="113"/>
    </row>
    <row r="496" spans="9:9" x14ac:dyDescent="0.2">
      <c r="I496" s="113"/>
    </row>
    <row r="497" spans="9:9" x14ac:dyDescent="0.2">
      <c r="I497" s="113"/>
    </row>
    <row r="498" spans="9:9" x14ac:dyDescent="0.2">
      <c r="I498" s="113"/>
    </row>
    <row r="499" spans="9:9" x14ac:dyDescent="0.2">
      <c r="I499" s="113"/>
    </row>
    <row r="500" spans="9:9" x14ac:dyDescent="0.2">
      <c r="I500" s="113"/>
    </row>
    <row r="501" spans="9:9" x14ac:dyDescent="0.2">
      <c r="I501" s="113"/>
    </row>
    <row r="502" spans="9:9" x14ac:dyDescent="0.2">
      <c r="I502" s="113"/>
    </row>
    <row r="503" spans="9:9" x14ac:dyDescent="0.2">
      <c r="I503" s="113"/>
    </row>
    <row r="504" spans="9:9" x14ac:dyDescent="0.2">
      <c r="I504" s="113"/>
    </row>
    <row r="505" spans="9:9" x14ac:dyDescent="0.2">
      <c r="I505" s="113"/>
    </row>
    <row r="506" spans="9:9" x14ac:dyDescent="0.2">
      <c r="I506" s="113"/>
    </row>
    <row r="507" spans="9:9" x14ac:dyDescent="0.2">
      <c r="I507" s="113"/>
    </row>
    <row r="508" spans="9:9" x14ac:dyDescent="0.2">
      <c r="I508" s="113"/>
    </row>
    <row r="509" spans="9:9" x14ac:dyDescent="0.2">
      <c r="I509" s="113"/>
    </row>
    <row r="510" spans="9:9" x14ac:dyDescent="0.2">
      <c r="I510" s="113"/>
    </row>
    <row r="511" spans="9:9" x14ac:dyDescent="0.2">
      <c r="I511" s="113"/>
    </row>
    <row r="512" spans="9:9" x14ac:dyDescent="0.2">
      <c r="I512" s="113"/>
    </row>
    <row r="513" spans="9:9" x14ac:dyDescent="0.2">
      <c r="I513" s="113"/>
    </row>
    <row r="514" spans="9:9" x14ac:dyDescent="0.2">
      <c r="I514" s="113"/>
    </row>
    <row r="515" spans="9:9" x14ac:dyDescent="0.2">
      <c r="I515" s="113"/>
    </row>
    <row r="516" spans="9:9" x14ac:dyDescent="0.2">
      <c r="I516" s="113"/>
    </row>
    <row r="517" spans="9:9" x14ac:dyDescent="0.2">
      <c r="I517" s="113"/>
    </row>
    <row r="518" spans="9:9" x14ac:dyDescent="0.2">
      <c r="I518" s="113"/>
    </row>
    <row r="519" spans="9:9" x14ac:dyDescent="0.2">
      <c r="I519" s="113"/>
    </row>
    <row r="520" spans="9:9" x14ac:dyDescent="0.2">
      <c r="I520" s="113"/>
    </row>
    <row r="521" spans="9:9" x14ac:dyDescent="0.2">
      <c r="I521" s="113"/>
    </row>
    <row r="522" spans="9:9" x14ac:dyDescent="0.2">
      <c r="I522" s="113"/>
    </row>
    <row r="523" spans="9:9" x14ac:dyDescent="0.2">
      <c r="I523" s="113"/>
    </row>
    <row r="524" spans="9:9" x14ac:dyDescent="0.2">
      <c r="I524" s="113"/>
    </row>
    <row r="525" spans="9:9" x14ac:dyDescent="0.2">
      <c r="I525" s="113"/>
    </row>
    <row r="526" spans="9:9" x14ac:dyDescent="0.2">
      <c r="I526" s="113"/>
    </row>
    <row r="527" spans="9:9" x14ac:dyDescent="0.2">
      <c r="I527" s="113"/>
    </row>
    <row r="528" spans="9:9" x14ac:dyDescent="0.2">
      <c r="I528" s="113"/>
    </row>
    <row r="529" spans="9:9" x14ac:dyDescent="0.2">
      <c r="I529" s="113"/>
    </row>
    <row r="530" spans="9:9" x14ac:dyDescent="0.2">
      <c r="I530" s="113"/>
    </row>
    <row r="531" spans="9:9" x14ac:dyDescent="0.2">
      <c r="I531" s="113"/>
    </row>
    <row r="532" spans="9:9" x14ac:dyDescent="0.2">
      <c r="I532" s="113"/>
    </row>
    <row r="533" spans="9:9" x14ac:dyDescent="0.2">
      <c r="I533" s="113"/>
    </row>
    <row r="534" spans="9:9" x14ac:dyDescent="0.2">
      <c r="I534" s="113"/>
    </row>
    <row r="535" spans="9:9" x14ac:dyDescent="0.2">
      <c r="I535" s="113"/>
    </row>
    <row r="536" spans="9:9" x14ac:dyDescent="0.2">
      <c r="I536" s="113"/>
    </row>
    <row r="537" spans="9:9" x14ac:dyDescent="0.2">
      <c r="I537" s="113"/>
    </row>
    <row r="538" spans="9:9" x14ac:dyDescent="0.2">
      <c r="I538" s="113"/>
    </row>
    <row r="539" spans="9:9" x14ac:dyDescent="0.2">
      <c r="I539" s="113"/>
    </row>
    <row r="540" spans="9:9" x14ac:dyDescent="0.2">
      <c r="I540" s="113"/>
    </row>
    <row r="541" spans="9:9" x14ac:dyDescent="0.2">
      <c r="I541" s="113"/>
    </row>
    <row r="542" spans="9:9" x14ac:dyDescent="0.2">
      <c r="I542" s="113"/>
    </row>
    <row r="543" spans="9:9" x14ac:dyDescent="0.2">
      <c r="I543" s="113"/>
    </row>
    <row r="544" spans="9:9" x14ac:dyDescent="0.2">
      <c r="I544" s="113"/>
    </row>
    <row r="545" spans="9:9" x14ac:dyDescent="0.2">
      <c r="I545" s="113"/>
    </row>
    <row r="546" spans="9:9" x14ac:dyDescent="0.2">
      <c r="I546" s="113"/>
    </row>
    <row r="547" spans="9:9" x14ac:dyDescent="0.2">
      <c r="I547" s="113"/>
    </row>
    <row r="548" spans="9:9" x14ac:dyDescent="0.2">
      <c r="I548" s="113"/>
    </row>
    <row r="549" spans="9:9" x14ac:dyDescent="0.2">
      <c r="I549" s="113"/>
    </row>
    <row r="550" spans="9:9" x14ac:dyDescent="0.2">
      <c r="I550" s="113"/>
    </row>
    <row r="551" spans="9:9" x14ac:dyDescent="0.2">
      <c r="I551" s="113"/>
    </row>
    <row r="552" spans="9:9" x14ac:dyDescent="0.2">
      <c r="I552" s="113"/>
    </row>
    <row r="553" spans="9:9" x14ac:dyDescent="0.2">
      <c r="I553" s="113"/>
    </row>
    <row r="554" spans="9:9" x14ac:dyDescent="0.2">
      <c r="I554" s="113"/>
    </row>
    <row r="555" spans="9:9" x14ac:dyDescent="0.2">
      <c r="I555" s="113"/>
    </row>
    <row r="556" spans="9:9" x14ac:dyDescent="0.2">
      <c r="I556" s="113"/>
    </row>
    <row r="557" spans="9:9" x14ac:dyDescent="0.2">
      <c r="I557" s="113"/>
    </row>
    <row r="558" spans="9:9" x14ac:dyDescent="0.2">
      <c r="I558" s="113"/>
    </row>
    <row r="559" spans="9:9" x14ac:dyDescent="0.2">
      <c r="I559" s="113"/>
    </row>
    <row r="560" spans="9:9" x14ac:dyDescent="0.2">
      <c r="I560" s="113"/>
    </row>
    <row r="561" spans="9:9" x14ac:dyDescent="0.2">
      <c r="I561" s="113"/>
    </row>
    <row r="562" spans="9:9" x14ac:dyDescent="0.2">
      <c r="I562" s="113"/>
    </row>
    <row r="563" spans="9:9" x14ac:dyDescent="0.2">
      <c r="I563" s="113"/>
    </row>
    <row r="564" spans="9:9" x14ac:dyDescent="0.2">
      <c r="I564" s="113"/>
    </row>
    <row r="565" spans="9:9" x14ac:dyDescent="0.2">
      <c r="I565" s="113"/>
    </row>
    <row r="566" spans="9:9" x14ac:dyDescent="0.2">
      <c r="I566" s="113"/>
    </row>
    <row r="567" spans="9:9" x14ac:dyDescent="0.2">
      <c r="I567" s="113"/>
    </row>
    <row r="568" spans="9:9" x14ac:dyDescent="0.2">
      <c r="I568" s="113"/>
    </row>
    <row r="569" spans="9:9" x14ac:dyDescent="0.2">
      <c r="I569" s="113"/>
    </row>
    <row r="570" spans="9:9" x14ac:dyDescent="0.2">
      <c r="I570" s="113"/>
    </row>
    <row r="571" spans="9:9" x14ac:dyDescent="0.2">
      <c r="I571" s="113"/>
    </row>
    <row r="572" spans="9:9" x14ac:dyDescent="0.2">
      <c r="I572" s="113"/>
    </row>
    <row r="573" spans="9:9" x14ac:dyDescent="0.2">
      <c r="I573" s="113"/>
    </row>
    <row r="574" spans="9:9" x14ac:dyDescent="0.2">
      <c r="I574" s="113"/>
    </row>
    <row r="575" spans="9:9" x14ac:dyDescent="0.2">
      <c r="I575" s="113"/>
    </row>
    <row r="576" spans="9:9" x14ac:dyDescent="0.2">
      <c r="I576" s="113"/>
    </row>
    <row r="577" spans="9:9" x14ac:dyDescent="0.2">
      <c r="I577" s="113"/>
    </row>
    <row r="578" spans="9:9" x14ac:dyDescent="0.2">
      <c r="I578" s="113"/>
    </row>
    <row r="579" spans="9:9" x14ac:dyDescent="0.2">
      <c r="I579" s="113"/>
    </row>
    <row r="580" spans="9:9" x14ac:dyDescent="0.2">
      <c r="I580" s="113"/>
    </row>
    <row r="581" spans="9:9" x14ac:dyDescent="0.2">
      <c r="I581" s="113"/>
    </row>
    <row r="582" spans="9:9" x14ac:dyDescent="0.2">
      <c r="I582" s="113"/>
    </row>
    <row r="583" spans="9:9" x14ac:dyDescent="0.2">
      <c r="I583" s="113"/>
    </row>
    <row r="584" spans="9:9" x14ac:dyDescent="0.2">
      <c r="I584" s="113"/>
    </row>
    <row r="585" spans="9:9" x14ac:dyDescent="0.2">
      <c r="I585" s="113"/>
    </row>
    <row r="586" spans="9:9" x14ac:dyDescent="0.2">
      <c r="I586" s="113"/>
    </row>
    <row r="587" spans="9:9" x14ac:dyDescent="0.2">
      <c r="I587" s="113"/>
    </row>
    <row r="588" spans="9:9" x14ac:dyDescent="0.2">
      <c r="I588" s="113"/>
    </row>
    <row r="589" spans="9:9" x14ac:dyDescent="0.2">
      <c r="I589" s="113"/>
    </row>
    <row r="590" spans="9:9" x14ac:dyDescent="0.2">
      <c r="I590" s="113"/>
    </row>
    <row r="591" spans="9:9" x14ac:dyDescent="0.2">
      <c r="I591" s="113"/>
    </row>
    <row r="592" spans="9:9" x14ac:dyDescent="0.2">
      <c r="I592" s="113"/>
    </row>
    <row r="593" spans="9:9" x14ac:dyDescent="0.2">
      <c r="I593" s="113"/>
    </row>
    <row r="594" spans="9:9" x14ac:dyDescent="0.2">
      <c r="I594" s="113"/>
    </row>
    <row r="595" spans="9:9" x14ac:dyDescent="0.2">
      <c r="I595" s="113"/>
    </row>
    <row r="596" spans="9:9" x14ac:dyDescent="0.2">
      <c r="I596" s="113"/>
    </row>
    <row r="597" spans="9:9" x14ac:dyDescent="0.2">
      <c r="I597" s="113"/>
    </row>
    <row r="598" spans="9:9" x14ac:dyDescent="0.2">
      <c r="I598" s="113"/>
    </row>
    <row r="599" spans="9:9" x14ac:dyDescent="0.2">
      <c r="I599" s="113"/>
    </row>
    <row r="600" spans="9:9" x14ac:dyDescent="0.2">
      <c r="I600" s="113"/>
    </row>
    <row r="601" spans="9:9" x14ac:dyDescent="0.2">
      <c r="I601" s="113"/>
    </row>
    <row r="602" spans="9:9" x14ac:dyDescent="0.2">
      <c r="I602" s="113"/>
    </row>
    <row r="603" spans="9:9" x14ac:dyDescent="0.2">
      <c r="I603" s="113"/>
    </row>
    <row r="604" spans="9:9" x14ac:dyDescent="0.2">
      <c r="I604" s="113"/>
    </row>
    <row r="605" spans="9:9" x14ac:dyDescent="0.2">
      <c r="I605" s="113"/>
    </row>
    <row r="606" spans="9:9" x14ac:dyDescent="0.2">
      <c r="I606" s="113"/>
    </row>
    <row r="607" spans="9:9" x14ac:dyDescent="0.2">
      <c r="I607" s="113"/>
    </row>
    <row r="608" spans="9:9" x14ac:dyDescent="0.2">
      <c r="I608" s="113"/>
    </row>
    <row r="609" spans="9:9" x14ac:dyDescent="0.2">
      <c r="I609" s="113"/>
    </row>
    <row r="610" spans="9:9" x14ac:dyDescent="0.2">
      <c r="I610" s="113"/>
    </row>
    <row r="611" spans="9:9" x14ac:dyDescent="0.2">
      <c r="I611" s="113"/>
    </row>
    <row r="612" spans="9:9" x14ac:dyDescent="0.2">
      <c r="I612" s="113"/>
    </row>
    <row r="613" spans="9:9" x14ac:dyDescent="0.2">
      <c r="I613" s="113"/>
    </row>
    <row r="614" spans="9:9" x14ac:dyDescent="0.2">
      <c r="I614" s="113"/>
    </row>
    <row r="615" spans="9:9" x14ac:dyDescent="0.2">
      <c r="I615" s="113"/>
    </row>
    <row r="616" spans="9:9" x14ac:dyDescent="0.2">
      <c r="I616" s="113"/>
    </row>
    <row r="617" spans="9:9" x14ac:dyDescent="0.2">
      <c r="I617" s="113"/>
    </row>
    <row r="618" spans="9:9" x14ac:dyDescent="0.2">
      <c r="I618" s="113"/>
    </row>
    <row r="619" spans="9:9" x14ac:dyDescent="0.2">
      <c r="I619" s="113"/>
    </row>
    <row r="620" spans="9:9" x14ac:dyDescent="0.2">
      <c r="I620" s="113"/>
    </row>
    <row r="621" spans="9:9" x14ac:dyDescent="0.2">
      <c r="I621" s="113"/>
    </row>
    <row r="622" spans="9:9" x14ac:dyDescent="0.2">
      <c r="I622" s="113"/>
    </row>
    <row r="623" spans="9:9" x14ac:dyDescent="0.2">
      <c r="I623" s="113"/>
    </row>
    <row r="624" spans="9:9" x14ac:dyDescent="0.2">
      <c r="I624" s="113"/>
    </row>
    <row r="625" spans="9:9" x14ac:dyDescent="0.2">
      <c r="I625" s="113"/>
    </row>
    <row r="626" spans="9:9" x14ac:dyDescent="0.2">
      <c r="I626" s="113"/>
    </row>
    <row r="627" spans="9:9" x14ac:dyDescent="0.2">
      <c r="I627" s="113"/>
    </row>
    <row r="628" spans="9:9" x14ac:dyDescent="0.2">
      <c r="I628" s="113"/>
    </row>
    <row r="629" spans="9:9" x14ac:dyDescent="0.2">
      <c r="I629" s="113"/>
    </row>
    <row r="630" spans="9:9" x14ac:dyDescent="0.2">
      <c r="I630" s="113"/>
    </row>
    <row r="631" spans="9:9" x14ac:dyDescent="0.2">
      <c r="I631" s="113"/>
    </row>
    <row r="632" spans="9:9" x14ac:dyDescent="0.2">
      <c r="I632" s="113"/>
    </row>
    <row r="633" spans="9:9" x14ac:dyDescent="0.2">
      <c r="I633" s="113"/>
    </row>
    <row r="634" spans="9:9" x14ac:dyDescent="0.2">
      <c r="I634" s="113"/>
    </row>
    <row r="635" spans="9:9" x14ac:dyDescent="0.2">
      <c r="I635" s="113"/>
    </row>
    <row r="636" spans="9:9" x14ac:dyDescent="0.2">
      <c r="I636" s="113"/>
    </row>
    <row r="637" spans="9:9" x14ac:dyDescent="0.2">
      <c r="I637" s="113"/>
    </row>
    <row r="638" spans="9:9" x14ac:dyDescent="0.2">
      <c r="I638" s="113"/>
    </row>
    <row r="639" spans="9:9" x14ac:dyDescent="0.2">
      <c r="I639" s="113"/>
    </row>
    <row r="640" spans="9:9" x14ac:dyDescent="0.2">
      <c r="I640" s="113"/>
    </row>
    <row r="641" spans="9:9" x14ac:dyDescent="0.2">
      <c r="I641" s="113"/>
    </row>
    <row r="642" spans="9:9" x14ac:dyDescent="0.2">
      <c r="I642" s="113"/>
    </row>
    <row r="643" spans="9:9" x14ac:dyDescent="0.2">
      <c r="I643" s="113"/>
    </row>
    <row r="644" spans="9:9" x14ac:dyDescent="0.2">
      <c r="I644" s="113"/>
    </row>
    <row r="645" spans="9:9" x14ac:dyDescent="0.2">
      <c r="I645" s="113"/>
    </row>
    <row r="646" spans="9:9" x14ac:dyDescent="0.2">
      <c r="I646" s="113"/>
    </row>
    <row r="647" spans="9:9" x14ac:dyDescent="0.2">
      <c r="I647" s="113"/>
    </row>
    <row r="648" spans="9:9" x14ac:dyDescent="0.2">
      <c r="I648" s="113"/>
    </row>
    <row r="649" spans="9:9" x14ac:dyDescent="0.2">
      <c r="I649" s="113"/>
    </row>
    <row r="650" spans="9:9" x14ac:dyDescent="0.2">
      <c r="I650" s="113"/>
    </row>
    <row r="651" spans="9:9" x14ac:dyDescent="0.2">
      <c r="I651" s="113"/>
    </row>
    <row r="652" spans="9:9" x14ac:dyDescent="0.2">
      <c r="I652" s="113"/>
    </row>
    <row r="653" spans="9:9" x14ac:dyDescent="0.2">
      <c r="I653" s="113"/>
    </row>
    <row r="654" spans="9:9" x14ac:dyDescent="0.2">
      <c r="I654" s="113"/>
    </row>
    <row r="655" spans="9:9" x14ac:dyDescent="0.2">
      <c r="I655" s="113"/>
    </row>
    <row r="656" spans="9:9" x14ac:dyDescent="0.2">
      <c r="I656" s="113"/>
    </row>
    <row r="657" spans="9:9" x14ac:dyDescent="0.2">
      <c r="I657" s="113"/>
    </row>
    <row r="658" spans="9:9" x14ac:dyDescent="0.2">
      <c r="I658" s="113"/>
    </row>
    <row r="659" spans="9:9" x14ac:dyDescent="0.2">
      <c r="I659" s="113"/>
    </row>
    <row r="660" spans="9:9" x14ac:dyDescent="0.2">
      <c r="I660" s="113"/>
    </row>
    <row r="661" spans="9:9" x14ac:dyDescent="0.2">
      <c r="I661" s="113"/>
    </row>
    <row r="662" spans="9:9" x14ac:dyDescent="0.2">
      <c r="I662" s="113"/>
    </row>
    <row r="663" spans="9:9" x14ac:dyDescent="0.2">
      <c r="I663" s="113"/>
    </row>
    <row r="664" spans="9:9" x14ac:dyDescent="0.2">
      <c r="I664" s="113"/>
    </row>
    <row r="665" spans="9:9" x14ac:dyDescent="0.2">
      <c r="I665" s="113"/>
    </row>
    <row r="666" spans="9:9" x14ac:dyDescent="0.2">
      <c r="I666" s="113"/>
    </row>
    <row r="667" spans="9:9" x14ac:dyDescent="0.2">
      <c r="I667" s="113"/>
    </row>
    <row r="668" spans="9:9" x14ac:dyDescent="0.2">
      <c r="I668" s="113"/>
    </row>
    <row r="669" spans="9:9" x14ac:dyDescent="0.2">
      <c r="I669" s="113"/>
    </row>
    <row r="670" spans="9:9" x14ac:dyDescent="0.2">
      <c r="I670" s="113"/>
    </row>
    <row r="671" spans="9:9" x14ac:dyDescent="0.2">
      <c r="I671" s="113"/>
    </row>
    <row r="672" spans="9:9" x14ac:dyDescent="0.2">
      <c r="I672" s="113"/>
    </row>
    <row r="673" spans="9:9" x14ac:dyDescent="0.2">
      <c r="I673" s="113"/>
    </row>
    <row r="674" spans="9:9" x14ac:dyDescent="0.2">
      <c r="I674" s="113"/>
    </row>
    <row r="675" spans="9:9" x14ac:dyDescent="0.2">
      <c r="I675" s="113"/>
    </row>
    <row r="676" spans="9:9" x14ac:dyDescent="0.2">
      <c r="I676" s="113"/>
    </row>
    <row r="677" spans="9:9" x14ac:dyDescent="0.2">
      <c r="I677" s="113"/>
    </row>
    <row r="678" spans="9:9" x14ac:dyDescent="0.2">
      <c r="I678" s="113"/>
    </row>
    <row r="679" spans="9:9" x14ac:dyDescent="0.2">
      <c r="I679" s="113"/>
    </row>
    <row r="680" spans="9:9" x14ac:dyDescent="0.2">
      <c r="I680" s="113"/>
    </row>
    <row r="681" spans="9:9" x14ac:dyDescent="0.2">
      <c r="I681" s="113"/>
    </row>
    <row r="682" spans="9:9" x14ac:dyDescent="0.2">
      <c r="I682" s="113"/>
    </row>
    <row r="683" spans="9:9" x14ac:dyDescent="0.2">
      <c r="I683" s="113"/>
    </row>
    <row r="684" spans="9:9" x14ac:dyDescent="0.2">
      <c r="I684" s="113"/>
    </row>
    <row r="685" spans="9:9" x14ac:dyDescent="0.2">
      <c r="I685" s="113"/>
    </row>
    <row r="686" spans="9:9" x14ac:dyDescent="0.2">
      <c r="I686" s="113"/>
    </row>
    <row r="687" spans="9:9" x14ac:dyDescent="0.2">
      <c r="I687" s="113"/>
    </row>
    <row r="688" spans="9:9" x14ac:dyDescent="0.2">
      <c r="I688" s="113"/>
    </row>
    <row r="689" spans="9:9" x14ac:dyDescent="0.2">
      <c r="I689" s="113"/>
    </row>
    <row r="690" spans="9:9" x14ac:dyDescent="0.2">
      <c r="I690" s="113"/>
    </row>
    <row r="691" spans="9:9" x14ac:dyDescent="0.2">
      <c r="I691" s="113"/>
    </row>
    <row r="692" spans="9:9" x14ac:dyDescent="0.2">
      <c r="I692" s="113"/>
    </row>
    <row r="693" spans="9:9" x14ac:dyDescent="0.2">
      <c r="I693" s="113"/>
    </row>
    <row r="694" spans="9:9" x14ac:dyDescent="0.2">
      <c r="I694" s="113"/>
    </row>
    <row r="695" spans="9:9" x14ac:dyDescent="0.2">
      <c r="I695" s="113"/>
    </row>
    <row r="696" spans="9:9" x14ac:dyDescent="0.2">
      <c r="I696" s="113"/>
    </row>
    <row r="697" spans="9:9" x14ac:dyDescent="0.2">
      <c r="I697" s="113"/>
    </row>
    <row r="698" spans="9:9" x14ac:dyDescent="0.2">
      <c r="I698" s="113"/>
    </row>
    <row r="699" spans="9:9" x14ac:dyDescent="0.2">
      <c r="I699" s="113"/>
    </row>
    <row r="700" spans="9:9" x14ac:dyDescent="0.2">
      <c r="I700" s="113"/>
    </row>
    <row r="701" spans="9:9" x14ac:dyDescent="0.2">
      <c r="I701" s="113"/>
    </row>
    <row r="702" spans="9:9" x14ac:dyDescent="0.2">
      <c r="I702" s="113"/>
    </row>
    <row r="703" spans="9:9" x14ac:dyDescent="0.2">
      <c r="I703" s="113"/>
    </row>
    <row r="704" spans="9:9" x14ac:dyDescent="0.2">
      <c r="I704" s="113"/>
    </row>
    <row r="705" spans="9:9" x14ac:dyDescent="0.2">
      <c r="I705" s="113"/>
    </row>
    <row r="706" spans="9:9" x14ac:dyDescent="0.2">
      <c r="I706" s="113"/>
    </row>
    <row r="707" spans="9:9" x14ac:dyDescent="0.2">
      <c r="I707" s="113"/>
    </row>
    <row r="708" spans="9:9" x14ac:dyDescent="0.2">
      <c r="I708" s="113"/>
    </row>
    <row r="709" spans="9:9" x14ac:dyDescent="0.2">
      <c r="I709" s="113"/>
    </row>
    <row r="710" spans="9:9" x14ac:dyDescent="0.2">
      <c r="I710" s="113"/>
    </row>
    <row r="711" spans="9:9" x14ac:dyDescent="0.2">
      <c r="I711" s="113"/>
    </row>
    <row r="712" spans="9:9" x14ac:dyDescent="0.2">
      <c r="I712" s="113"/>
    </row>
    <row r="713" spans="9:9" x14ac:dyDescent="0.2">
      <c r="I713" s="113"/>
    </row>
    <row r="714" spans="9:9" x14ac:dyDescent="0.2">
      <c r="I714" s="113"/>
    </row>
    <row r="715" spans="9:9" x14ac:dyDescent="0.2">
      <c r="I715" s="113"/>
    </row>
    <row r="716" spans="9:9" x14ac:dyDescent="0.2">
      <c r="I716" s="113"/>
    </row>
    <row r="717" spans="9:9" x14ac:dyDescent="0.2">
      <c r="I717" s="113"/>
    </row>
    <row r="718" spans="9:9" x14ac:dyDescent="0.2">
      <c r="I718" s="113"/>
    </row>
    <row r="719" spans="9:9" x14ac:dyDescent="0.2">
      <c r="I719" s="113"/>
    </row>
    <row r="720" spans="9:9" x14ac:dyDescent="0.2">
      <c r="I720" s="113"/>
    </row>
    <row r="721" spans="9:9" x14ac:dyDescent="0.2">
      <c r="I721" s="113"/>
    </row>
    <row r="722" spans="9:9" x14ac:dyDescent="0.2">
      <c r="I722" s="113"/>
    </row>
    <row r="723" spans="9:9" x14ac:dyDescent="0.2">
      <c r="I723" s="113"/>
    </row>
    <row r="724" spans="9:9" x14ac:dyDescent="0.2">
      <c r="I724" s="113"/>
    </row>
    <row r="725" spans="9:9" x14ac:dyDescent="0.2">
      <c r="I725" s="113"/>
    </row>
    <row r="726" spans="9:9" x14ac:dyDescent="0.2">
      <c r="I726" s="113"/>
    </row>
    <row r="727" spans="9:9" x14ac:dyDescent="0.2">
      <c r="I727" s="113"/>
    </row>
    <row r="728" spans="9:9" x14ac:dyDescent="0.2">
      <c r="I728" s="113"/>
    </row>
    <row r="729" spans="9:9" x14ac:dyDescent="0.2">
      <c r="I729" s="113"/>
    </row>
    <row r="730" spans="9:9" x14ac:dyDescent="0.2">
      <c r="I730" s="113"/>
    </row>
    <row r="731" spans="9:9" x14ac:dyDescent="0.2">
      <c r="I731" s="113"/>
    </row>
    <row r="732" spans="9:9" x14ac:dyDescent="0.2">
      <c r="I732" s="113"/>
    </row>
    <row r="733" spans="9:9" x14ac:dyDescent="0.2">
      <c r="I733" s="113"/>
    </row>
    <row r="734" spans="9:9" x14ac:dyDescent="0.2">
      <c r="I734" s="113"/>
    </row>
    <row r="735" spans="9:9" x14ac:dyDescent="0.2">
      <c r="I735" s="113"/>
    </row>
    <row r="736" spans="9:9" x14ac:dyDescent="0.2">
      <c r="I736" s="113"/>
    </row>
    <row r="737" spans="9:9" x14ac:dyDescent="0.2">
      <c r="I737" s="113"/>
    </row>
    <row r="738" spans="9:9" x14ac:dyDescent="0.2">
      <c r="I738" s="113"/>
    </row>
    <row r="739" spans="9:9" x14ac:dyDescent="0.2">
      <c r="I739" s="113"/>
    </row>
    <row r="740" spans="9:9" x14ac:dyDescent="0.2">
      <c r="I740" s="113"/>
    </row>
    <row r="741" spans="9:9" x14ac:dyDescent="0.2">
      <c r="I741" s="113"/>
    </row>
    <row r="742" spans="9:9" x14ac:dyDescent="0.2">
      <c r="I742" s="113"/>
    </row>
    <row r="743" spans="9:9" x14ac:dyDescent="0.2">
      <c r="I743" s="113"/>
    </row>
    <row r="744" spans="9:9" x14ac:dyDescent="0.2">
      <c r="I744" s="113"/>
    </row>
    <row r="745" spans="9:9" x14ac:dyDescent="0.2">
      <c r="I745" s="113"/>
    </row>
    <row r="746" spans="9:9" x14ac:dyDescent="0.2">
      <c r="I746" s="113"/>
    </row>
    <row r="747" spans="9:9" x14ac:dyDescent="0.2">
      <c r="I747" s="113"/>
    </row>
    <row r="748" spans="9:9" x14ac:dyDescent="0.2">
      <c r="I748" s="113"/>
    </row>
    <row r="749" spans="9:9" x14ac:dyDescent="0.2">
      <c r="I749" s="113"/>
    </row>
    <row r="750" spans="9:9" x14ac:dyDescent="0.2">
      <c r="I750" s="113"/>
    </row>
    <row r="751" spans="9:9" x14ac:dyDescent="0.2">
      <c r="I751" s="113"/>
    </row>
    <row r="752" spans="9:9" x14ac:dyDescent="0.2">
      <c r="I752" s="113"/>
    </row>
    <row r="753" spans="9:9" x14ac:dyDescent="0.2">
      <c r="I753" s="113"/>
    </row>
    <row r="754" spans="9:9" x14ac:dyDescent="0.2">
      <c r="I754" s="113"/>
    </row>
    <row r="755" spans="9:9" x14ac:dyDescent="0.2">
      <c r="I755" s="113"/>
    </row>
    <row r="756" spans="9:9" x14ac:dyDescent="0.2">
      <c r="I756" s="113"/>
    </row>
    <row r="757" spans="9:9" x14ac:dyDescent="0.2">
      <c r="I757" s="113"/>
    </row>
    <row r="758" spans="9:9" x14ac:dyDescent="0.2">
      <c r="I758" s="113"/>
    </row>
    <row r="759" spans="9:9" x14ac:dyDescent="0.2">
      <c r="I759" s="113"/>
    </row>
    <row r="760" spans="9:9" x14ac:dyDescent="0.2">
      <c r="I760" s="113"/>
    </row>
    <row r="761" spans="9:9" x14ac:dyDescent="0.2">
      <c r="I761" s="113"/>
    </row>
    <row r="762" spans="9:9" x14ac:dyDescent="0.2">
      <c r="I762" s="113"/>
    </row>
    <row r="763" spans="9:9" x14ac:dyDescent="0.2">
      <c r="I763" s="113"/>
    </row>
    <row r="764" spans="9:9" x14ac:dyDescent="0.2">
      <c r="I764" s="113"/>
    </row>
    <row r="765" spans="9:9" x14ac:dyDescent="0.2">
      <c r="I765" s="113"/>
    </row>
    <row r="766" spans="9:9" x14ac:dyDescent="0.2">
      <c r="I766" s="113"/>
    </row>
    <row r="767" spans="9:9" x14ac:dyDescent="0.2">
      <c r="I767" s="113"/>
    </row>
    <row r="768" spans="9:9" x14ac:dyDescent="0.2">
      <c r="I768" s="113"/>
    </row>
    <row r="769" spans="9:9" x14ac:dyDescent="0.2">
      <c r="I769" s="113"/>
    </row>
    <row r="770" spans="9:9" x14ac:dyDescent="0.2">
      <c r="I770" s="113"/>
    </row>
    <row r="771" spans="9:9" x14ac:dyDescent="0.2">
      <c r="I771" s="113"/>
    </row>
    <row r="772" spans="9:9" x14ac:dyDescent="0.2">
      <c r="I772" s="113"/>
    </row>
    <row r="773" spans="9:9" x14ac:dyDescent="0.2">
      <c r="I773" s="113"/>
    </row>
    <row r="774" spans="9:9" x14ac:dyDescent="0.2">
      <c r="I774" s="113"/>
    </row>
    <row r="775" spans="9:9" x14ac:dyDescent="0.2">
      <c r="I775" s="113"/>
    </row>
    <row r="776" spans="9:9" x14ac:dyDescent="0.2">
      <c r="I776" s="113"/>
    </row>
    <row r="777" spans="9:9" x14ac:dyDescent="0.2">
      <c r="I777" s="113"/>
    </row>
    <row r="778" spans="9:9" x14ac:dyDescent="0.2">
      <c r="I778" s="113"/>
    </row>
    <row r="779" spans="9:9" x14ac:dyDescent="0.2">
      <c r="I779" s="113"/>
    </row>
    <row r="780" spans="9:9" x14ac:dyDescent="0.2">
      <c r="I780" s="113"/>
    </row>
    <row r="781" spans="9:9" x14ac:dyDescent="0.2">
      <c r="I781" s="113"/>
    </row>
    <row r="782" spans="9:9" x14ac:dyDescent="0.2">
      <c r="I782" s="113"/>
    </row>
    <row r="783" spans="9:9" x14ac:dyDescent="0.2">
      <c r="I783" s="113"/>
    </row>
    <row r="784" spans="9:9" x14ac:dyDescent="0.2">
      <c r="I784" s="113"/>
    </row>
    <row r="785" spans="9:9" x14ac:dyDescent="0.2">
      <c r="I785" s="113"/>
    </row>
    <row r="786" spans="9:9" x14ac:dyDescent="0.2">
      <c r="I786" s="113"/>
    </row>
    <row r="787" spans="9:9" x14ac:dyDescent="0.2">
      <c r="I787" s="113"/>
    </row>
    <row r="788" spans="9:9" x14ac:dyDescent="0.2">
      <c r="I788" s="113"/>
    </row>
    <row r="789" spans="9:9" x14ac:dyDescent="0.2">
      <c r="I789" s="113"/>
    </row>
    <row r="790" spans="9:9" x14ac:dyDescent="0.2">
      <c r="I790" s="113"/>
    </row>
    <row r="791" spans="9:9" x14ac:dyDescent="0.2">
      <c r="I791" s="113"/>
    </row>
    <row r="792" spans="9:9" x14ac:dyDescent="0.2">
      <c r="I792" s="113"/>
    </row>
    <row r="793" spans="9:9" x14ac:dyDescent="0.2">
      <c r="I793" s="113"/>
    </row>
    <row r="794" spans="9:9" x14ac:dyDescent="0.2">
      <c r="I794" s="113"/>
    </row>
    <row r="795" spans="9:9" x14ac:dyDescent="0.2">
      <c r="I795" s="113"/>
    </row>
    <row r="796" spans="9:9" x14ac:dyDescent="0.2">
      <c r="I796" s="113"/>
    </row>
    <row r="797" spans="9:9" x14ac:dyDescent="0.2">
      <c r="I797" s="113"/>
    </row>
    <row r="798" spans="9:9" x14ac:dyDescent="0.2">
      <c r="I798" s="113"/>
    </row>
    <row r="799" spans="9:9" x14ac:dyDescent="0.2">
      <c r="I799" s="113"/>
    </row>
    <row r="800" spans="9:9" x14ac:dyDescent="0.2">
      <c r="I800" s="113"/>
    </row>
    <row r="801" spans="9:9" x14ac:dyDescent="0.2">
      <c r="I801" s="113"/>
    </row>
    <row r="802" spans="9:9" x14ac:dyDescent="0.2">
      <c r="I802" s="113"/>
    </row>
    <row r="803" spans="9:9" x14ac:dyDescent="0.2">
      <c r="I803" s="113"/>
    </row>
    <row r="804" spans="9:9" x14ac:dyDescent="0.2">
      <c r="I804" s="113"/>
    </row>
    <row r="805" spans="9:9" x14ac:dyDescent="0.2">
      <c r="I805" s="113"/>
    </row>
    <row r="806" spans="9:9" x14ac:dyDescent="0.2">
      <c r="I806" s="113"/>
    </row>
    <row r="807" spans="9:9" x14ac:dyDescent="0.2">
      <c r="I807" s="113"/>
    </row>
    <row r="808" spans="9:9" x14ac:dyDescent="0.2">
      <c r="I808" s="113"/>
    </row>
    <row r="809" spans="9:9" x14ac:dyDescent="0.2">
      <c r="I809" s="113"/>
    </row>
    <row r="810" spans="9:9" x14ac:dyDescent="0.2">
      <c r="I810" s="113"/>
    </row>
    <row r="811" spans="9:9" x14ac:dyDescent="0.2">
      <c r="I811" s="113"/>
    </row>
    <row r="812" spans="9:9" x14ac:dyDescent="0.2">
      <c r="I812" s="113"/>
    </row>
    <row r="813" spans="9:9" x14ac:dyDescent="0.2">
      <c r="I813" s="113"/>
    </row>
    <row r="814" spans="9:9" x14ac:dyDescent="0.2">
      <c r="I814" s="113"/>
    </row>
    <row r="815" spans="9:9" x14ac:dyDescent="0.2">
      <c r="I815" s="113"/>
    </row>
    <row r="816" spans="9:9" x14ac:dyDescent="0.2">
      <c r="I816" s="113"/>
    </row>
    <row r="817" spans="9:9" x14ac:dyDescent="0.2">
      <c r="I817" s="113"/>
    </row>
    <row r="818" spans="9:9" x14ac:dyDescent="0.2">
      <c r="I818" s="113"/>
    </row>
    <row r="819" spans="9:9" x14ac:dyDescent="0.2">
      <c r="I819" s="113"/>
    </row>
    <row r="820" spans="9:9" x14ac:dyDescent="0.2">
      <c r="I820" s="113"/>
    </row>
    <row r="821" spans="9:9" x14ac:dyDescent="0.2">
      <c r="I821" s="113"/>
    </row>
    <row r="822" spans="9:9" x14ac:dyDescent="0.2">
      <c r="I822" s="113"/>
    </row>
    <row r="823" spans="9:9" x14ac:dyDescent="0.2">
      <c r="I823" s="113"/>
    </row>
    <row r="824" spans="9:9" x14ac:dyDescent="0.2">
      <c r="I824" s="113"/>
    </row>
    <row r="825" spans="9:9" x14ac:dyDescent="0.2">
      <c r="I825" s="113"/>
    </row>
    <row r="826" spans="9:9" x14ac:dyDescent="0.2">
      <c r="I826" s="113"/>
    </row>
    <row r="827" spans="9:9" x14ac:dyDescent="0.2">
      <c r="I827" s="113"/>
    </row>
    <row r="828" spans="9:9" x14ac:dyDescent="0.2">
      <c r="I828" s="113"/>
    </row>
    <row r="829" spans="9:9" x14ac:dyDescent="0.2">
      <c r="I829" s="113"/>
    </row>
    <row r="830" spans="9:9" x14ac:dyDescent="0.2">
      <c r="I830" s="113"/>
    </row>
    <row r="831" spans="9:9" x14ac:dyDescent="0.2">
      <c r="I831" s="113"/>
    </row>
    <row r="832" spans="9:9" x14ac:dyDescent="0.2">
      <c r="I832" s="113"/>
    </row>
    <row r="833" spans="9:9" x14ac:dyDescent="0.2">
      <c r="I833" s="113"/>
    </row>
    <row r="834" spans="9:9" x14ac:dyDescent="0.2">
      <c r="I834" s="113"/>
    </row>
    <row r="835" spans="9:9" x14ac:dyDescent="0.2">
      <c r="I835" s="113"/>
    </row>
    <row r="836" spans="9:9" x14ac:dyDescent="0.2">
      <c r="I836" s="113"/>
    </row>
    <row r="837" spans="9:9" x14ac:dyDescent="0.2">
      <c r="I837" s="113"/>
    </row>
    <row r="838" spans="9:9" x14ac:dyDescent="0.2">
      <c r="I838" s="113"/>
    </row>
    <row r="839" spans="9:9" x14ac:dyDescent="0.2">
      <c r="I839" s="113"/>
    </row>
    <row r="840" spans="9:9" x14ac:dyDescent="0.2">
      <c r="I840" s="113"/>
    </row>
    <row r="841" spans="9:9" x14ac:dyDescent="0.2">
      <c r="I841" s="113"/>
    </row>
    <row r="842" spans="9:9" x14ac:dyDescent="0.2">
      <c r="I842" s="113"/>
    </row>
    <row r="843" spans="9:9" x14ac:dyDescent="0.2">
      <c r="I843" s="113"/>
    </row>
    <row r="844" spans="9:9" x14ac:dyDescent="0.2">
      <c r="I844" s="113"/>
    </row>
    <row r="845" spans="9:9" x14ac:dyDescent="0.2">
      <c r="I845" s="113"/>
    </row>
    <row r="846" spans="9:9" x14ac:dyDescent="0.2">
      <c r="I846" s="113"/>
    </row>
    <row r="847" spans="9:9" x14ac:dyDescent="0.2">
      <c r="I847" s="113"/>
    </row>
    <row r="848" spans="9:9" x14ac:dyDescent="0.2">
      <c r="I848" s="113"/>
    </row>
    <row r="849" spans="9:9" x14ac:dyDescent="0.2">
      <c r="I849" s="113"/>
    </row>
    <row r="850" spans="9:9" x14ac:dyDescent="0.2">
      <c r="I850" s="113"/>
    </row>
    <row r="851" spans="9:9" x14ac:dyDescent="0.2">
      <c r="I851" s="113"/>
    </row>
    <row r="852" spans="9:9" x14ac:dyDescent="0.2">
      <c r="I852" s="113"/>
    </row>
    <row r="853" spans="9:9" x14ac:dyDescent="0.2">
      <c r="I853" s="113"/>
    </row>
    <row r="854" spans="9:9" x14ac:dyDescent="0.2">
      <c r="I854" s="113"/>
    </row>
    <row r="855" spans="9:9" x14ac:dyDescent="0.2">
      <c r="I855" s="113"/>
    </row>
    <row r="856" spans="9:9" x14ac:dyDescent="0.2">
      <c r="I856" s="113"/>
    </row>
    <row r="857" spans="9:9" x14ac:dyDescent="0.2">
      <c r="I857" s="113"/>
    </row>
    <row r="858" spans="9:9" x14ac:dyDescent="0.2">
      <c r="I858" s="113"/>
    </row>
    <row r="859" spans="9:9" x14ac:dyDescent="0.2">
      <c r="I859" s="113"/>
    </row>
    <row r="860" spans="9:9" x14ac:dyDescent="0.2">
      <c r="I860" s="113"/>
    </row>
    <row r="861" spans="9:9" x14ac:dyDescent="0.2">
      <c r="I861" s="113"/>
    </row>
    <row r="862" spans="9:9" x14ac:dyDescent="0.2">
      <c r="I862" s="113"/>
    </row>
    <row r="863" spans="9:9" x14ac:dyDescent="0.2">
      <c r="I863" s="113"/>
    </row>
    <row r="864" spans="9:9" x14ac:dyDescent="0.2">
      <c r="I864" s="113"/>
    </row>
    <row r="865" spans="9:9" x14ac:dyDescent="0.2">
      <c r="I865" s="113"/>
    </row>
    <row r="866" spans="9:9" x14ac:dyDescent="0.2">
      <c r="I866" s="113"/>
    </row>
    <row r="867" spans="9:9" x14ac:dyDescent="0.2">
      <c r="I867" s="113"/>
    </row>
    <row r="868" spans="9:9" x14ac:dyDescent="0.2">
      <c r="I868" s="113"/>
    </row>
    <row r="869" spans="9:9" x14ac:dyDescent="0.2">
      <c r="I869" s="113"/>
    </row>
    <row r="870" spans="9:9" x14ac:dyDescent="0.2">
      <c r="I870" s="113"/>
    </row>
    <row r="871" spans="9:9" x14ac:dyDescent="0.2">
      <c r="I871" s="113"/>
    </row>
    <row r="872" spans="9:9" x14ac:dyDescent="0.2">
      <c r="I872" s="113"/>
    </row>
    <row r="873" spans="9:9" x14ac:dyDescent="0.2">
      <c r="I873" s="113"/>
    </row>
    <row r="874" spans="9:9" x14ac:dyDescent="0.2">
      <c r="I874" s="113"/>
    </row>
    <row r="875" spans="9:9" x14ac:dyDescent="0.2">
      <c r="I875" s="113"/>
    </row>
    <row r="876" spans="9:9" x14ac:dyDescent="0.2">
      <c r="I876" s="113"/>
    </row>
    <row r="877" spans="9:9" x14ac:dyDescent="0.2">
      <c r="I877" s="113"/>
    </row>
    <row r="878" spans="9:9" x14ac:dyDescent="0.2">
      <c r="I878" s="113"/>
    </row>
    <row r="879" spans="9:9" x14ac:dyDescent="0.2">
      <c r="I879" s="113"/>
    </row>
    <row r="880" spans="9:9" x14ac:dyDescent="0.2">
      <c r="I880" s="113"/>
    </row>
    <row r="881" spans="9:9" x14ac:dyDescent="0.2">
      <c r="I881" s="113"/>
    </row>
    <row r="882" spans="9:9" x14ac:dyDescent="0.2">
      <c r="I882" s="113"/>
    </row>
    <row r="883" spans="9:9" x14ac:dyDescent="0.2">
      <c r="I883" s="113"/>
    </row>
    <row r="884" spans="9:9" x14ac:dyDescent="0.2">
      <c r="I884" s="113"/>
    </row>
    <row r="885" spans="9:9" x14ac:dyDescent="0.2">
      <c r="I885" s="113"/>
    </row>
    <row r="886" spans="9:9" x14ac:dyDescent="0.2">
      <c r="I886" s="113"/>
    </row>
    <row r="887" spans="9:9" x14ac:dyDescent="0.2">
      <c r="I887" s="113"/>
    </row>
    <row r="888" spans="9:9" x14ac:dyDescent="0.2">
      <c r="I888" s="113"/>
    </row>
    <row r="889" spans="9:9" x14ac:dyDescent="0.2">
      <c r="I889" s="113"/>
    </row>
    <row r="890" spans="9:9" x14ac:dyDescent="0.2">
      <c r="I890" s="113"/>
    </row>
    <row r="891" spans="9:9" x14ac:dyDescent="0.2">
      <c r="I891" s="113"/>
    </row>
    <row r="892" spans="9:9" x14ac:dyDescent="0.2">
      <c r="I892" s="113"/>
    </row>
    <row r="893" spans="9:9" x14ac:dyDescent="0.2">
      <c r="I893" s="113"/>
    </row>
    <row r="894" spans="9:9" x14ac:dyDescent="0.2">
      <c r="I894" s="113"/>
    </row>
    <row r="895" spans="9:9" x14ac:dyDescent="0.2">
      <c r="I895" s="113"/>
    </row>
    <row r="896" spans="9:9" x14ac:dyDescent="0.2">
      <c r="I896" s="113"/>
    </row>
    <row r="897" spans="9:9" x14ac:dyDescent="0.2">
      <c r="I897" s="113"/>
    </row>
    <row r="898" spans="9:9" x14ac:dyDescent="0.2">
      <c r="I898" s="113"/>
    </row>
    <row r="899" spans="9:9" x14ac:dyDescent="0.2">
      <c r="I899" s="113"/>
    </row>
    <row r="900" spans="9:9" x14ac:dyDescent="0.2">
      <c r="I900" s="113"/>
    </row>
    <row r="901" spans="9:9" x14ac:dyDescent="0.2">
      <c r="I901" s="113"/>
    </row>
    <row r="902" spans="9:9" x14ac:dyDescent="0.2">
      <c r="I902" s="113"/>
    </row>
    <row r="903" spans="9:9" x14ac:dyDescent="0.2">
      <c r="I903" s="113"/>
    </row>
    <row r="904" spans="9:9" x14ac:dyDescent="0.2">
      <c r="I904" s="113"/>
    </row>
    <row r="905" spans="9:9" x14ac:dyDescent="0.2">
      <c r="I905" s="113"/>
    </row>
    <row r="906" spans="9:9" x14ac:dyDescent="0.2">
      <c r="I906" s="113"/>
    </row>
    <row r="907" spans="9:9" x14ac:dyDescent="0.2">
      <c r="I907" s="113"/>
    </row>
    <row r="908" spans="9:9" x14ac:dyDescent="0.2">
      <c r="I908" s="113"/>
    </row>
    <row r="909" spans="9:9" x14ac:dyDescent="0.2">
      <c r="I909" s="113"/>
    </row>
    <row r="910" spans="9:9" x14ac:dyDescent="0.2">
      <c r="I910" s="113"/>
    </row>
    <row r="911" spans="9:9" x14ac:dyDescent="0.2">
      <c r="I911" s="113"/>
    </row>
    <row r="912" spans="9:9" x14ac:dyDescent="0.2">
      <c r="I912" s="113"/>
    </row>
    <row r="913" spans="9:9" x14ac:dyDescent="0.2">
      <c r="I913" s="113"/>
    </row>
    <row r="914" spans="9:9" x14ac:dyDescent="0.2">
      <c r="I914" s="113"/>
    </row>
    <row r="915" spans="9:9" x14ac:dyDescent="0.2">
      <c r="I915" s="113"/>
    </row>
    <row r="916" spans="9:9" x14ac:dyDescent="0.2">
      <c r="I916" s="113"/>
    </row>
    <row r="917" spans="9:9" x14ac:dyDescent="0.2">
      <c r="I917" s="113"/>
    </row>
    <row r="918" spans="9:9" x14ac:dyDescent="0.2">
      <c r="I918" s="113"/>
    </row>
    <row r="919" spans="9:9" x14ac:dyDescent="0.2">
      <c r="I919" s="113"/>
    </row>
    <row r="920" spans="9:9" x14ac:dyDescent="0.2">
      <c r="I920" s="113"/>
    </row>
    <row r="921" spans="9:9" x14ac:dyDescent="0.2">
      <c r="I921" s="113"/>
    </row>
    <row r="922" spans="9:9" x14ac:dyDescent="0.2">
      <c r="I922" s="113"/>
    </row>
    <row r="923" spans="9:9" x14ac:dyDescent="0.2">
      <c r="I923" s="113"/>
    </row>
    <row r="924" spans="9:9" x14ac:dyDescent="0.2">
      <c r="I924" s="113"/>
    </row>
    <row r="925" spans="9:9" x14ac:dyDescent="0.2">
      <c r="I925" s="113"/>
    </row>
    <row r="926" spans="9:9" x14ac:dyDescent="0.2">
      <c r="I926" s="113"/>
    </row>
    <row r="927" spans="9:9" x14ac:dyDescent="0.2">
      <c r="I927" s="113"/>
    </row>
    <row r="928" spans="9:9" x14ac:dyDescent="0.2">
      <c r="I928" s="113"/>
    </row>
    <row r="929" spans="9:9" x14ac:dyDescent="0.2">
      <c r="I929" s="113"/>
    </row>
    <row r="930" spans="9:9" x14ac:dyDescent="0.2">
      <c r="I930" s="113"/>
    </row>
    <row r="931" spans="9:9" x14ac:dyDescent="0.2">
      <c r="I931" s="113"/>
    </row>
    <row r="932" spans="9:9" x14ac:dyDescent="0.2">
      <c r="I932" s="113"/>
    </row>
    <row r="933" spans="9:9" x14ac:dyDescent="0.2">
      <c r="I933" s="113"/>
    </row>
    <row r="934" spans="9:9" x14ac:dyDescent="0.2">
      <c r="I934" s="113"/>
    </row>
    <row r="935" spans="9:9" x14ac:dyDescent="0.2">
      <c r="I935" s="113"/>
    </row>
    <row r="936" spans="9:9" x14ac:dyDescent="0.2">
      <c r="I936" s="113"/>
    </row>
    <row r="937" spans="9:9" x14ac:dyDescent="0.2">
      <c r="I937" s="113"/>
    </row>
    <row r="938" spans="9:9" x14ac:dyDescent="0.2">
      <c r="I938" s="113"/>
    </row>
    <row r="939" spans="9:9" x14ac:dyDescent="0.2">
      <c r="I939" s="113"/>
    </row>
    <row r="940" spans="9:9" x14ac:dyDescent="0.2">
      <c r="I940" s="113"/>
    </row>
    <row r="941" spans="9:9" x14ac:dyDescent="0.2">
      <c r="I941" s="113"/>
    </row>
    <row r="942" spans="9:9" x14ac:dyDescent="0.2">
      <c r="I942" s="113"/>
    </row>
    <row r="943" spans="9:9" x14ac:dyDescent="0.2">
      <c r="I943" s="113"/>
    </row>
    <row r="944" spans="9:9" x14ac:dyDescent="0.2">
      <c r="I944" s="113"/>
    </row>
    <row r="945" spans="9:9" x14ac:dyDescent="0.2">
      <c r="I945" s="113"/>
    </row>
    <row r="946" spans="9:9" x14ac:dyDescent="0.2">
      <c r="I946" s="113"/>
    </row>
    <row r="947" spans="9:9" x14ac:dyDescent="0.2">
      <c r="I947" s="113"/>
    </row>
    <row r="948" spans="9:9" x14ac:dyDescent="0.2">
      <c r="I948" s="113"/>
    </row>
    <row r="949" spans="9:9" x14ac:dyDescent="0.2">
      <c r="I949" s="113"/>
    </row>
    <row r="950" spans="9:9" x14ac:dyDescent="0.2">
      <c r="I950" s="113"/>
    </row>
    <row r="951" spans="9:9" x14ac:dyDescent="0.2">
      <c r="I951" s="113"/>
    </row>
    <row r="952" spans="9:9" x14ac:dyDescent="0.2">
      <c r="I952" s="113"/>
    </row>
    <row r="953" spans="9:9" x14ac:dyDescent="0.2">
      <c r="I953" s="113"/>
    </row>
    <row r="954" spans="9:9" x14ac:dyDescent="0.2">
      <c r="I954" s="113"/>
    </row>
    <row r="955" spans="9:9" x14ac:dyDescent="0.2">
      <c r="I955" s="113"/>
    </row>
    <row r="956" spans="9:9" x14ac:dyDescent="0.2">
      <c r="I956" s="113"/>
    </row>
    <row r="957" spans="9:9" x14ac:dyDescent="0.2">
      <c r="I957" s="113"/>
    </row>
    <row r="958" spans="9:9" x14ac:dyDescent="0.2">
      <c r="I958" s="113"/>
    </row>
    <row r="959" spans="9:9" x14ac:dyDescent="0.2">
      <c r="I959" s="113"/>
    </row>
    <row r="960" spans="9:9" x14ac:dyDescent="0.2">
      <c r="I960" s="113"/>
    </row>
    <row r="961" spans="9:9" x14ac:dyDescent="0.2">
      <c r="I961" s="113"/>
    </row>
    <row r="962" spans="9:9" x14ac:dyDescent="0.2">
      <c r="I962" s="113"/>
    </row>
    <row r="963" spans="9:9" x14ac:dyDescent="0.2">
      <c r="I963" s="113"/>
    </row>
    <row r="964" spans="9:9" x14ac:dyDescent="0.2">
      <c r="I964" s="113"/>
    </row>
    <row r="965" spans="9:9" x14ac:dyDescent="0.2">
      <c r="I965" s="113"/>
    </row>
    <row r="966" spans="9:9" x14ac:dyDescent="0.2">
      <c r="I966" s="113"/>
    </row>
    <row r="967" spans="9:9" x14ac:dyDescent="0.2">
      <c r="I967" s="113"/>
    </row>
    <row r="968" spans="9:9" x14ac:dyDescent="0.2">
      <c r="I968" s="113"/>
    </row>
    <row r="969" spans="9:9" x14ac:dyDescent="0.2">
      <c r="I969" s="113"/>
    </row>
    <row r="970" spans="9:9" x14ac:dyDescent="0.2">
      <c r="I970" s="113"/>
    </row>
    <row r="971" spans="9:9" x14ac:dyDescent="0.2">
      <c r="I971" s="113"/>
    </row>
    <row r="972" spans="9:9" x14ac:dyDescent="0.2">
      <c r="I972" s="113"/>
    </row>
    <row r="973" spans="9:9" x14ac:dyDescent="0.2">
      <c r="I973" s="113"/>
    </row>
    <row r="974" spans="9:9" x14ac:dyDescent="0.2">
      <c r="I974" s="113"/>
    </row>
    <row r="975" spans="9:9" x14ac:dyDescent="0.2">
      <c r="I975" s="113"/>
    </row>
    <row r="976" spans="9:9" x14ac:dyDescent="0.2">
      <c r="I976" s="113"/>
    </row>
    <row r="977" spans="9:9" x14ac:dyDescent="0.2">
      <c r="I977" s="113"/>
    </row>
    <row r="978" spans="9:9" x14ac:dyDescent="0.2">
      <c r="I978" s="113"/>
    </row>
    <row r="979" spans="9:9" x14ac:dyDescent="0.2">
      <c r="I979" s="113"/>
    </row>
    <row r="980" spans="9:9" x14ac:dyDescent="0.2">
      <c r="I980" s="113"/>
    </row>
    <row r="981" spans="9:9" x14ac:dyDescent="0.2">
      <c r="I981" s="113"/>
    </row>
    <row r="982" spans="9:9" x14ac:dyDescent="0.2">
      <c r="I982" s="113"/>
    </row>
    <row r="983" spans="9:9" x14ac:dyDescent="0.2">
      <c r="I983" s="113"/>
    </row>
    <row r="984" spans="9:9" x14ac:dyDescent="0.2">
      <c r="I984" s="113"/>
    </row>
    <row r="985" spans="9:9" x14ac:dyDescent="0.2">
      <c r="I985" s="113"/>
    </row>
    <row r="986" spans="9:9" x14ac:dyDescent="0.2">
      <c r="I986" s="113"/>
    </row>
    <row r="987" spans="9:9" x14ac:dyDescent="0.2">
      <c r="I987" s="113"/>
    </row>
    <row r="988" spans="9:9" x14ac:dyDescent="0.2">
      <c r="I988" s="113"/>
    </row>
    <row r="989" spans="9:9" x14ac:dyDescent="0.2">
      <c r="I989" s="113"/>
    </row>
    <row r="990" spans="9:9" x14ac:dyDescent="0.2">
      <c r="I990" s="113"/>
    </row>
    <row r="991" spans="9:9" x14ac:dyDescent="0.2">
      <c r="I991" s="113"/>
    </row>
    <row r="992" spans="9:9" x14ac:dyDescent="0.2">
      <c r="I992" s="113"/>
    </row>
    <row r="993" spans="9:9" x14ac:dyDescent="0.2">
      <c r="I993" s="113"/>
    </row>
    <row r="994" spans="9:9" x14ac:dyDescent="0.2">
      <c r="I994" s="113"/>
    </row>
    <row r="995" spans="9:9" x14ac:dyDescent="0.2">
      <c r="I995" s="113"/>
    </row>
    <row r="996" spans="9:9" x14ac:dyDescent="0.2">
      <c r="I996" s="113"/>
    </row>
    <row r="997" spans="9:9" x14ac:dyDescent="0.2">
      <c r="I997" s="113"/>
    </row>
    <row r="998" spans="9:9" x14ac:dyDescent="0.2">
      <c r="I998" s="113"/>
    </row>
    <row r="999" spans="9:9" x14ac:dyDescent="0.2">
      <c r="I999" s="113"/>
    </row>
    <row r="1000" spans="9:9" x14ac:dyDescent="0.2">
      <c r="I1000" s="113"/>
    </row>
  </sheetData>
  <sheetProtection password="8441" sheet="1" objects="1" scenarios="1"/>
  <mergeCells count="4">
    <mergeCell ref="B1:F1"/>
    <mergeCell ref="C11:H11"/>
    <mergeCell ref="B12:C13"/>
    <mergeCell ref="B2:F2"/>
  </mergeCells>
  <dataValidations count="6">
    <dataValidation type="textLength" operator="equal" allowBlank="1" showErrorMessage="1" errorTitle="DateDep" error="DateDep  is invalid. Pl enter in dd/mm/yyyy format" sqref="D10 D5:D8">
      <formula1>10</formula1>
    </dataValidation>
    <dataValidation type="whole" allowBlank="1" showErrorMessage="1" errorTitle="Amt" error="Amt  Non negative, no decimal, upto 99,999,999,999,999" sqref="F10 F5:F8">
      <formula1>0</formula1>
      <formula2>99999999999999</formula2>
    </dataValidation>
    <dataValidation type="whole" allowBlank="1" showErrorMessage="1" errorTitle="SrlNoOfChaln" error="SrlNoOfChaln  should be atmost 5 in Length " sqref="E10">
      <formula1>0</formula1>
      <formula2>99999</formula2>
    </dataValidation>
    <dataValidation type="textLength" operator="equal" allowBlank="1" showErrorMessage="1" errorTitle="BSRCode" error="BSR Code should be exactly 7 in length._x000a_" sqref="C5:C8">
      <formula1>7</formula1>
    </dataValidation>
    <dataValidation operator="equal" allowBlank="1" showErrorMessage="1" errorTitle="BSRCode" error="BSR Code should be exactly 7 in length._x000a_" sqref="C10"/>
    <dataValidation type="textLength" operator="lessThanOrEqual" allowBlank="1" showErrorMessage="1" errorTitle="SrlNoOfChaln" error="SrlNoOfChaln  should be atmost 5 in Length " sqref="E5:E8">
      <formula1>5</formula1>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Button 6">
              <controlPr defaultSize="0" print="0" autoFill="0" autoPict="0" macro="[0]!Cmd_Validate_IT_Click">
                <anchor>
                  <from>
                    <xdr:col>8</xdr:col>
                    <xdr:colOff>95250</xdr:colOff>
                    <xdr:row>2</xdr:row>
                    <xdr:rowOff>438150</xdr:rowOff>
                  </from>
                  <to>
                    <xdr:col>8</xdr:col>
                    <xdr:colOff>1047750</xdr:colOff>
                    <xdr:row>4</xdr:row>
                    <xdr:rowOff>19050</xdr:rowOff>
                  </to>
                </anchor>
              </controlPr>
            </control>
          </mc:Choice>
        </mc:AlternateContent>
        <mc:AlternateContent xmlns:mc="http://schemas.openxmlformats.org/markup-compatibility/2006">
          <mc:Choice Requires="x14">
            <control shapeId="36871" r:id="rId5" name="Button 7">
              <controlPr defaultSize="0" print="0" autoFill="0" autoPict="0" macro="[0]!Cmd_AddRows_IT_Click">
                <anchor moveWithCells="1">
                  <from>
                    <xdr:col>1</xdr:col>
                    <xdr:colOff>38100</xdr:colOff>
                    <xdr:row>11</xdr:row>
                    <xdr:rowOff>66675</xdr:rowOff>
                  </from>
                  <to>
                    <xdr:col>3</xdr:col>
                    <xdr:colOff>19050</xdr:colOff>
                    <xdr:row>13</xdr:row>
                    <xdr:rowOff>28575</xdr:rowOff>
                  </to>
                </anchor>
              </controlPr>
            </control>
          </mc:Choice>
        </mc:AlternateContent>
        <mc:AlternateContent xmlns:mc="http://schemas.openxmlformats.org/markup-compatibility/2006">
          <mc:Choice Requires="x14">
            <control shapeId="36873" r:id="rId6" name="Button 9">
              <controlPr defaultSize="0" print="0" autoFill="0" autoPict="0" macro="[0]!Prev_Sheet">
                <anchor>
                  <from>
                    <xdr:col>8</xdr:col>
                    <xdr:colOff>95250</xdr:colOff>
                    <xdr:row>2</xdr:row>
                    <xdr:rowOff>209550</xdr:rowOff>
                  </from>
                  <to>
                    <xdr:col>8</xdr:col>
                    <xdr:colOff>1047750</xdr:colOff>
                    <xdr:row>2</xdr:row>
                    <xdr:rowOff>438150</xdr:rowOff>
                  </to>
                </anchor>
              </controlPr>
            </control>
          </mc:Choice>
        </mc:AlternateContent>
        <mc:AlternateContent xmlns:mc="http://schemas.openxmlformats.org/markup-compatibility/2006">
          <mc:Choice Requires="x14">
            <control shapeId="36874" r:id="rId7" name="Button 10">
              <controlPr defaultSize="0" print="0" autoFill="0" autoPict="0" macro="[0]!Img_Home_Click">
                <anchor>
                  <from>
                    <xdr:col>8</xdr:col>
                    <xdr:colOff>95250</xdr:colOff>
                    <xdr:row>0</xdr:row>
                    <xdr:rowOff>57150</xdr:rowOff>
                  </from>
                  <to>
                    <xdr:col>8</xdr:col>
                    <xdr:colOff>1047750</xdr:colOff>
                    <xdr:row>1</xdr:row>
                    <xdr:rowOff>114300</xdr:rowOff>
                  </to>
                </anchor>
              </controlPr>
            </control>
          </mc:Choice>
        </mc:AlternateContent>
        <mc:AlternateContent xmlns:mc="http://schemas.openxmlformats.org/markup-compatibility/2006">
          <mc:Choice Requires="x14">
            <control shapeId="36876" r:id="rId8" name="Button 12">
              <controlPr defaultSize="0" print="0" autoFill="0" autoPict="0" macro="[0]!Instruction_Sheet">
                <anchor>
                  <from>
                    <xdr:col>8</xdr:col>
                    <xdr:colOff>95250</xdr:colOff>
                    <xdr:row>7</xdr:row>
                    <xdr:rowOff>28575</xdr:rowOff>
                  </from>
                  <to>
                    <xdr:col>8</xdr:col>
                    <xdr:colOff>1047750</xdr:colOff>
                    <xdr:row>8</xdr:row>
                    <xdr:rowOff>95250</xdr:rowOff>
                  </to>
                </anchor>
              </controlPr>
            </control>
          </mc:Choice>
        </mc:AlternateContent>
        <mc:AlternateContent xmlns:mc="http://schemas.openxmlformats.org/markup-compatibility/2006">
          <mc:Choice Requires="x14">
            <control shapeId="36877" r:id="rId9" name="Button 13">
              <controlPr defaultSize="0" print="0" autoFill="0" autoPict="0" macro="[0]!WorksheetsPrint">
                <anchor>
                  <from>
                    <xdr:col>8</xdr:col>
                    <xdr:colOff>95250</xdr:colOff>
                    <xdr:row>4</xdr:row>
                    <xdr:rowOff>38100</xdr:rowOff>
                  </from>
                  <to>
                    <xdr:col>8</xdr:col>
                    <xdr:colOff>1047750</xdr:colOff>
                    <xdr:row>5</xdr:row>
                    <xdr:rowOff>104775</xdr:rowOff>
                  </to>
                </anchor>
              </controlPr>
            </control>
          </mc:Choice>
        </mc:AlternateContent>
        <mc:AlternateContent xmlns:mc="http://schemas.openxmlformats.org/markup-compatibility/2006">
          <mc:Choice Requires="x14">
            <control shapeId="36878" r:id="rId10" name="Button 14">
              <controlPr defaultSize="0" print="0" autoFill="0" autoPict="0" macro="[0]!ValidateAll_XML">
                <anchor>
                  <from>
                    <xdr:col>8</xdr:col>
                    <xdr:colOff>95250</xdr:colOff>
                    <xdr:row>5</xdr:row>
                    <xdr:rowOff>114300</xdr:rowOff>
                  </from>
                  <to>
                    <xdr:col>8</xdr:col>
                    <xdr:colOff>1047750</xdr:colOff>
                    <xdr:row>7</xdr:row>
                    <xdr:rowOff>19050</xdr:rowOff>
                  </to>
                </anchor>
              </controlPr>
            </control>
          </mc:Choice>
        </mc:AlternateContent>
        <mc:AlternateContent xmlns:mc="http://schemas.openxmlformats.org/markup-compatibility/2006">
          <mc:Choice Requires="x14">
            <control shapeId="36879" r:id="rId11" name="Button 15">
              <controlPr defaultSize="0" print="0" autoFill="0" autoPict="0" macro="[0]!Next_Sheet">
                <anchor>
                  <from>
                    <xdr:col>8</xdr:col>
                    <xdr:colOff>95250</xdr:colOff>
                    <xdr:row>1</xdr:row>
                    <xdr:rowOff>133350</xdr:rowOff>
                  </from>
                  <to>
                    <xdr:col>8</xdr:col>
                    <xdr:colOff>1047750</xdr:colOff>
                    <xdr:row>2</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XFC99"/>
  <sheetViews>
    <sheetView showGridLines="0" showRowColHeaders="0" zoomScaleNormal="100" workbookViewId="0">
      <selection activeCell="J4" sqref="J4"/>
    </sheetView>
  </sheetViews>
  <sheetFormatPr defaultColWidth="0" defaultRowHeight="15" zeroHeight="1" x14ac:dyDescent="0.25"/>
  <cols>
    <col min="1" max="1" width="3.28515625" style="2326" customWidth="1"/>
    <col min="2" max="2" width="2.7109375" style="2326" customWidth="1"/>
    <col min="3" max="3" width="2.85546875" customWidth="1"/>
    <col min="4" max="4" width="7.140625" customWidth="1"/>
    <col min="5" max="5" width="4.7109375" customWidth="1"/>
    <col min="6" max="6" width="6" customWidth="1"/>
    <col min="7" max="7" width="38.42578125" customWidth="1"/>
    <col min="8" max="8" width="28.42578125" customWidth="1"/>
    <col min="9" max="9" width="4.28515625" style="2381" customWidth="1"/>
    <col min="10" max="10" width="19.5703125" customWidth="1"/>
    <col min="11" max="11" width="17.85546875" customWidth="1"/>
    <col min="12" max="12" width="17.5703125" customWidth="1"/>
    <col min="13" max="13" width="4.28515625" customWidth="1"/>
    <col min="14" max="14" width="26.85546875" customWidth="1"/>
    <col min="15" max="17" width="1" hidden="1" customWidth="1"/>
    <col min="18" max="16383" width="1.7109375" hidden="1"/>
    <col min="16384" max="16384" width="1" hidden="1"/>
  </cols>
  <sheetData>
    <row r="1" spans="1:21" s="2326" customFormat="1" ht="15.75" thickBot="1" x14ac:dyDescent="0.3">
      <c r="A1" s="2338"/>
      <c r="B1" s="2338"/>
      <c r="C1" s="2338"/>
      <c r="D1" s="2338"/>
      <c r="E1" s="2338"/>
      <c r="F1" s="2338"/>
      <c r="G1" s="2338"/>
      <c r="H1" s="2338"/>
      <c r="I1" s="2374"/>
      <c r="J1" s="2338"/>
      <c r="K1" s="2338"/>
      <c r="L1" s="2338"/>
      <c r="N1" s="2338"/>
      <c r="O1" s="2515"/>
      <c r="U1" s="2387">
        <v>0</v>
      </c>
    </row>
    <row r="2" spans="1:21" x14ac:dyDescent="0.25">
      <c r="A2" s="2338"/>
      <c r="B2" s="2340"/>
      <c r="C2" s="2341"/>
      <c r="D2" s="2341"/>
      <c r="E2" s="2341"/>
      <c r="F2" s="2341"/>
      <c r="G2" s="2341"/>
      <c r="H2" s="2341"/>
      <c r="I2" s="2375"/>
      <c r="J2" s="2341"/>
      <c r="K2" s="2341"/>
      <c r="L2" s="2341"/>
      <c r="M2" s="2372"/>
      <c r="N2" s="2338"/>
    </row>
    <row r="3" spans="1:21" x14ac:dyDescent="0.25">
      <c r="A3" s="2338"/>
      <c r="B3" s="2342"/>
      <c r="C3" s="3289" t="s">
        <v>744</v>
      </c>
      <c r="D3" s="3290"/>
      <c r="E3" s="3015" t="s">
        <v>8217</v>
      </c>
      <c r="F3" s="3015"/>
      <c r="G3" s="3015"/>
      <c r="H3" s="3015"/>
      <c r="I3" s="3015"/>
      <c r="J3" s="3015"/>
      <c r="K3" s="3015"/>
      <c r="L3" s="3016"/>
      <c r="M3" s="2369"/>
      <c r="N3" s="2338"/>
    </row>
    <row r="4" spans="1:21" s="2337" customFormat="1" ht="38.25" x14ac:dyDescent="0.25">
      <c r="A4" s="2339"/>
      <c r="B4" s="2343"/>
      <c r="C4" s="2335"/>
      <c r="D4" s="3291" t="s">
        <v>745</v>
      </c>
      <c r="E4" s="3291"/>
      <c r="F4" s="3291"/>
      <c r="G4" s="2607"/>
      <c r="H4" s="2336" t="s">
        <v>11958</v>
      </c>
      <c r="I4" s="2376"/>
      <c r="J4" s="2608" t="s">
        <v>12</v>
      </c>
      <c r="K4" s="2317" t="s">
        <v>9219</v>
      </c>
      <c r="L4" s="2609"/>
      <c r="M4" s="2373"/>
      <c r="N4" s="2339"/>
    </row>
    <row r="5" spans="1:21" x14ac:dyDescent="0.25">
      <c r="A5" s="2338"/>
      <c r="B5" s="2342"/>
      <c r="C5" s="406"/>
      <c r="D5" s="3292" t="s">
        <v>746</v>
      </c>
      <c r="E5" s="3292"/>
      <c r="F5" s="3292"/>
      <c r="G5" s="3292"/>
      <c r="H5" s="2647"/>
      <c r="I5" s="2377"/>
      <c r="J5" s="1419" t="s">
        <v>747</v>
      </c>
      <c r="K5" s="1420" t="s">
        <v>748</v>
      </c>
      <c r="L5" s="1420" t="s">
        <v>8852</v>
      </c>
      <c r="M5" s="2369"/>
      <c r="N5" s="2338"/>
      <c r="Q5" s="2387">
        <v>24</v>
      </c>
    </row>
    <row r="6" spans="1:21" x14ac:dyDescent="0.25">
      <c r="A6" s="2338"/>
      <c r="B6" s="2342"/>
      <c r="C6" s="406"/>
      <c r="D6" s="3293" t="s">
        <v>16</v>
      </c>
      <c r="E6" s="3294"/>
      <c r="F6" s="3294"/>
      <c r="G6" s="3294"/>
      <c r="H6" s="2647"/>
      <c r="I6" s="2377"/>
      <c r="J6" s="2649" t="s">
        <v>23</v>
      </c>
      <c r="K6" s="2610"/>
      <c r="L6" s="2281"/>
      <c r="M6" s="2369"/>
      <c r="N6" s="2338"/>
      <c r="Q6" s="2387">
        <v>2</v>
      </c>
    </row>
    <row r="7" spans="1:21" x14ac:dyDescent="0.25">
      <c r="A7" s="2338"/>
      <c r="B7" s="2342"/>
      <c r="C7" s="406"/>
      <c r="D7" s="2358">
        <v>1</v>
      </c>
      <c r="E7" s="3286" t="s">
        <v>13076</v>
      </c>
      <c r="F7" s="3286"/>
      <c r="G7" s="3286"/>
      <c r="H7" s="3286"/>
      <c r="I7" s="3287"/>
      <c r="J7" s="3288"/>
      <c r="K7" s="2329">
        <v>1</v>
      </c>
      <c r="L7" s="235">
        <v>0</v>
      </c>
      <c r="M7" s="2369"/>
      <c r="N7" s="2338"/>
      <c r="Q7" s="2387">
        <f>SUMIF(Salary.ValueSection1,"Stock options allotted or transferred by employer being an eligible start-up referred to in section 80-IAC-Tax to be defered",Salary.ValueAmount1)</f>
        <v>0</v>
      </c>
    </row>
    <row r="8" spans="1:21" x14ac:dyDescent="0.25">
      <c r="A8" s="2338"/>
      <c r="B8" s="2342"/>
      <c r="C8" s="406"/>
      <c r="D8" s="2353"/>
      <c r="E8" s="2345" t="s">
        <v>27</v>
      </c>
      <c r="F8" s="3283" t="s">
        <v>8916</v>
      </c>
      <c r="G8" s="3283"/>
      <c r="H8" s="3283"/>
      <c r="I8" s="1109" t="s">
        <v>328</v>
      </c>
      <c r="J8" s="235">
        <v>0</v>
      </c>
      <c r="K8" s="1110"/>
      <c r="L8" s="1111"/>
      <c r="M8" s="2369"/>
      <c r="N8" s="2338"/>
      <c r="Q8" s="2387">
        <v>0</v>
      </c>
    </row>
    <row r="9" spans="1:21" ht="20.25" customHeight="1" x14ac:dyDescent="0.25">
      <c r="A9" s="2338"/>
      <c r="B9" s="2342"/>
      <c r="C9" s="406"/>
      <c r="D9" s="2353"/>
      <c r="E9" s="2346"/>
      <c r="F9" s="1260" t="s">
        <v>1201</v>
      </c>
      <c r="G9" s="1260" t="s">
        <v>9319</v>
      </c>
      <c r="H9" s="1260" t="s">
        <v>8409</v>
      </c>
      <c r="I9" s="1109"/>
      <c r="J9" s="1260" t="s">
        <v>415</v>
      </c>
      <c r="K9" s="2324"/>
      <c r="L9" s="2325"/>
      <c r="M9" s="2369"/>
      <c r="N9" s="2338"/>
    </row>
    <row r="10" spans="1:21" x14ac:dyDescent="0.25">
      <c r="A10" s="2338"/>
      <c r="B10" s="2342"/>
      <c r="C10" s="406"/>
      <c r="D10" s="2353"/>
      <c r="E10" s="2346"/>
      <c r="F10" s="1261">
        <v>1</v>
      </c>
      <c r="G10" s="2611" t="s">
        <v>12</v>
      </c>
      <c r="H10" s="2127" t="s">
        <v>23</v>
      </c>
      <c r="I10" s="1109"/>
      <c r="J10" s="2089"/>
      <c r="K10" s="2324"/>
      <c r="L10" s="2325"/>
      <c r="M10" s="2369"/>
      <c r="N10" s="2338"/>
    </row>
    <row r="11" spans="1:21" x14ac:dyDescent="0.25">
      <c r="A11" s="2338"/>
      <c r="B11" s="2342"/>
      <c r="C11" s="406"/>
      <c r="D11" s="2353"/>
      <c r="E11" s="2347"/>
      <c r="F11" s="1261">
        <f>F10+1</f>
        <v>2</v>
      </c>
      <c r="G11" s="2611" t="s">
        <v>12</v>
      </c>
      <c r="H11" s="2141" t="s">
        <v>23</v>
      </c>
      <c r="I11" s="1109"/>
      <c r="J11" s="2089"/>
      <c r="K11" s="2324"/>
      <c r="L11" s="2325"/>
      <c r="M11" s="2369"/>
      <c r="N11" s="2338"/>
    </row>
    <row r="12" spans="1:21" x14ac:dyDescent="0.25">
      <c r="A12" s="2338"/>
      <c r="B12" s="2342"/>
      <c r="C12" s="406"/>
      <c r="D12" s="2353"/>
      <c r="E12" s="2345" t="s">
        <v>28</v>
      </c>
      <c r="F12" s="3283" t="s">
        <v>8917</v>
      </c>
      <c r="G12" s="3283"/>
      <c r="H12" s="3283"/>
      <c r="I12" s="1109" t="s">
        <v>330</v>
      </c>
      <c r="J12" s="1396">
        <v>0</v>
      </c>
      <c r="K12" s="2324"/>
      <c r="L12" s="2325"/>
      <c r="M12" s="2369"/>
      <c r="N12" s="2338"/>
    </row>
    <row r="13" spans="1:21" x14ac:dyDescent="0.25">
      <c r="A13" s="2338"/>
      <c r="B13" s="2342"/>
      <c r="C13" s="406"/>
      <c r="D13" s="2353"/>
      <c r="E13" s="2346"/>
      <c r="F13" s="1260" t="s">
        <v>1201</v>
      </c>
      <c r="G13" s="1260" t="s">
        <v>9320</v>
      </c>
      <c r="H13" s="1260" t="s">
        <v>8409</v>
      </c>
      <c r="I13" s="1109"/>
      <c r="J13" s="1260" t="s">
        <v>415</v>
      </c>
      <c r="K13" s="2324"/>
      <c r="L13" s="2325"/>
      <c r="M13" s="2369"/>
      <c r="N13" s="2338"/>
    </row>
    <row r="14" spans="1:21" x14ac:dyDescent="0.25">
      <c r="A14" s="2338"/>
      <c r="B14" s="2342"/>
      <c r="C14" s="406"/>
      <c r="D14" s="2353"/>
      <c r="E14" s="2346"/>
      <c r="F14" s="1261">
        <v>1</v>
      </c>
      <c r="G14" s="2611" t="s">
        <v>12</v>
      </c>
      <c r="H14" s="2127"/>
      <c r="I14" s="1109"/>
      <c r="J14" s="2089"/>
      <c r="K14" s="2324"/>
      <c r="L14" s="2325"/>
      <c r="M14" s="2369"/>
      <c r="N14" s="2338"/>
    </row>
    <row r="15" spans="1:21" x14ac:dyDescent="0.25">
      <c r="A15" s="2338"/>
      <c r="B15" s="2342"/>
      <c r="C15" s="406"/>
      <c r="D15" s="2353"/>
      <c r="E15" s="2347"/>
      <c r="F15" s="1261">
        <f>1+F14</f>
        <v>2</v>
      </c>
      <c r="G15" s="2611" t="s">
        <v>12</v>
      </c>
      <c r="H15" s="2141"/>
      <c r="I15" s="1109"/>
      <c r="J15" s="2089"/>
      <c r="K15" s="2324"/>
      <c r="L15" s="2325"/>
      <c r="M15" s="2369"/>
      <c r="N15" s="2338"/>
    </row>
    <row r="16" spans="1:21" x14ac:dyDescent="0.25">
      <c r="A16" s="2338"/>
      <c r="B16" s="2342"/>
      <c r="C16" s="406"/>
      <c r="D16" s="2353"/>
      <c r="E16" s="2347"/>
      <c r="F16" s="1261">
        <f>1+F15</f>
        <v>3</v>
      </c>
      <c r="G16" s="2611" t="s">
        <v>12</v>
      </c>
      <c r="H16" s="2141"/>
      <c r="I16" s="1109"/>
      <c r="J16" s="2089"/>
      <c r="K16" s="2324"/>
      <c r="L16" s="2325"/>
      <c r="M16" s="2369"/>
      <c r="N16" s="2338"/>
    </row>
    <row r="17" spans="1:17" x14ac:dyDescent="0.25">
      <c r="A17" s="2338"/>
      <c r="B17" s="2342"/>
      <c r="C17" s="406"/>
      <c r="D17" s="2353"/>
      <c r="E17" s="2348" t="s">
        <v>29</v>
      </c>
      <c r="F17" s="3284" t="s">
        <v>8918</v>
      </c>
      <c r="G17" s="3283"/>
      <c r="H17" s="3283"/>
      <c r="I17" s="1109" t="s">
        <v>303</v>
      </c>
      <c r="J17" s="1396">
        <v>0</v>
      </c>
      <c r="K17" s="2324"/>
      <c r="L17" s="2325"/>
      <c r="M17" s="2369"/>
      <c r="N17" s="2338"/>
    </row>
    <row r="18" spans="1:17" x14ac:dyDescent="0.25">
      <c r="A18" s="2338"/>
      <c r="B18" s="2342"/>
      <c r="C18" s="406"/>
      <c r="D18" s="2353"/>
      <c r="E18" s="2349"/>
      <c r="F18" s="1260" t="s">
        <v>1201</v>
      </c>
      <c r="G18" s="1260" t="s">
        <v>9321</v>
      </c>
      <c r="H18" s="1260" t="s">
        <v>8409</v>
      </c>
      <c r="I18" s="1109"/>
      <c r="J18" s="1260" t="s">
        <v>415</v>
      </c>
      <c r="K18" s="2324"/>
      <c r="L18" s="2325"/>
      <c r="M18" s="2369"/>
      <c r="N18" s="2338"/>
    </row>
    <row r="19" spans="1:17" x14ac:dyDescent="0.25">
      <c r="A19" s="2338"/>
      <c r="B19" s="2342"/>
      <c r="C19" s="406"/>
      <c r="D19" s="2353"/>
      <c r="E19" s="2349"/>
      <c r="F19" s="1261">
        <v>1</v>
      </c>
      <c r="G19" s="2611" t="s">
        <v>12</v>
      </c>
      <c r="H19" s="2127"/>
      <c r="I19" s="1109"/>
      <c r="J19" s="2089"/>
      <c r="K19" s="2324"/>
      <c r="L19" s="2325"/>
      <c r="M19" s="2369"/>
      <c r="N19" s="2338"/>
    </row>
    <row r="20" spans="1:17" x14ac:dyDescent="0.25">
      <c r="A20" s="2338"/>
      <c r="B20" s="2342"/>
      <c r="C20" s="2359"/>
      <c r="D20" s="2353"/>
      <c r="E20" s="2349"/>
      <c r="F20" s="2344">
        <f>1+F19</f>
        <v>2</v>
      </c>
      <c r="G20" s="2612" t="s">
        <v>12</v>
      </c>
      <c r="H20" s="2141"/>
      <c r="I20" s="2378"/>
      <c r="J20" s="2613"/>
      <c r="K20" s="2324"/>
      <c r="L20" s="2325"/>
      <c r="M20" s="2369"/>
      <c r="N20" s="2338"/>
    </row>
    <row r="21" spans="1:17" s="2472" customFormat="1" x14ac:dyDescent="0.25">
      <c r="A21" s="2338"/>
      <c r="B21" s="2342"/>
      <c r="C21" s="2359"/>
      <c r="D21" s="2353"/>
      <c r="E21" s="2476" t="s">
        <v>36</v>
      </c>
      <c r="F21" s="3283" t="s">
        <v>13078</v>
      </c>
      <c r="G21" s="3283"/>
      <c r="H21" s="3283"/>
      <c r="I21" s="1109" t="s">
        <v>332</v>
      </c>
      <c r="J21" s="2473">
        <v>0</v>
      </c>
      <c r="K21" s="2470"/>
      <c r="L21" s="2471"/>
      <c r="M21" s="2369"/>
      <c r="N21" s="2338"/>
    </row>
    <row r="22" spans="1:17" s="2472" customFormat="1" x14ac:dyDescent="0.25">
      <c r="A22" s="2338"/>
      <c r="B22" s="2342"/>
      <c r="C22" s="2359"/>
      <c r="D22" s="2353"/>
      <c r="E22" s="2476"/>
      <c r="F22" s="1260" t="s">
        <v>1201</v>
      </c>
      <c r="G22" s="3285" t="s">
        <v>17</v>
      </c>
      <c r="H22" s="3284"/>
      <c r="I22" s="1109"/>
      <c r="J22" s="1260" t="s">
        <v>415</v>
      </c>
      <c r="K22" s="2470"/>
      <c r="L22" s="2471"/>
      <c r="M22" s="2369"/>
      <c r="N22" s="2338"/>
    </row>
    <row r="23" spans="1:17" s="2472" customFormat="1" x14ac:dyDescent="0.25">
      <c r="A23" s="2338"/>
      <c r="B23" s="2342"/>
      <c r="C23" s="2359"/>
      <c r="D23" s="2353"/>
      <c r="E23" s="2476"/>
      <c r="F23" s="1261">
        <v>1</v>
      </c>
      <c r="G23" s="3278" t="s">
        <v>13237</v>
      </c>
      <c r="H23" s="3279"/>
      <c r="I23" s="1109"/>
      <c r="J23" s="2089"/>
      <c r="K23" s="2470"/>
      <c r="L23" s="2471"/>
      <c r="M23" s="2369"/>
      <c r="N23" s="2338"/>
    </row>
    <row r="24" spans="1:17" s="2472" customFormat="1" x14ac:dyDescent="0.25">
      <c r="A24" s="2338"/>
      <c r="B24" s="2342"/>
      <c r="C24" s="2359"/>
      <c r="D24" s="2353"/>
      <c r="E24" s="2476"/>
      <c r="F24" s="1261">
        <v>2</v>
      </c>
      <c r="G24" s="3278" t="s">
        <v>13238</v>
      </c>
      <c r="H24" s="3279"/>
      <c r="I24" s="1109"/>
      <c r="J24" s="2089"/>
      <c r="K24" s="2470"/>
      <c r="L24" s="2471"/>
      <c r="M24" s="2369"/>
      <c r="N24" s="2338"/>
    </row>
    <row r="25" spans="1:17" s="2472" customFormat="1" x14ac:dyDescent="0.25">
      <c r="A25" s="2338"/>
      <c r="B25" s="2342"/>
      <c r="C25" s="2359"/>
      <c r="D25" s="2353"/>
      <c r="E25" s="2476"/>
      <c r="F25" s="1261">
        <v>3</v>
      </c>
      <c r="G25" s="3278" t="s">
        <v>13079</v>
      </c>
      <c r="H25" s="3279"/>
      <c r="I25" s="1109"/>
      <c r="J25" s="2089"/>
      <c r="K25" s="2470"/>
      <c r="L25" s="2471"/>
      <c r="M25" s="2369"/>
      <c r="N25" s="2338"/>
    </row>
    <row r="26" spans="1:17" s="2472" customFormat="1" ht="24" customHeight="1" x14ac:dyDescent="0.25">
      <c r="A26" s="2338"/>
      <c r="B26" s="2342"/>
      <c r="C26" s="2359"/>
      <c r="D26" s="2353"/>
      <c r="E26" s="2476" t="s">
        <v>38</v>
      </c>
      <c r="F26" s="3280" t="s">
        <v>13094</v>
      </c>
      <c r="G26" s="3281"/>
      <c r="H26" s="3282"/>
      <c r="I26" s="1109" t="s">
        <v>334</v>
      </c>
      <c r="J26" s="2089"/>
      <c r="K26" s="2470"/>
      <c r="L26" s="2471"/>
      <c r="M26" s="2369"/>
      <c r="N26" s="2338"/>
    </row>
    <row r="27" spans="1:17" x14ac:dyDescent="0.25">
      <c r="A27" s="2338"/>
      <c r="B27" s="2342"/>
      <c r="C27" s="2356"/>
      <c r="D27" s="2366"/>
      <c r="E27" s="3304"/>
      <c r="F27" s="3304"/>
      <c r="G27" s="3304"/>
      <c r="H27" s="3304"/>
      <c r="I27" s="3304"/>
      <c r="J27" s="3305"/>
      <c r="K27" s="2324"/>
      <c r="L27" s="2325"/>
      <c r="M27" s="2369"/>
      <c r="N27" s="2338"/>
    </row>
    <row r="28" spans="1:17" s="2637" customFormat="1" ht="38.25" x14ac:dyDescent="0.25">
      <c r="A28" s="2338"/>
      <c r="B28" s="2342"/>
      <c r="C28" s="2356"/>
      <c r="D28" s="3291" t="s">
        <v>745</v>
      </c>
      <c r="E28" s="3291"/>
      <c r="F28" s="3291"/>
      <c r="G28" s="2607"/>
      <c r="H28" s="2336" t="s">
        <v>11958</v>
      </c>
      <c r="I28" s="2376"/>
      <c r="J28" s="2608"/>
      <c r="K28" s="2631" t="s">
        <v>9219</v>
      </c>
      <c r="L28" s="2609"/>
      <c r="M28" s="2369"/>
      <c r="N28" s="2338"/>
    </row>
    <row r="29" spans="1:17" s="2637" customFormat="1" x14ac:dyDescent="0.25">
      <c r="A29" s="2338"/>
      <c r="B29" s="2342"/>
      <c r="C29" s="2356"/>
      <c r="D29" s="3292" t="s">
        <v>746</v>
      </c>
      <c r="E29" s="3292"/>
      <c r="F29" s="3292"/>
      <c r="G29" s="3292"/>
      <c r="H29" s="2647"/>
      <c r="I29" s="2377"/>
      <c r="J29" s="1419" t="s">
        <v>747</v>
      </c>
      <c r="K29" s="1420" t="s">
        <v>748</v>
      </c>
      <c r="L29" s="1420" t="s">
        <v>8852</v>
      </c>
      <c r="M29" s="2369"/>
      <c r="N29" s="2338"/>
    </row>
    <row r="30" spans="1:17" s="2637" customFormat="1" x14ac:dyDescent="0.25">
      <c r="A30" s="2338"/>
      <c r="B30" s="2342"/>
      <c r="C30" s="2356"/>
      <c r="D30" s="3293" t="s">
        <v>16</v>
      </c>
      <c r="E30" s="3294"/>
      <c r="F30" s="3294"/>
      <c r="G30" s="3294"/>
      <c r="H30" s="2647"/>
      <c r="I30" s="2377"/>
      <c r="J30" s="2649"/>
      <c r="K30" s="2610"/>
      <c r="L30" s="2281"/>
      <c r="M30" s="2369"/>
      <c r="N30" s="2338"/>
    </row>
    <row r="31" spans="1:17" s="2637" customFormat="1" x14ac:dyDescent="0.25">
      <c r="A31" s="2338"/>
      <c r="B31" s="2342"/>
      <c r="C31" s="2356"/>
      <c r="D31" s="2358">
        <v>1</v>
      </c>
      <c r="E31" s="3286" t="s">
        <v>13076</v>
      </c>
      <c r="F31" s="3286"/>
      <c r="G31" s="3286"/>
      <c r="H31" s="3286"/>
      <c r="I31" s="3287"/>
      <c r="J31" s="3288"/>
      <c r="K31" s="2641">
        <v>1</v>
      </c>
      <c r="L31" s="235">
        <v>0</v>
      </c>
      <c r="M31" s="2369"/>
      <c r="N31" s="2338"/>
      <c r="Q31" s="2637">
        <f>SUMIF(Salary.ValueSection2,"Stock options allotted or transferred by employer being an eligible start-up referred to in section 80-IAC",Salary.ValueAmount2)</f>
        <v>0</v>
      </c>
    </row>
    <row r="32" spans="1:17" s="2637" customFormat="1" x14ac:dyDescent="0.25">
      <c r="A32" s="2338"/>
      <c r="B32" s="2342"/>
      <c r="C32" s="2356"/>
      <c r="D32" s="2353"/>
      <c r="E32" s="2345" t="s">
        <v>27</v>
      </c>
      <c r="F32" s="3283" t="s">
        <v>8916</v>
      </c>
      <c r="G32" s="3283"/>
      <c r="H32" s="3283"/>
      <c r="I32" s="1109" t="s">
        <v>328</v>
      </c>
      <c r="J32" s="235">
        <v>0</v>
      </c>
      <c r="K32" s="1110"/>
      <c r="L32" s="1111"/>
      <c r="M32" s="2369"/>
      <c r="N32" s="2338"/>
    </row>
    <row r="33" spans="1:14" s="2637" customFormat="1" x14ac:dyDescent="0.25">
      <c r="A33" s="2338"/>
      <c r="B33" s="2342"/>
      <c r="C33" s="2356"/>
      <c r="D33" s="2353"/>
      <c r="E33" s="2346"/>
      <c r="F33" s="1260" t="s">
        <v>1201</v>
      </c>
      <c r="G33" s="1260" t="s">
        <v>9319</v>
      </c>
      <c r="H33" s="1260" t="s">
        <v>8409</v>
      </c>
      <c r="I33" s="1109"/>
      <c r="J33" s="1260" t="s">
        <v>415</v>
      </c>
      <c r="K33" s="2635"/>
      <c r="L33" s="2636"/>
      <c r="M33" s="2369"/>
      <c r="N33" s="2338"/>
    </row>
    <row r="34" spans="1:14" s="2637" customFormat="1" x14ac:dyDescent="0.25">
      <c r="A34" s="2338"/>
      <c r="B34" s="2342"/>
      <c r="C34" s="2356"/>
      <c r="D34" s="2353"/>
      <c r="E34" s="2346"/>
      <c r="F34" s="1261">
        <v>1</v>
      </c>
      <c r="G34" s="2611"/>
      <c r="H34" s="2127" t="s">
        <v>23</v>
      </c>
      <c r="I34" s="1109"/>
      <c r="J34" s="2089"/>
      <c r="K34" s="2635"/>
      <c r="L34" s="2636"/>
      <c r="M34" s="2369"/>
      <c r="N34" s="2338"/>
    </row>
    <row r="35" spans="1:14" s="2637" customFormat="1" x14ac:dyDescent="0.25">
      <c r="A35" s="2338"/>
      <c r="B35" s="2342"/>
      <c r="C35" s="2356"/>
      <c r="D35" s="2353"/>
      <c r="E35" s="2347"/>
      <c r="F35" s="1261">
        <f>F34+1</f>
        <v>2</v>
      </c>
      <c r="G35" s="2611"/>
      <c r="H35" s="2141" t="s">
        <v>23</v>
      </c>
      <c r="I35" s="1109"/>
      <c r="J35" s="2089"/>
      <c r="K35" s="2635"/>
      <c r="L35" s="2636"/>
      <c r="M35" s="2369"/>
      <c r="N35" s="2338"/>
    </row>
    <row r="36" spans="1:14" s="2637" customFormat="1" x14ac:dyDescent="0.25">
      <c r="A36" s="2338"/>
      <c r="B36" s="2342"/>
      <c r="C36" s="2356"/>
      <c r="D36" s="2353"/>
      <c r="E36" s="2345" t="s">
        <v>28</v>
      </c>
      <c r="F36" s="3283" t="s">
        <v>8917</v>
      </c>
      <c r="G36" s="3283"/>
      <c r="H36" s="3283"/>
      <c r="I36" s="1109" t="s">
        <v>330</v>
      </c>
      <c r="J36" s="1396">
        <v>0</v>
      </c>
      <c r="K36" s="2635"/>
      <c r="L36" s="2636"/>
      <c r="M36" s="2369"/>
      <c r="N36" s="2338"/>
    </row>
    <row r="37" spans="1:14" s="2637" customFormat="1" x14ac:dyDescent="0.25">
      <c r="A37" s="2338"/>
      <c r="B37" s="2342"/>
      <c r="C37" s="2356"/>
      <c r="D37" s="2353"/>
      <c r="E37" s="2346"/>
      <c r="F37" s="1260" t="s">
        <v>1201</v>
      </c>
      <c r="G37" s="1260" t="s">
        <v>9320</v>
      </c>
      <c r="H37" s="1260" t="s">
        <v>8409</v>
      </c>
      <c r="I37" s="1109"/>
      <c r="J37" s="1260" t="s">
        <v>415</v>
      </c>
      <c r="K37" s="2635"/>
      <c r="L37" s="2636"/>
      <c r="M37" s="2369"/>
      <c r="N37" s="2338"/>
    </row>
    <row r="38" spans="1:14" s="2637" customFormat="1" x14ac:dyDescent="0.25">
      <c r="A38" s="2338"/>
      <c r="B38" s="2342"/>
      <c r="C38" s="2356"/>
      <c r="D38" s="2353"/>
      <c r="E38" s="2346"/>
      <c r="F38" s="1261">
        <v>1</v>
      </c>
      <c r="G38" s="2611"/>
      <c r="H38" s="2127" t="s">
        <v>23</v>
      </c>
      <c r="I38" s="1109"/>
      <c r="J38" s="2089"/>
      <c r="K38" s="2635"/>
      <c r="L38" s="2636"/>
      <c r="M38" s="2369"/>
      <c r="N38" s="2338"/>
    </row>
    <row r="39" spans="1:14" s="2637" customFormat="1" x14ac:dyDescent="0.25">
      <c r="A39" s="2338"/>
      <c r="B39" s="2342"/>
      <c r="C39" s="2356"/>
      <c r="D39" s="2353"/>
      <c r="E39" s="2347"/>
      <c r="F39" s="1261">
        <f>1+F38</f>
        <v>2</v>
      </c>
      <c r="G39" s="2611"/>
      <c r="H39" s="2141" t="s">
        <v>23</v>
      </c>
      <c r="I39" s="1109"/>
      <c r="J39" s="2089"/>
      <c r="K39" s="2635"/>
      <c r="L39" s="2636"/>
      <c r="M39" s="2369"/>
      <c r="N39" s="2338"/>
    </row>
    <row r="40" spans="1:14" s="2637" customFormat="1" x14ac:dyDescent="0.25">
      <c r="A40" s="2338"/>
      <c r="B40" s="2342"/>
      <c r="C40" s="2356"/>
      <c r="D40" s="2353"/>
      <c r="E40" s="2347"/>
      <c r="F40" s="1261">
        <f>1+F39</f>
        <v>3</v>
      </c>
      <c r="G40" s="2611"/>
      <c r="H40" s="2141" t="s">
        <v>23</v>
      </c>
      <c r="I40" s="1109"/>
      <c r="J40" s="2089"/>
      <c r="K40" s="2635"/>
      <c r="L40" s="2636"/>
      <c r="M40" s="2369"/>
      <c r="N40" s="2338"/>
    </row>
    <row r="41" spans="1:14" s="2637" customFormat="1" x14ac:dyDescent="0.25">
      <c r="A41" s="2338"/>
      <c r="B41" s="2342"/>
      <c r="C41" s="2356"/>
      <c r="D41" s="2353"/>
      <c r="E41" s="2348" t="s">
        <v>29</v>
      </c>
      <c r="F41" s="3284" t="s">
        <v>8918</v>
      </c>
      <c r="G41" s="3283"/>
      <c r="H41" s="3283"/>
      <c r="I41" s="1109" t="s">
        <v>303</v>
      </c>
      <c r="J41" s="1396">
        <v>0</v>
      </c>
      <c r="K41" s="2635"/>
      <c r="L41" s="2636"/>
      <c r="M41" s="2369"/>
      <c r="N41" s="2338"/>
    </row>
    <row r="42" spans="1:14" s="2637" customFormat="1" x14ac:dyDescent="0.25">
      <c r="A42" s="2338"/>
      <c r="B42" s="2342"/>
      <c r="C42" s="2356"/>
      <c r="D42" s="2353"/>
      <c r="E42" s="2349"/>
      <c r="F42" s="1260" t="s">
        <v>1201</v>
      </c>
      <c r="G42" s="1260" t="s">
        <v>9321</v>
      </c>
      <c r="H42" s="1260" t="s">
        <v>8409</v>
      </c>
      <c r="I42" s="1109"/>
      <c r="J42" s="1260" t="s">
        <v>415</v>
      </c>
      <c r="K42" s="2635"/>
      <c r="L42" s="2636"/>
      <c r="M42" s="2369"/>
      <c r="N42" s="2338"/>
    </row>
    <row r="43" spans="1:14" s="2637" customFormat="1" x14ac:dyDescent="0.25">
      <c r="A43" s="2338"/>
      <c r="B43" s="2342"/>
      <c r="C43" s="2356"/>
      <c r="D43" s="2353"/>
      <c r="E43" s="2349"/>
      <c r="F43" s="1261">
        <v>1</v>
      </c>
      <c r="G43" s="2611"/>
      <c r="H43" s="2127" t="s">
        <v>23</v>
      </c>
      <c r="I43" s="1109"/>
      <c r="J43" s="2089"/>
      <c r="K43" s="2635"/>
      <c r="L43" s="2636"/>
      <c r="M43" s="2369"/>
      <c r="N43" s="2338"/>
    </row>
    <row r="44" spans="1:14" s="2637" customFormat="1" x14ac:dyDescent="0.25">
      <c r="A44" s="2338"/>
      <c r="B44" s="2342"/>
      <c r="C44" s="2356"/>
      <c r="D44" s="2353"/>
      <c r="E44" s="2349"/>
      <c r="F44" s="2344">
        <f>1+F43</f>
        <v>2</v>
      </c>
      <c r="G44" s="2612"/>
      <c r="H44" s="2141" t="s">
        <v>23</v>
      </c>
      <c r="I44" s="2378"/>
      <c r="J44" s="2613"/>
      <c r="K44" s="2635"/>
      <c r="L44" s="2636"/>
      <c r="M44" s="2369"/>
      <c r="N44" s="2338"/>
    </row>
    <row r="45" spans="1:14" s="2637" customFormat="1" x14ac:dyDescent="0.25">
      <c r="A45" s="2338"/>
      <c r="B45" s="2342"/>
      <c r="C45" s="2356"/>
      <c r="D45" s="2353"/>
      <c r="E45" s="2476" t="s">
        <v>36</v>
      </c>
      <c r="F45" s="3283" t="s">
        <v>13078</v>
      </c>
      <c r="G45" s="3283"/>
      <c r="H45" s="3283"/>
      <c r="I45" s="1109" t="s">
        <v>332</v>
      </c>
      <c r="J45" s="2642">
        <v>0</v>
      </c>
      <c r="K45" s="2635"/>
      <c r="L45" s="2636"/>
      <c r="M45" s="2369"/>
      <c r="N45" s="2338"/>
    </row>
    <row r="46" spans="1:14" s="2637" customFormat="1" x14ac:dyDescent="0.25">
      <c r="A46" s="2338"/>
      <c r="B46" s="2342"/>
      <c r="C46" s="2356"/>
      <c r="D46" s="2353"/>
      <c r="E46" s="2476"/>
      <c r="F46" s="1260" t="s">
        <v>1201</v>
      </c>
      <c r="G46" s="3285" t="s">
        <v>17</v>
      </c>
      <c r="H46" s="3284"/>
      <c r="I46" s="1109"/>
      <c r="J46" s="1260" t="s">
        <v>415</v>
      </c>
      <c r="K46" s="2635"/>
      <c r="L46" s="2636"/>
      <c r="M46" s="2369"/>
      <c r="N46" s="2338"/>
    </row>
    <row r="47" spans="1:14" s="2637" customFormat="1" x14ac:dyDescent="0.25">
      <c r="A47" s="2338"/>
      <c r="B47" s="2342"/>
      <c r="C47" s="2356"/>
      <c r="D47" s="2353"/>
      <c r="E47" s="2476"/>
      <c r="F47" s="1261">
        <v>1</v>
      </c>
      <c r="G47" s="3278" t="s">
        <v>13237</v>
      </c>
      <c r="H47" s="3279"/>
      <c r="I47" s="1109"/>
      <c r="J47" s="2089"/>
      <c r="K47" s="2635"/>
      <c r="L47" s="2636"/>
      <c r="M47" s="2369"/>
      <c r="N47" s="2338"/>
    </row>
    <row r="48" spans="1:14" s="2637" customFormat="1" x14ac:dyDescent="0.25">
      <c r="A48" s="2338"/>
      <c r="B48" s="2342"/>
      <c r="C48" s="2356"/>
      <c r="D48" s="2353"/>
      <c r="E48" s="2476"/>
      <c r="F48" s="1261">
        <v>2</v>
      </c>
      <c r="G48" s="3278" t="s">
        <v>13238</v>
      </c>
      <c r="H48" s="3279"/>
      <c r="I48" s="1109"/>
      <c r="J48" s="2089"/>
      <c r="K48" s="2635"/>
      <c r="L48" s="2636"/>
      <c r="M48" s="2369"/>
      <c r="N48" s="2338"/>
    </row>
    <row r="49" spans="1:14" s="2637" customFormat="1" x14ac:dyDescent="0.25">
      <c r="A49" s="2338"/>
      <c r="B49" s="2342"/>
      <c r="C49" s="2356"/>
      <c r="D49" s="2353"/>
      <c r="E49" s="2476"/>
      <c r="F49" s="1261">
        <v>3</v>
      </c>
      <c r="G49" s="3278" t="s">
        <v>13079</v>
      </c>
      <c r="H49" s="3279"/>
      <c r="I49" s="1109"/>
      <c r="J49" s="2089"/>
      <c r="K49" s="2635"/>
      <c r="L49" s="2636"/>
      <c r="M49" s="2369"/>
      <c r="N49" s="2338"/>
    </row>
    <row r="50" spans="1:14" s="2637" customFormat="1" x14ac:dyDescent="0.25">
      <c r="A50" s="2338"/>
      <c r="B50" s="2342"/>
      <c r="C50" s="2356"/>
      <c r="D50" s="2353"/>
      <c r="E50" s="2476" t="s">
        <v>38</v>
      </c>
      <c r="F50" s="3280" t="s">
        <v>13094</v>
      </c>
      <c r="G50" s="3281"/>
      <c r="H50" s="3282"/>
      <c r="I50" s="1109" t="s">
        <v>334</v>
      </c>
      <c r="J50" s="2089"/>
      <c r="K50" s="2635"/>
      <c r="L50" s="2636"/>
      <c r="M50" s="2369"/>
      <c r="N50" s="2338"/>
    </row>
    <row r="51" spans="1:14" s="2637" customFormat="1" x14ac:dyDescent="0.25">
      <c r="A51" s="2338"/>
      <c r="B51" s="2342"/>
      <c r="C51" s="2356"/>
      <c r="D51" s="2366"/>
      <c r="E51" s="3304"/>
      <c r="F51" s="3304"/>
      <c r="G51" s="3304"/>
      <c r="H51" s="3304"/>
      <c r="I51" s="3304"/>
      <c r="J51" s="3305"/>
      <c r="K51" s="2635"/>
      <c r="L51" s="2636"/>
      <c r="M51" s="2369"/>
      <c r="N51" s="2338"/>
    </row>
    <row r="52" spans="1:14" ht="29.25" customHeight="1" x14ac:dyDescent="0.25">
      <c r="A52" s="2338"/>
      <c r="B52" s="2342"/>
      <c r="C52" s="2356"/>
      <c r="D52" s="2367"/>
      <c r="E52" s="3306"/>
      <c r="F52" s="3307"/>
      <c r="G52" s="3307"/>
      <c r="H52" s="3307"/>
      <c r="I52" s="3307"/>
      <c r="J52" s="3308"/>
      <c r="K52" s="2350"/>
      <c r="L52" s="2325"/>
      <c r="M52" s="2369"/>
      <c r="N52" s="2338"/>
    </row>
    <row r="53" spans="1:14" x14ac:dyDescent="0.25">
      <c r="A53" s="2338"/>
      <c r="B53" s="2342"/>
      <c r="C53" s="2356"/>
      <c r="D53" s="2355">
        <v>2</v>
      </c>
      <c r="E53" s="3278" t="s">
        <v>9017</v>
      </c>
      <c r="F53" s="3279"/>
      <c r="G53" s="3279"/>
      <c r="H53" s="3279"/>
      <c r="I53" s="3279"/>
      <c r="J53" s="3297"/>
      <c r="K53" s="2327">
        <v>2</v>
      </c>
      <c r="L53" s="2330">
        <v>0</v>
      </c>
      <c r="M53" s="2369"/>
      <c r="N53" s="2338"/>
    </row>
    <row r="54" spans="1:14" s="2492" customFormat="1" x14ac:dyDescent="0.25">
      <c r="A54" s="2338"/>
      <c r="B54" s="2342"/>
      <c r="C54" s="2356"/>
      <c r="D54" s="2486" t="s">
        <v>697</v>
      </c>
      <c r="E54" s="3278" t="s">
        <v>13095</v>
      </c>
      <c r="F54" s="3279"/>
      <c r="G54" s="3279"/>
      <c r="H54" s="3279"/>
      <c r="I54" s="3279"/>
      <c r="J54" s="3297"/>
      <c r="K54" s="230" t="s">
        <v>697</v>
      </c>
      <c r="L54" s="2089"/>
      <c r="M54" s="2369"/>
      <c r="N54" s="2338"/>
    </row>
    <row r="55" spans="1:14" x14ac:dyDescent="0.25">
      <c r="A55" s="2338"/>
      <c r="B55" s="2342"/>
      <c r="C55" s="2356"/>
      <c r="D55" s="2358">
        <v>3</v>
      </c>
      <c r="E55" s="3278" t="s">
        <v>11962</v>
      </c>
      <c r="F55" s="3279"/>
      <c r="G55" s="3279"/>
      <c r="H55" s="3279"/>
      <c r="I55" s="3279"/>
      <c r="J55" s="3297"/>
      <c r="K55" s="230">
        <v>3</v>
      </c>
      <c r="L55" s="1396">
        <f>SUM(Salary.Amount1)</f>
        <v>0</v>
      </c>
      <c r="M55" s="2369"/>
      <c r="N55" s="2338"/>
    </row>
    <row r="56" spans="1:14" x14ac:dyDescent="0.25">
      <c r="A56" s="2338"/>
      <c r="B56" s="2342"/>
      <c r="C56" s="2356"/>
      <c r="D56" s="2353"/>
      <c r="E56" s="2319"/>
      <c r="F56" s="2328" t="s">
        <v>1056</v>
      </c>
      <c r="G56" s="2328" t="s">
        <v>12728</v>
      </c>
      <c r="H56" s="2328" t="s">
        <v>8409</v>
      </c>
      <c r="I56" s="2328"/>
      <c r="J56" s="2320" t="s">
        <v>415</v>
      </c>
      <c r="K56" s="1110"/>
      <c r="L56" s="1111"/>
      <c r="M56" s="2369"/>
      <c r="N56" s="2338"/>
    </row>
    <row r="57" spans="1:14" x14ac:dyDescent="0.25">
      <c r="A57" s="2338"/>
      <c r="B57" s="2342"/>
      <c r="C57" s="2356"/>
      <c r="D57" s="2353"/>
      <c r="E57" s="2319"/>
      <c r="F57" s="2319">
        <v>1</v>
      </c>
      <c r="G57" s="2611"/>
      <c r="H57" s="2127"/>
      <c r="I57" s="2319">
        <v>1</v>
      </c>
      <c r="J57" s="2614"/>
      <c r="K57" s="2324"/>
      <c r="L57" s="2325"/>
      <c r="M57" s="2369"/>
      <c r="N57" s="2338"/>
    </row>
    <row r="58" spans="1:14" x14ac:dyDescent="0.25">
      <c r="A58" s="2338"/>
      <c r="B58" s="2342"/>
      <c r="C58" s="2356"/>
      <c r="D58" s="2360"/>
      <c r="E58" s="2321"/>
      <c r="F58" s="2321">
        <f>F57+1</f>
        <v>2</v>
      </c>
      <c r="G58" s="2612"/>
      <c r="H58" s="2141" t="s">
        <v>23</v>
      </c>
      <c r="I58" s="2321">
        <f>I57+1</f>
        <v>2</v>
      </c>
      <c r="J58" s="2615"/>
      <c r="K58" s="3295"/>
      <c r="L58" s="3296"/>
      <c r="M58" s="2369"/>
      <c r="N58" s="2338"/>
    </row>
    <row r="59" spans="1:14" x14ac:dyDescent="0.25">
      <c r="A59" s="2338"/>
      <c r="B59" s="2342"/>
      <c r="C59" s="2356"/>
      <c r="D59" s="2368"/>
      <c r="E59" s="2321"/>
      <c r="F59" s="2321">
        <f>F58+1</f>
        <v>3</v>
      </c>
      <c r="G59" s="2612"/>
      <c r="H59" s="2141" t="s">
        <v>23</v>
      </c>
      <c r="I59" s="2321">
        <f>I58+1</f>
        <v>3</v>
      </c>
      <c r="J59" s="2616"/>
      <c r="K59" s="3295"/>
      <c r="L59" s="3296"/>
      <c r="M59" s="2369"/>
      <c r="N59" s="2338"/>
    </row>
    <row r="60" spans="1:14" s="2637" customFormat="1" x14ac:dyDescent="0.25">
      <c r="A60" s="2338"/>
      <c r="B60" s="2342"/>
      <c r="C60" s="2356"/>
      <c r="D60" s="2368"/>
      <c r="E60" s="2634"/>
      <c r="F60" s="2634">
        <f>F59+1</f>
        <v>4</v>
      </c>
      <c r="G60" s="2612"/>
      <c r="H60" s="2141"/>
      <c r="I60" s="2634">
        <f>I59+1</f>
        <v>4</v>
      </c>
      <c r="J60" s="2616"/>
      <c r="K60" s="3295"/>
      <c r="L60" s="3296"/>
      <c r="M60" s="2369"/>
      <c r="N60" s="2338"/>
    </row>
    <row r="61" spans="1:14" ht="32.25" customHeight="1" x14ac:dyDescent="0.25">
      <c r="A61" s="2338"/>
      <c r="B61" s="2342"/>
      <c r="C61" s="2356"/>
      <c r="D61" s="2331"/>
      <c r="E61" s="3301"/>
      <c r="F61" s="3302"/>
      <c r="G61" s="3302"/>
      <c r="H61" s="3302"/>
      <c r="I61" s="3302"/>
      <c r="J61" s="3303"/>
      <c r="K61" s="3295"/>
      <c r="L61" s="3296"/>
      <c r="M61" s="2369"/>
      <c r="N61" s="2338"/>
    </row>
    <row r="62" spans="1:14" s="2326" customFormat="1" x14ac:dyDescent="0.25">
      <c r="A62" s="2338"/>
      <c r="B62" s="2342"/>
      <c r="C62" s="2356"/>
      <c r="D62" s="2354">
        <v>4</v>
      </c>
      <c r="E62" s="2362" t="s">
        <v>13096</v>
      </c>
      <c r="F62" s="2363"/>
      <c r="G62" s="2363"/>
      <c r="H62" s="2364">
        <v>0</v>
      </c>
      <c r="I62" s="2379"/>
      <c r="J62" s="2365">
        <v>0</v>
      </c>
      <c r="K62" s="2327">
        <v>4</v>
      </c>
      <c r="L62" s="2330">
        <f>MAX(0,(Tempgross-SAL.ExemptUSectionOth1-Increliefus89A))</f>
        <v>0</v>
      </c>
      <c r="M62" s="2369"/>
      <c r="N62" s="2338"/>
    </row>
    <row r="63" spans="1:14" s="2326" customFormat="1" x14ac:dyDescent="0.25">
      <c r="A63" s="2338"/>
      <c r="B63" s="2342"/>
      <c r="C63" s="2356"/>
      <c r="D63" s="3298">
        <v>5</v>
      </c>
      <c r="E63" s="3278" t="s">
        <v>9318</v>
      </c>
      <c r="F63" s="3279"/>
      <c r="G63" s="3279"/>
      <c r="H63" s="3279"/>
      <c r="I63" s="3279"/>
      <c r="J63" s="3297"/>
      <c r="K63" s="1112">
        <v>5</v>
      </c>
      <c r="L63" s="1421">
        <f>SUM(SAL.DeductionUnder6Section1,SAL.Entertainment_allowance_1,SAL.DeductionUnderSection1)</f>
        <v>0</v>
      </c>
      <c r="M63" s="2369"/>
      <c r="N63" s="2338"/>
    </row>
    <row r="64" spans="1:14" s="2326" customFormat="1" x14ac:dyDescent="0.25">
      <c r="A64" s="2338"/>
      <c r="B64" s="2342"/>
      <c r="C64" s="2356"/>
      <c r="D64" s="3299"/>
      <c r="E64" s="1109" t="s">
        <v>27</v>
      </c>
      <c r="F64" s="3278" t="s">
        <v>8919</v>
      </c>
      <c r="G64" s="3279"/>
      <c r="H64" s="3279"/>
      <c r="I64" s="2333" t="s">
        <v>527</v>
      </c>
      <c r="J64" s="2330">
        <f>IF(bacValue=1,0,MIN(SAL.Netsalary1,50000))</f>
        <v>0</v>
      </c>
      <c r="K64" s="2318"/>
      <c r="L64" s="408"/>
      <c r="M64" s="2369"/>
      <c r="N64" s="2338"/>
    </row>
    <row r="65" spans="1:18" s="2326" customFormat="1" x14ac:dyDescent="0.25">
      <c r="A65" s="2338"/>
      <c r="B65" s="2342"/>
      <c r="C65" s="2356"/>
      <c r="D65" s="3299"/>
      <c r="E65" s="1109" t="s">
        <v>28</v>
      </c>
      <c r="F65" s="3278" t="s">
        <v>8920</v>
      </c>
      <c r="G65" s="3279"/>
      <c r="H65" s="3279"/>
      <c r="I65" s="2332" t="s">
        <v>528</v>
      </c>
      <c r="J65" s="2671">
        <v>0</v>
      </c>
      <c r="K65" s="2323"/>
      <c r="L65" s="410"/>
      <c r="M65" s="2369"/>
      <c r="N65" s="2338"/>
      <c r="R65" s="2387">
        <v>0</v>
      </c>
    </row>
    <row r="66" spans="1:18" s="2326" customFormat="1" x14ac:dyDescent="0.25">
      <c r="A66" s="2338"/>
      <c r="B66" s="2342"/>
      <c r="C66" s="2356"/>
      <c r="D66" s="3300"/>
      <c r="E66" s="1109" t="s">
        <v>29</v>
      </c>
      <c r="F66" s="3278" t="s">
        <v>8921</v>
      </c>
      <c r="G66" s="3279"/>
      <c r="H66" s="3279"/>
      <c r="I66" s="2333" t="s">
        <v>530</v>
      </c>
      <c r="J66" s="2166">
        <v>0</v>
      </c>
      <c r="K66" s="2322"/>
      <c r="L66" s="1113"/>
      <c r="M66" s="2369"/>
      <c r="N66" s="2338"/>
    </row>
    <row r="67" spans="1:18" s="2326" customFormat="1" x14ac:dyDescent="0.25">
      <c r="A67" s="2338"/>
      <c r="B67" s="2342"/>
      <c r="C67" s="2357"/>
      <c r="D67" s="1067">
        <v>6</v>
      </c>
      <c r="E67" s="3126" t="s">
        <v>9018</v>
      </c>
      <c r="F67" s="3127"/>
      <c r="G67" s="3127"/>
      <c r="H67" s="3127"/>
      <c r="I67" s="3127"/>
      <c r="J67" s="3128"/>
      <c r="K67" s="229">
        <v>6</v>
      </c>
      <c r="L67" s="1395">
        <f>MAX(0,(SAL.Netsalary1-SAL.Deduction1))</f>
        <v>0</v>
      </c>
      <c r="M67" s="2369"/>
      <c r="N67" s="2338"/>
    </row>
    <row r="68" spans="1:18" s="2326" customFormat="1" x14ac:dyDescent="0.25">
      <c r="A68" s="2338"/>
      <c r="B68" s="2342"/>
      <c r="C68" s="2351"/>
      <c r="D68" s="2351"/>
      <c r="E68" s="2351"/>
      <c r="F68" s="2351"/>
      <c r="G68" s="2351"/>
      <c r="H68" s="2351"/>
      <c r="I68" s="2361"/>
      <c r="J68" s="2351"/>
      <c r="K68" s="2351"/>
      <c r="L68" s="2351"/>
      <c r="M68" s="2369"/>
      <c r="N68" s="2338"/>
    </row>
    <row r="69" spans="1:18" ht="15.75" thickBot="1" x14ac:dyDescent="0.3">
      <c r="A69" s="2338"/>
      <c r="B69" s="2370"/>
      <c r="C69" s="2352"/>
      <c r="D69" s="2352"/>
      <c r="E69" s="2352"/>
      <c r="F69" s="2352"/>
      <c r="G69" s="2352"/>
      <c r="H69" s="2352"/>
      <c r="I69" s="2380"/>
      <c r="J69" s="2352"/>
      <c r="K69" s="2352"/>
      <c r="L69" s="2352"/>
      <c r="M69" s="2371"/>
      <c r="N69" s="2338"/>
    </row>
    <row r="70" spans="1:18" x14ac:dyDescent="0.25">
      <c r="A70" s="2338"/>
      <c r="B70" s="2338"/>
      <c r="C70" s="2338"/>
      <c r="D70" s="2338"/>
      <c r="E70" s="2338"/>
      <c r="F70" s="2338"/>
      <c r="G70" s="2338"/>
      <c r="H70" s="2338"/>
      <c r="I70" s="2374"/>
      <c r="J70" s="2338"/>
      <c r="K70" s="2338"/>
      <c r="L70" s="2338"/>
      <c r="M70" s="2338"/>
      <c r="N70" s="2338"/>
    </row>
    <row r="71" spans="1:18" x14ac:dyDescent="0.25">
      <c r="A71" s="2338"/>
      <c r="B71" s="2338"/>
      <c r="C71" s="2338"/>
      <c r="D71" s="2338"/>
      <c r="E71" s="2338"/>
      <c r="F71" s="2338"/>
      <c r="G71" s="2338"/>
      <c r="H71" s="2338"/>
      <c r="I71" s="2374"/>
      <c r="J71" s="2338"/>
      <c r="K71" s="2338"/>
      <c r="L71" s="2338"/>
      <c r="M71" s="2338"/>
      <c r="N71" s="2338"/>
    </row>
    <row r="72" spans="1:18" s="2388" customFormat="1" hidden="1" x14ac:dyDescent="0.25">
      <c r="I72" s="2381"/>
    </row>
    <row r="73" spans="1:18" s="2389" customFormat="1" hidden="1" x14ac:dyDescent="0.25">
      <c r="I73" s="2381"/>
    </row>
    <row r="74" spans="1:18" s="2389" customFormat="1" hidden="1" x14ac:dyDescent="0.25">
      <c r="I74" s="2381"/>
    </row>
    <row r="75" spans="1:18" s="2388" customFormat="1" hidden="1" x14ac:dyDescent="0.25">
      <c r="I75" s="2381"/>
    </row>
    <row r="76" spans="1:18" s="2334" customFormat="1" hidden="1" x14ac:dyDescent="0.25">
      <c r="I76" s="2381"/>
    </row>
    <row r="77" spans="1:18" s="2334" customFormat="1" hidden="1" x14ac:dyDescent="0.25">
      <c r="I77" s="2381"/>
    </row>
    <row r="78" spans="1:18" s="2382" customFormat="1" hidden="1" x14ac:dyDescent="0.25">
      <c r="I78" s="2381"/>
    </row>
    <row r="79" spans="1:18" s="2382" customFormat="1" hidden="1" x14ac:dyDescent="0.25">
      <c r="I79" s="2381"/>
    </row>
    <row r="80" spans="1:18" s="2383" customFormat="1" hidden="1" x14ac:dyDescent="0.25">
      <c r="I80" s="2381"/>
    </row>
    <row r="81" spans="7:9" s="2383" customFormat="1" hidden="1" x14ac:dyDescent="0.25">
      <c r="I81" s="2381"/>
    </row>
    <row r="82" spans="7:9" s="2384" customFormat="1" hidden="1" x14ac:dyDescent="0.25">
      <c r="I82" s="2381"/>
    </row>
    <row r="83" spans="7:9" s="2334" customFormat="1" hidden="1" x14ac:dyDescent="0.25">
      <c r="I83" s="2381"/>
    </row>
    <row r="84" spans="7:9" s="2385" customFormat="1" hidden="1" x14ac:dyDescent="0.25">
      <c r="I84" s="2381"/>
    </row>
    <row r="85" spans="7:9" s="2388" customFormat="1" hidden="1" x14ac:dyDescent="0.25">
      <c r="I85" s="2381"/>
    </row>
    <row r="86" spans="7:9" s="2388" customFormat="1" hidden="1" x14ac:dyDescent="0.25">
      <c r="I86" s="2381"/>
    </row>
    <row r="87" spans="7:9" s="2388" customFormat="1" hidden="1" x14ac:dyDescent="0.25">
      <c r="I87" s="2381"/>
    </row>
    <row r="88" spans="7:9" s="2388" customFormat="1" hidden="1" x14ac:dyDescent="0.25">
      <c r="I88" s="2381"/>
    </row>
    <row r="89" spans="7:9" s="2389" customFormat="1" hidden="1" x14ac:dyDescent="0.25">
      <c r="I89" s="2381"/>
    </row>
    <row r="90" spans="7:9" s="2386" customFormat="1" hidden="1" x14ac:dyDescent="0.25">
      <c r="I90" s="2381"/>
    </row>
    <row r="91" spans="7:9" s="2334" customFormat="1" hidden="1" x14ac:dyDescent="0.25">
      <c r="G91" s="2334" t="s">
        <v>12972</v>
      </c>
      <c r="I91" s="2381"/>
    </row>
    <row r="92" spans="7:9" s="2334" customFormat="1" hidden="1" x14ac:dyDescent="0.25">
      <c r="I92" s="2381"/>
    </row>
    <row r="93" spans="7:9" x14ac:dyDescent="0.25"/>
    <row r="94" spans="7:9" x14ac:dyDescent="0.25"/>
    <row r="95" spans="7:9" s="2326" customFormat="1" hidden="1" x14ac:dyDescent="0.25">
      <c r="I95" s="2381"/>
    </row>
    <row r="96" spans="7:9" s="2326" customFormat="1" hidden="1" x14ac:dyDescent="0.25">
      <c r="I96" s="2381"/>
    </row>
    <row r="97" spans="9:9" s="2326" customFormat="1" hidden="1" x14ac:dyDescent="0.25">
      <c r="I97" s="2381"/>
    </row>
    <row r="98" spans="9:9" x14ac:dyDescent="0.25"/>
    <row r="99" spans="9:9" x14ac:dyDescent="0.25"/>
  </sheetData>
  <sheetProtection algorithmName="SHA-512" hashValue="ENCkAOnb7GpdzXyFbn8bBuNv9q0gNYe9aRz19goGnFv+FkmUaw44boqo1R0qqxUZt9sZDCI0QLsKFqosX6vc2Q==" saltValue="vQ6JTae7n9R5N43jir/NrQ==" spinCount="100000" sheet="1" objects="1" scenarios="1"/>
  <mergeCells count="45">
    <mergeCell ref="F21:H21"/>
    <mergeCell ref="G22:H22"/>
    <mergeCell ref="G23:H23"/>
    <mergeCell ref="G24:H24"/>
    <mergeCell ref="G25:H25"/>
    <mergeCell ref="F26:H26"/>
    <mergeCell ref="E67:J67"/>
    <mergeCell ref="D63:D66"/>
    <mergeCell ref="E63:J63"/>
    <mergeCell ref="F64:H64"/>
    <mergeCell ref="F65:H65"/>
    <mergeCell ref="F66:H66"/>
    <mergeCell ref="E61:J61"/>
    <mergeCell ref="E27:J27"/>
    <mergeCell ref="E52:J52"/>
    <mergeCell ref="E31:J31"/>
    <mergeCell ref="E51:J51"/>
    <mergeCell ref="D28:F28"/>
    <mergeCell ref="D29:G29"/>
    <mergeCell ref="D30:G30"/>
    <mergeCell ref="F32:H32"/>
    <mergeCell ref="K61:L61"/>
    <mergeCell ref="E53:J53"/>
    <mergeCell ref="E55:J55"/>
    <mergeCell ref="K58:L58"/>
    <mergeCell ref="K59:L59"/>
    <mergeCell ref="E54:J54"/>
    <mergeCell ref="K60:L60"/>
    <mergeCell ref="F8:H8"/>
    <mergeCell ref="F12:H12"/>
    <mergeCell ref="F17:H17"/>
    <mergeCell ref="E7:J7"/>
    <mergeCell ref="C3:D3"/>
    <mergeCell ref="E3:L3"/>
    <mergeCell ref="D4:F4"/>
    <mergeCell ref="D5:G5"/>
    <mergeCell ref="D6:G6"/>
    <mergeCell ref="G48:H48"/>
    <mergeCell ref="G49:H49"/>
    <mergeCell ref="F50:H50"/>
    <mergeCell ref="F36:H36"/>
    <mergeCell ref="F41:H41"/>
    <mergeCell ref="F45:H45"/>
    <mergeCell ref="G46:H46"/>
    <mergeCell ref="G47:H47"/>
  </mergeCells>
  <conditionalFormatting sqref="J65">
    <cfRule type="expression" dxfId="2" priority="1">
      <formula>IF(sheet.EmployerCategory1 = "Pensioners", TRUE, FALSE)</formula>
    </cfRule>
    <cfRule type="expression" dxfId="1" priority="2">
      <formula>IF(sheet.EmployerCategory1 = "OTHERS", TRUE, FALSE)</formula>
    </cfRule>
  </conditionalFormatting>
  <dataValidations count="29">
    <dataValidation type="textLength" operator="lessThanOrEqual" allowBlank="1" showInputMessage="1" showErrorMessage="1" errorTitle="Description" error="Description cannot exceed 50 characters" sqref="H10:H11 H14:H16 H19:H20 H34:H35 H38:H40 H43:H44">
      <formula1>50</formula1>
    </dataValidation>
    <dataValidation type="whole" allowBlank="1" showInputMessage="1" showErrorMessage="1" errorTitle="Amount" error="Amount  should be Numeric , Non negative, no decimal, upto14 digits" sqref="J19:J20 J23:J26 J43:J44 J47:J50">
      <formula1>0</formula1>
      <formula2>99999999999999</formula2>
    </dataValidation>
    <dataValidation type="whole" allowBlank="1" showInputMessage="1" showErrorMessage="1" errorTitle="Amount" error="Amount should be Numeric , Non negative, no decimal, upto14 digits" sqref="J10:J11 J14:J16 J34:J35 J38:J40">
      <formula1>0</formula1>
      <formula2>99999999999999</formula2>
    </dataValidation>
    <dataValidation type="list" allowBlank="1" showInputMessage="1" showErrorMessage="1" error="Please select from the the dropdown" sqref="G19:G20 G43:G44">
      <formula1>salarydropdown3</formula1>
    </dataValidation>
    <dataValidation type="list" allowBlank="1" showInputMessage="1" showErrorMessage="1" error="Please select from the the dropdown" sqref="G14:G16 G38:G40">
      <formula1>salarydropdown2</formula1>
    </dataValidation>
    <dataValidation type="list" allowBlank="1" showInputMessage="1" showErrorMessage="1" error="Please select from the the dropdown" sqref="G10:G11 G34:G35">
      <formula1>salarydropdown1</formula1>
    </dataValidation>
    <dataValidation allowBlank="1" showInputMessage="1" showErrorMessage="1" errorTitle="Salary as per section 17(1)" error="Salary as per section 17(1)  should be Numeric , Non negative, no decimal, upto14 digits" sqref="J9 J13 J18 J22 J33 J37 J42 J46"/>
    <dataValidation type="whole" allowBlank="1" showInputMessage="1" showErrorMessage="1" errorTitle="Profits in Lieu Of Salary " error="Profits in Lieu Of Salary  should be Numeric , Non negative, no decimal, upto14 digits" sqref="J17 J21 J41 J45">
      <formula1>0</formula1>
      <formula2>99999999999999</formula2>
    </dataValidation>
    <dataValidation type="whole" allowBlank="1" showInputMessage="1" showErrorMessage="1" errorTitle="Value Of Perquisites" error="Value Of Perquisites should be Numeric , Non negative, no decimal, upto14 digits" sqref="J12 J36">
      <formula1>0</formula1>
      <formula2>99999999999999</formula2>
    </dataValidation>
    <dataValidation type="whole" allowBlank="1" showInputMessage="1" showErrorMessage="1" errorTitle="Salary as per section 17(1)" error="Salary as per section 17(1)  should be Numeric , Non negative, no decimal, upto14 digits" sqref="J8 J32">
      <formula1>0</formula1>
      <formula2>99999999999999</formula2>
    </dataValidation>
    <dataValidation type="list" allowBlank="1" showInputMessage="1" showErrorMessage="1" errorTitle="Nature of employment" error="Please select valid option from the dropdown" sqref="J4 J28">
      <formula1>EmpCategory</formula1>
    </dataValidation>
    <dataValidation type="textLength" operator="lessThanOrEqual" allowBlank="1" showInputMessage="1" showErrorMessage="1" errorTitle="NameOfEmployer" error="NameOfEmployer  should not exceed 125 characters " sqref="G4 G28">
      <formula1>125</formula1>
    </dataValidation>
    <dataValidation type="textLength" operator="lessThanOrEqual" allowBlank="1" showInputMessage="1" showErrorMessage="1" errorTitle="ZipCode" error="Zipcode should be minimum of 1 or maximum of 8 Characters" sqref="L6 L30">
      <formula1>8</formula1>
    </dataValidation>
    <dataValidation allowBlank="1" showErrorMessage="1" sqref="L56:L57 L62:L63 L8:L27 L32:L53"/>
    <dataValidation type="whole" allowBlank="1" showErrorMessage="1" errorTitle="Salary" error="Salary  Non negative, no decimal, upto 99,999,999,999,999" sqref="L7 L31">
      <formula1>0</formula1>
      <formula2>99999999999999</formula2>
    </dataValidation>
    <dataValidation type="whole" allowBlank="1" showErrorMessage="1" errorTitle="PinCode" error="Pincode cannot begin with a 0 and must be exactly 6 digits" sqref="K6 K30">
      <formula1>100000</formula1>
      <formula2>999999</formula2>
    </dataValidation>
    <dataValidation type="list" allowBlank="1" showErrorMessage="1" errorTitle="StateCode" error="  Please select from list" sqref="H6 H30">
      <formula1>State</formula1>
    </dataValidation>
    <dataValidation type="textLength" operator="lessThanOrEqual" allowBlank="1" showErrorMessage="1" errorTitle="CityOrTownOrDistrict" error="CityOrTownOrDistrict  should not exceed 50 characters " sqref="J6 J30">
      <formula1>50</formula1>
    </dataValidation>
    <dataValidation type="textLength" operator="lessThanOrEqual" allowBlank="1" showErrorMessage="1" errorTitle="AddrDetail" error="AddrDetail  should not exceed 200 characters " sqref="H5 H29">
      <formula1>200</formula1>
    </dataValidation>
    <dataValidation type="textLength" operator="equal" allowBlank="1" showErrorMessage="1" errorTitle="TAN of Employer" error="TAN of Employer  is invalid. First 4 alphabets, next 5 digits, then alphabet" sqref="L4 L28">
      <formula1>10</formula1>
    </dataValidation>
    <dataValidation operator="lessThanOrEqual" allowBlank="1" showErrorMessage="1" sqref="H4 H28"/>
    <dataValidation type="textLength" operator="lessThanOrEqual" allowBlank="1" showInputMessage="1" showErrorMessage="1" errorTitle="Description" error="Description cannot exceed 125 characters" sqref="H57:H60">
      <formula1>125</formula1>
    </dataValidation>
    <dataValidation type="list" allowBlank="1" showInputMessage="1" showErrorMessage="1" errorTitle="Nature of Income" error="Please select from the list" sqref="G57:G60">
      <formula1>IF(bacValue =2, Salary.OthersAllowance, Salary.OthersAllowance1)</formula1>
    </dataValidation>
    <dataValidation type="whole" allowBlank="1" showErrorMessage="1" errorTitle="AllowancesExemptUSection10" error="AllowancesExemptUSection10  Non negative, no decimal, upto 99,999,999,999,999" sqref="J57:J60">
      <formula1>0</formula1>
      <formula2>99999999999999</formula2>
    </dataValidation>
    <dataValidation type="whole" allowBlank="1" showErrorMessage="1" errorTitle="Deductions u/s 16(iii)" error="Maximum deduction of Professional tax u/s 16(iii)can be claimed of Rs. 5,000." sqref="J66">
      <formula1>0</formula1>
      <formula2>5000</formula2>
    </dataValidation>
    <dataValidation type="whole" allowBlank="1" showErrorMessage="1" errorTitle="IncomeFromSalary" error="IncomeFromSalary  Non negative, no decimal, upto 99,999,999,999,999" sqref="L67">
      <formula1>0</formula1>
      <formula2>99999999999999</formula2>
    </dataValidation>
    <dataValidation type="whole" allowBlank="1" showErrorMessage="1" errorTitle="ProfitsinLieuOfSalary" error="ProfitsinLieuOfSalary  should be Numeric , Non negative, no decimal, upto14 digits" sqref="J64:J65">
      <formula1>0</formula1>
      <formula2>99999999999999</formula2>
    </dataValidation>
    <dataValidation allowBlank="1" showInputMessage="1" showErrorMessage="1" error="Please select from the the dropdown" sqref="G23:G25 G47:G49"/>
    <dataValidation type="whole" allowBlank="1" showErrorMessage="1" error="Amount  should be Numeric , Non negative, no decimal, upto14 digits" sqref="L54">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68297" r:id="rId5" name="Button 9">
              <controlPr defaultSize="0" print="0" autoFill="0" autoPict="0" macro="[0]!Cmd_AddSalary_Click">
                <anchor moveWithCells="1">
                  <from>
                    <xdr:col>4</xdr:col>
                    <xdr:colOff>76200</xdr:colOff>
                    <xdr:row>51</xdr:row>
                    <xdr:rowOff>28575</xdr:rowOff>
                  </from>
                  <to>
                    <xdr:col>6</xdr:col>
                    <xdr:colOff>742950</xdr:colOff>
                    <xdr:row>51</xdr:row>
                    <xdr:rowOff>304800</xdr:rowOff>
                  </to>
                </anchor>
              </controlPr>
            </control>
          </mc:Choice>
        </mc:AlternateContent>
        <mc:AlternateContent xmlns:mc="http://schemas.openxmlformats.org/markup-compatibility/2006">
          <mc:Choice Requires="x14">
            <control shapeId="268298" r:id="rId6" name="Button 10">
              <controlPr defaultSize="0" print="0" autoFill="0" autoPict="0" macro="[0]!AddSalary17_1">
                <anchor moveWithCells="1">
                  <from>
                    <xdr:col>6</xdr:col>
                    <xdr:colOff>895350</xdr:colOff>
                    <xdr:row>51</xdr:row>
                    <xdr:rowOff>19050</xdr:rowOff>
                  </from>
                  <to>
                    <xdr:col>6</xdr:col>
                    <xdr:colOff>2247900</xdr:colOff>
                    <xdr:row>51</xdr:row>
                    <xdr:rowOff>295275</xdr:rowOff>
                  </to>
                </anchor>
              </controlPr>
            </control>
          </mc:Choice>
        </mc:AlternateContent>
        <mc:AlternateContent xmlns:mc="http://schemas.openxmlformats.org/markup-compatibility/2006">
          <mc:Choice Requires="x14">
            <control shapeId="268299" r:id="rId7" name="Button 11">
              <controlPr defaultSize="0" print="0" autoFill="0" autoPict="0" macro="[0]!AddSalary17_2">
                <anchor moveWithCells="1">
                  <from>
                    <xdr:col>6</xdr:col>
                    <xdr:colOff>2343150</xdr:colOff>
                    <xdr:row>51</xdr:row>
                    <xdr:rowOff>28575</xdr:rowOff>
                  </from>
                  <to>
                    <xdr:col>7</xdr:col>
                    <xdr:colOff>1162050</xdr:colOff>
                    <xdr:row>51</xdr:row>
                    <xdr:rowOff>304800</xdr:rowOff>
                  </to>
                </anchor>
              </controlPr>
            </control>
          </mc:Choice>
        </mc:AlternateContent>
        <mc:AlternateContent xmlns:mc="http://schemas.openxmlformats.org/markup-compatibility/2006">
          <mc:Choice Requires="x14">
            <control shapeId="268300" r:id="rId8" name="Button 12">
              <controlPr defaultSize="0" print="0" autoFill="0" autoPict="0" macro="[0]!AddSalary17_3">
                <anchor moveWithCells="1">
                  <from>
                    <xdr:col>7</xdr:col>
                    <xdr:colOff>1276350</xdr:colOff>
                    <xdr:row>51</xdr:row>
                    <xdr:rowOff>38100</xdr:rowOff>
                  </from>
                  <to>
                    <xdr:col>9</xdr:col>
                    <xdr:colOff>476250</xdr:colOff>
                    <xdr:row>51</xdr:row>
                    <xdr:rowOff>323850</xdr:rowOff>
                  </to>
                </anchor>
              </controlPr>
            </control>
          </mc:Choice>
        </mc:AlternateContent>
        <mc:AlternateContent xmlns:mc="http://schemas.openxmlformats.org/markup-compatibility/2006">
          <mc:Choice Requires="x14">
            <control shapeId="268301" r:id="rId9" name="Button 13">
              <controlPr defaultSize="0" print="0" autoFill="0" autoPict="0" macro="[0]!AddRows_Others">
                <anchor moveWithCells="1">
                  <from>
                    <xdr:col>4</xdr:col>
                    <xdr:colOff>285750</xdr:colOff>
                    <xdr:row>60</xdr:row>
                    <xdr:rowOff>66675</xdr:rowOff>
                  </from>
                  <to>
                    <xdr:col>6</xdr:col>
                    <xdr:colOff>942975</xdr:colOff>
                    <xdr:row>60</xdr:row>
                    <xdr:rowOff>333375</xdr:rowOff>
                  </to>
                </anchor>
              </controlPr>
            </control>
          </mc:Choice>
        </mc:AlternateContent>
        <mc:AlternateContent xmlns:mc="http://schemas.openxmlformats.org/markup-compatibility/2006">
          <mc:Choice Requires="x14">
            <control shapeId="268302" r:id="rId10" name="Button 14">
              <controlPr defaultSize="0" print="0" autoFill="0" autoPict="0" macro="[0]!Img_Home_Click">
                <anchor>
                  <from>
                    <xdr:col>13</xdr:col>
                    <xdr:colOff>209550</xdr:colOff>
                    <xdr:row>1</xdr:row>
                    <xdr:rowOff>95250</xdr:rowOff>
                  </from>
                  <to>
                    <xdr:col>13</xdr:col>
                    <xdr:colOff>1581150</xdr:colOff>
                    <xdr:row>2</xdr:row>
                    <xdr:rowOff>180975</xdr:rowOff>
                  </to>
                </anchor>
              </controlPr>
            </control>
          </mc:Choice>
        </mc:AlternateContent>
        <mc:AlternateContent xmlns:mc="http://schemas.openxmlformats.org/markup-compatibility/2006">
          <mc:Choice Requires="x14">
            <control shapeId="268303" r:id="rId11" name="Button 15">
              <controlPr defaultSize="0" print="0" autoFill="0" autoPict="0" macro="[0]!ValidateScheduleS_Click">
                <anchor>
                  <from>
                    <xdr:col>13</xdr:col>
                    <xdr:colOff>209550</xdr:colOff>
                    <xdr:row>3</xdr:row>
                    <xdr:rowOff>19050</xdr:rowOff>
                  </from>
                  <to>
                    <xdr:col>13</xdr:col>
                    <xdr:colOff>1581150</xdr:colOff>
                    <xdr:row>3</xdr:row>
                    <xdr:rowOff>295275</xdr:rowOff>
                  </to>
                </anchor>
              </controlPr>
            </control>
          </mc:Choice>
        </mc:AlternateContent>
        <mc:AlternateContent xmlns:mc="http://schemas.openxmlformats.org/markup-compatibility/2006">
          <mc:Choice Requires="x14">
            <control shapeId="268304" r:id="rId12" name="Button 16">
              <controlPr defaultSize="0" print="0" autoFill="0" autoPict="0" macro="[0]!Next_Sheet">
                <anchor>
                  <from>
                    <xdr:col>13</xdr:col>
                    <xdr:colOff>209550</xdr:colOff>
                    <xdr:row>3</xdr:row>
                    <xdr:rowOff>323850</xdr:rowOff>
                  </from>
                  <to>
                    <xdr:col>13</xdr:col>
                    <xdr:colOff>1581150</xdr:colOff>
                    <xdr:row>4</xdr:row>
                    <xdr:rowOff>133350</xdr:rowOff>
                  </to>
                </anchor>
              </controlPr>
            </control>
          </mc:Choice>
        </mc:AlternateContent>
        <mc:AlternateContent xmlns:mc="http://schemas.openxmlformats.org/markup-compatibility/2006">
          <mc:Choice Requires="x14">
            <control shapeId="268305" r:id="rId13" name="Button 17">
              <controlPr defaultSize="0" print="0" autoFill="0" autoPict="0" macro="[0]!Prev_Sheet">
                <anchor>
                  <from>
                    <xdr:col>13</xdr:col>
                    <xdr:colOff>209550</xdr:colOff>
                    <xdr:row>4</xdr:row>
                    <xdr:rowOff>171450</xdr:rowOff>
                  </from>
                  <to>
                    <xdr:col>13</xdr:col>
                    <xdr:colOff>1581150</xdr:colOff>
                    <xdr:row>6</xdr:row>
                    <xdr:rowOff>76200</xdr:rowOff>
                  </to>
                </anchor>
              </controlPr>
            </control>
          </mc:Choice>
        </mc:AlternateContent>
        <mc:AlternateContent xmlns:mc="http://schemas.openxmlformats.org/markup-compatibility/2006">
          <mc:Choice Requires="x14">
            <control shapeId="268306" r:id="rId14" name="Button 18">
              <controlPr defaultSize="0" print="0" autoFill="0" autoPict="0" macro="[0]!GenerateJSON.GenerateJSON">
                <anchor>
                  <from>
                    <xdr:col>13</xdr:col>
                    <xdr:colOff>209550</xdr:colOff>
                    <xdr:row>6</xdr:row>
                    <xdr:rowOff>114300</xdr:rowOff>
                  </from>
                  <to>
                    <xdr:col>13</xdr:col>
                    <xdr:colOff>1581150</xdr:colOff>
                    <xdr:row>8</xdr:row>
                    <xdr:rowOff>19050</xdr:rowOff>
                  </to>
                </anchor>
              </controlPr>
            </control>
          </mc:Choice>
        </mc:AlternateContent>
        <mc:AlternateContent xmlns:mc="http://schemas.openxmlformats.org/markup-compatibility/2006">
          <mc:Choice Requires="x14">
            <control shapeId="268307" r:id="rId15" name="Button 19">
              <controlPr defaultSize="0" print="0" autoFill="0" autoPict="0" macro="[0]!WorksheetsPrint">
                <anchor>
                  <from>
                    <xdr:col>13</xdr:col>
                    <xdr:colOff>209550</xdr:colOff>
                    <xdr:row>8</xdr:row>
                    <xdr:rowOff>28575</xdr:rowOff>
                  </from>
                  <to>
                    <xdr:col>13</xdr:col>
                    <xdr:colOff>1581150</xdr:colOff>
                    <xdr:row>9</xdr:row>
                    <xdr:rowOff>95250</xdr:rowOff>
                  </to>
                </anchor>
              </controlPr>
            </control>
          </mc:Choice>
        </mc:AlternateContent>
        <mc:AlternateContent xmlns:mc="http://schemas.openxmlformats.org/markup-compatibility/2006">
          <mc:Choice Requires="x14">
            <control shapeId="268308" r:id="rId16" name="Button 20">
              <controlPr defaultSize="0" print="0" autoFill="0" autoPict="0" macro="[0]!Instruction_Sheet">
                <anchor>
                  <from>
                    <xdr:col>13</xdr:col>
                    <xdr:colOff>219075</xdr:colOff>
                    <xdr:row>9</xdr:row>
                    <xdr:rowOff>114300</xdr:rowOff>
                  </from>
                  <to>
                    <xdr:col>13</xdr:col>
                    <xdr:colOff>1590675</xdr:colOff>
                    <xdr:row>11</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U65563"/>
  <sheetViews>
    <sheetView showGridLines="0" showRowColHeaders="0" zoomScaleNormal="100" workbookViewId="0">
      <selection activeCell="F32" sqref="F32"/>
    </sheetView>
  </sheetViews>
  <sheetFormatPr defaultColWidth="0" defaultRowHeight="12.75" zeroHeight="1" x14ac:dyDescent="0.2"/>
  <cols>
    <col min="1" max="1" width="3.5703125" style="113" customWidth="1"/>
    <col min="2" max="2" width="3.28515625" style="113" customWidth="1"/>
    <col min="3" max="3" width="2.5703125" style="436" customWidth="1"/>
    <col min="4" max="4" width="2.28515625" style="436" customWidth="1"/>
    <col min="5" max="5" width="3.42578125" style="436" customWidth="1"/>
    <col min="6" max="6" width="20.7109375" style="436" customWidth="1"/>
    <col min="7" max="7" width="34" style="436" customWidth="1"/>
    <col min="8" max="8" width="22.5703125" style="436" customWidth="1"/>
    <col min="9" max="9" width="22.28515625" style="436" customWidth="1"/>
    <col min="10" max="10" width="18.42578125" style="436" customWidth="1"/>
    <col min="11" max="11" width="17.5703125" style="436" customWidth="1"/>
    <col min="12" max="12" width="4.5703125" style="117" customWidth="1"/>
    <col min="13" max="13" width="24.140625" style="113" customWidth="1"/>
    <col min="14" max="255" width="24.140625" style="113" hidden="1" customWidth="1"/>
    <col min="256" max="16384" width="3.140625" style="113" hidden="1"/>
  </cols>
  <sheetData>
    <row r="1" spans="2:20" ht="13.5" thickBot="1" x14ac:dyDescent="0.25"/>
    <row r="2" spans="2:20" ht="16.5" customHeight="1" x14ac:dyDescent="0.2">
      <c r="B2" s="1130"/>
      <c r="C2" s="1161"/>
      <c r="D2" s="1161"/>
      <c r="E2" s="1161"/>
      <c r="F2" s="1161"/>
      <c r="G2" s="1161"/>
      <c r="H2" s="1161"/>
      <c r="I2" s="1161"/>
      <c r="J2" s="1161"/>
      <c r="K2" s="1161"/>
      <c r="L2" s="1140"/>
    </row>
    <row r="3" spans="2:20" ht="12.75" customHeight="1" x14ac:dyDescent="0.2">
      <c r="B3" s="1121"/>
      <c r="C3" s="3317" t="s">
        <v>750</v>
      </c>
      <c r="D3" s="3318"/>
      <c r="E3" s="3318"/>
      <c r="F3" s="3319" t="s">
        <v>8218</v>
      </c>
      <c r="G3" s="3319"/>
      <c r="H3" s="3319"/>
      <c r="I3" s="3319"/>
      <c r="J3" s="3320"/>
      <c r="K3" s="3320"/>
      <c r="L3" s="1136"/>
    </row>
    <row r="4" spans="2:20" ht="38.25" x14ac:dyDescent="0.2">
      <c r="B4" s="1121"/>
      <c r="C4" s="412"/>
      <c r="D4" s="413">
        <v>1</v>
      </c>
      <c r="E4" s="413"/>
      <c r="F4" s="414" t="s">
        <v>9265</v>
      </c>
      <c r="G4" s="415" t="s">
        <v>751</v>
      </c>
      <c r="H4" s="416" t="s">
        <v>16</v>
      </c>
      <c r="I4" s="416" t="s">
        <v>17</v>
      </c>
      <c r="J4" s="417" t="s">
        <v>752</v>
      </c>
      <c r="K4" s="417" t="s">
        <v>8072</v>
      </c>
      <c r="L4" s="1136"/>
    </row>
    <row r="5" spans="2:20" x14ac:dyDescent="0.2">
      <c r="B5" s="1121"/>
      <c r="C5" s="406"/>
      <c r="D5" s="418"/>
      <c r="E5" s="418"/>
      <c r="F5" s="358"/>
      <c r="G5" s="390"/>
      <c r="H5" s="1944"/>
      <c r="I5" s="1944"/>
      <c r="J5" s="2276"/>
      <c r="K5" s="2665"/>
      <c r="L5" s="1136"/>
    </row>
    <row r="6" spans="2:20" ht="38.25" x14ac:dyDescent="0.2">
      <c r="B6" s="1121"/>
      <c r="C6" s="406"/>
      <c r="D6" s="418"/>
      <c r="E6" s="419"/>
      <c r="F6" s="1423" t="s">
        <v>9266</v>
      </c>
      <c r="G6" s="1422"/>
      <c r="H6" s="2277"/>
      <c r="I6" s="1424" t="s">
        <v>8219</v>
      </c>
      <c r="J6" s="1422"/>
      <c r="K6" s="422" t="s">
        <v>11844</v>
      </c>
      <c r="L6" s="1136"/>
      <c r="M6" s="1253"/>
      <c r="N6" s="1254"/>
      <c r="O6" s="354"/>
    </row>
    <row r="7" spans="2:20" ht="38.25" x14ac:dyDescent="0.2">
      <c r="B7" s="1121"/>
      <c r="C7" s="406"/>
      <c r="D7" s="418"/>
      <c r="E7" s="419"/>
      <c r="F7" s="421" t="s">
        <v>753</v>
      </c>
      <c r="G7" s="31" t="s">
        <v>11963</v>
      </c>
      <c r="H7" s="26" t="s">
        <v>11964</v>
      </c>
      <c r="I7" s="28" t="s">
        <v>11965</v>
      </c>
      <c r="J7" s="31" t="s">
        <v>11843</v>
      </c>
      <c r="K7" s="2275"/>
      <c r="L7" s="1136"/>
      <c r="N7" s="113">
        <v>27</v>
      </c>
    </row>
    <row r="8" spans="2:20" x14ac:dyDescent="0.2">
      <c r="B8" s="1121"/>
      <c r="C8" s="406"/>
      <c r="D8" s="418"/>
      <c r="E8" s="419"/>
      <c r="F8" s="87">
        <v>1</v>
      </c>
      <c r="G8" s="2660"/>
      <c r="H8" s="2272" t="s">
        <v>23</v>
      </c>
      <c r="I8" s="2273"/>
      <c r="J8" s="2274"/>
      <c r="K8" s="420"/>
      <c r="L8" s="1136"/>
      <c r="N8" s="113">
        <v>2</v>
      </c>
    </row>
    <row r="9" spans="2:20" x14ac:dyDescent="0.2">
      <c r="B9" s="1121"/>
      <c r="C9" s="406"/>
      <c r="D9" s="418"/>
      <c r="E9" s="419"/>
      <c r="F9" s="87">
        <f t="shared" ref="F9:F14" si="0">F8+1</f>
        <v>2</v>
      </c>
      <c r="G9" s="2660"/>
      <c r="H9" s="2272" t="s">
        <v>23</v>
      </c>
      <c r="I9" s="2273"/>
      <c r="J9" s="2274"/>
      <c r="K9" s="420"/>
      <c r="L9" s="1136"/>
      <c r="T9" s="113" t="s">
        <v>1555</v>
      </c>
    </row>
    <row r="10" spans="2:20" x14ac:dyDescent="0.2">
      <c r="B10" s="1121"/>
      <c r="C10" s="406"/>
      <c r="D10" s="418"/>
      <c r="E10" s="419"/>
      <c r="F10" s="87">
        <f t="shared" si="0"/>
        <v>3</v>
      </c>
      <c r="G10" s="2660"/>
      <c r="H10" s="2272" t="s">
        <v>23</v>
      </c>
      <c r="I10" s="2273"/>
      <c r="J10" s="2274"/>
      <c r="K10" s="420"/>
      <c r="L10" s="1136"/>
    </row>
    <row r="11" spans="2:20" x14ac:dyDescent="0.2">
      <c r="B11" s="1121"/>
      <c r="C11" s="406"/>
      <c r="D11" s="418"/>
      <c r="E11" s="419"/>
      <c r="F11" s="87">
        <f t="shared" si="0"/>
        <v>4</v>
      </c>
      <c r="G11" s="2660"/>
      <c r="H11" s="2272" t="s">
        <v>23</v>
      </c>
      <c r="I11" s="2273"/>
      <c r="J11" s="2274"/>
      <c r="K11" s="420"/>
      <c r="L11" s="1136"/>
    </row>
    <row r="12" spans="2:20" x14ac:dyDescent="0.2">
      <c r="B12" s="1121"/>
      <c r="C12" s="406"/>
      <c r="D12" s="418"/>
      <c r="E12" s="419"/>
      <c r="F12" s="87">
        <f t="shared" si="0"/>
        <v>5</v>
      </c>
      <c r="G12" s="2660"/>
      <c r="H12" s="2272" t="s">
        <v>23</v>
      </c>
      <c r="I12" s="2273"/>
      <c r="J12" s="2274"/>
      <c r="K12" s="420"/>
      <c r="L12" s="1136"/>
    </row>
    <row r="13" spans="2:20" x14ac:dyDescent="0.2">
      <c r="B13" s="1121"/>
      <c r="C13" s="406"/>
      <c r="D13" s="418"/>
      <c r="E13" s="419"/>
      <c r="F13" s="87">
        <f t="shared" si="0"/>
        <v>6</v>
      </c>
      <c r="G13" s="2660"/>
      <c r="H13" s="2272" t="s">
        <v>23</v>
      </c>
      <c r="I13" s="2273"/>
      <c r="J13" s="2274"/>
      <c r="K13" s="420"/>
      <c r="L13" s="1136"/>
    </row>
    <row r="14" spans="2:20" x14ac:dyDescent="0.2">
      <c r="B14" s="1121"/>
      <c r="C14" s="406"/>
      <c r="D14" s="418"/>
      <c r="E14" s="419"/>
      <c r="F14" s="87">
        <f t="shared" si="0"/>
        <v>7</v>
      </c>
      <c r="G14" s="2660"/>
      <c r="H14" s="2272" t="s">
        <v>23</v>
      </c>
      <c r="I14" s="2273"/>
      <c r="J14" s="2274"/>
      <c r="K14" s="420"/>
      <c r="L14" s="1136"/>
    </row>
    <row r="15" spans="2:20" x14ac:dyDescent="0.2">
      <c r="B15" s="1121"/>
      <c r="C15" s="406"/>
      <c r="D15" s="418"/>
      <c r="E15" s="419"/>
      <c r="F15" s="3313" t="s">
        <v>7156</v>
      </c>
      <c r="G15" s="3288"/>
      <c r="H15" s="1425"/>
      <c r="I15" s="424"/>
      <c r="J15" s="425"/>
      <c r="K15" s="420"/>
      <c r="L15" s="1136"/>
    </row>
    <row r="16" spans="2:20" ht="38.25" x14ac:dyDescent="0.2">
      <c r="B16" s="1121"/>
      <c r="C16" s="406"/>
      <c r="D16" s="418"/>
      <c r="E16" s="419"/>
      <c r="F16" s="31" t="s">
        <v>753</v>
      </c>
      <c r="G16" s="8" t="s">
        <v>13097</v>
      </c>
      <c r="H16" s="28" t="s">
        <v>13098</v>
      </c>
      <c r="I16" s="28" t="s">
        <v>13099</v>
      </c>
      <c r="J16" s="719" t="s">
        <v>9650</v>
      </c>
      <c r="K16" s="1804"/>
      <c r="L16" s="1136"/>
    </row>
    <row r="17" spans="2:14" x14ac:dyDescent="0.2">
      <c r="B17" s="1121"/>
      <c r="C17" s="406"/>
      <c r="D17" s="418"/>
      <c r="E17" s="419"/>
      <c r="F17" s="87">
        <v>1</v>
      </c>
      <c r="G17" s="1426"/>
      <c r="H17" s="1427" t="s">
        <v>23</v>
      </c>
      <c r="I17" s="1427" t="s">
        <v>23</v>
      </c>
      <c r="J17" s="1427" t="s">
        <v>23</v>
      </c>
      <c r="K17" s="1804"/>
      <c r="L17" s="1136"/>
    </row>
    <row r="18" spans="2:14" x14ac:dyDescent="0.2">
      <c r="B18" s="1121"/>
      <c r="C18" s="406"/>
      <c r="D18" s="418"/>
      <c r="E18" s="419"/>
      <c r="F18" s="87">
        <f>F17+1</f>
        <v>2</v>
      </c>
      <c r="G18" s="1426"/>
      <c r="H18" s="1427" t="s">
        <v>23</v>
      </c>
      <c r="I18" s="1427" t="s">
        <v>23</v>
      </c>
      <c r="J18" s="1427" t="s">
        <v>23</v>
      </c>
      <c r="K18" s="1804"/>
      <c r="L18" s="1136"/>
    </row>
    <row r="19" spans="2:14" x14ac:dyDescent="0.2">
      <c r="B19" s="1121"/>
      <c r="C19" s="406"/>
      <c r="D19" s="418"/>
      <c r="E19" s="426"/>
      <c r="F19" s="87">
        <f>F18+1</f>
        <v>3</v>
      </c>
      <c r="G19" s="1426"/>
      <c r="H19" s="1427" t="s">
        <v>23</v>
      </c>
      <c r="I19" s="1427" t="s">
        <v>23</v>
      </c>
      <c r="J19" s="1427" t="s">
        <v>23</v>
      </c>
      <c r="K19" s="1806"/>
      <c r="L19" s="1122"/>
    </row>
    <row r="20" spans="2:14" x14ac:dyDescent="0.2">
      <c r="B20" s="1121"/>
      <c r="C20" s="406"/>
      <c r="D20" s="418"/>
      <c r="E20" s="114" t="s">
        <v>27</v>
      </c>
      <c r="F20" s="3310" t="s">
        <v>9651</v>
      </c>
      <c r="G20" s="3311"/>
      <c r="H20" s="3311"/>
      <c r="I20" s="3312"/>
      <c r="J20" s="277" t="s">
        <v>27</v>
      </c>
      <c r="K20" s="2661"/>
      <c r="L20" s="1136"/>
    </row>
    <row r="21" spans="2:14" x14ac:dyDescent="0.2">
      <c r="B21" s="1121"/>
      <c r="C21" s="406"/>
      <c r="D21" s="418"/>
      <c r="E21" s="215" t="s">
        <v>28</v>
      </c>
      <c r="F21" s="3017" t="s">
        <v>754</v>
      </c>
      <c r="G21" s="3015"/>
      <c r="H21" s="3015"/>
      <c r="I21" s="801"/>
      <c r="J21" s="427"/>
      <c r="K21" s="428"/>
      <c r="L21" s="1136"/>
    </row>
    <row r="22" spans="2:14" x14ac:dyDescent="0.2">
      <c r="B22" s="1121"/>
      <c r="C22" s="406"/>
      <c r="D22" s="418"/>
      <c r="E22" s="215" t="s">
        <v>29</v>
      </c>
      <c r="F22" s="3017" t="s">
        <v>755</v>
      </c>
      <c r="G22" s="3015"/>
      <c r="H22" s="3015"/>
      <c r="I22" s="801"/>
      <c r="J22" s="429"/>
      <c r="K22" s="430"/>
      <c r="L22" s="1136"/>
    </row>
    <row r="23" spans="2:14" x14ac:dyDescent="0.2">
      <c r="B23" s="1121"/>
      <c r="C23" s="406"/>
      <c r="D23" s="418"/>
      <c r="E23" s="431" t="s">
        <v>36</v>
      </c>
      <c r="F23" s="3321" t="s">
        <v>756</v>
      </c>
      <c r="G23" s="3322"/>
      <c r="H23" s="3322"/>
      <c r="I23" s="1430">
        <f>SUM(I21:I22)</f>
        <v>0</v>
      </c>
      <c r="J23" s="432"/>
      <c r="K23" s="433"/>
      <c r="L23" s="1136"/>
    </row>
    <row r="24" spans="2:14" x14ac:dyDescent="0.2">
      <c r="B24" s="1121"/>
      <c r="C24" s="406"/>
      <c r="D24" s="418"/>
      <c r="E24" s="431" t="s">
        <v>38</v>
      </c>
      <c r="F24" s="3126" t="s">
        <v>757</v>
      </c>
      <c r="G24" s="3127"/>
      <c r="H24" s="3127"/>
      <c r="I24" s="3128"/>
      <c r="J24" s="10" t="s">
        <v>38</v>
      </c>
      <c r="K24" s="1391">
        <f>(K20-I23)</f>
        <v>0</v>
      </c>
      <c r="L24" s="1136"/>
    </row>
    <row r="25" spans="2:14" x14ac:dyDescent="0.2">
      <c r="B25" s="1121"/>
      <c r="C25" s="406"/>
      <c r="D25" s="418"/>
      <c r="E25" s="431" t="s">
        <v>40</v>
      </c>
      <c r="F25" s="3126" t="s">
        <v>758</v>
      </c>
      <c r="G25" s="3127"/>
      <c r="H25" s="3127"/>
      <c r="I25" s="3128"/>
      <c r="J25" s="239" t="s">
        <v>40</v>
      </c>
      <c r="K25" s="1396">
        <f>ROUND(((K7/100)*K24),0)</f>
        <v>0</v>
      </c>
      <c r="L25" s="1136"/>
    </row>
    <row r="26" spans="2:14" x14ac:dyDescent="0.2">
      <c r="B26" s="1121"/>
      <c r="C26" s="406"/>
      <c r="D26" s="418"/>
      <c r="E26" s="431" t="s">
        <v>539</v>
      </c>
      <c r="F26" s="3314" t="s">
        <v>759</v>
      </c>
      <c r="G26" s="3315"/>
      <c r="H26" s="3316"/>
      <c r="I26" s="1392">
        <f>ROUND(IF(((30/100)*K25) &lt; 0,0,(30/100*K25)),0)</f>
        <v>0</v>
      </c>
      <c r="J26" s="427"/>
      <c r="K26" s="428"/>
      <c r="L26" s="1136"/>
    </row>
    <row r="27" spans="2:14" ht="25.5" x14ac:dyDescent="0.2">
      <c r="B27" s="1121"/>
      <c r="C27" s="406"/>
      <c r="D27" s="418"/>
      <c r="E27" s="215" t="s">
        <v>541</v>
      </c>
      <c r="F27" s="3109" t="s">
        <v>760</v>
      </c>
      <c r="G27" s="3120"/>
      <c r="H27" s="1961" t="s">
        <v>7177</v>
      </c>
      <c r="I27" s="2089"/>
      <c r="J27" s="432"/>
      <c r="K27" s="433"/>
      <c r="L27" s="1136"/>
    </row>
    <row r="28" spans="2:14" x14ac:dyDescent="0.2">
      <c r="B28" s="1121"/>
      <c r="C28" s="406"/>
      <c r="D28" s="419"/>
      <c r="E28" s="431" t="s">
        <v>287</v>
      </c>
      <c r="F28" s="3126" t="s">
        <v>761</v>
      </c>
      <c r="G28" s="3127"/>
      <c r="H28" s="3127"/>
      <c r="I28" s="3128"/>
      <c r="J28" s="10" t="s">
        <v>287</v>
      </c>
      <c r="K28" s="1391">
        <f>SUM(I26,I27)</f>
        <v>0</v>
      </c>
      <c r="L28" s="1136"/>
    </row>
    <row r="29" spans="2:14" x14ac:dyDescent="0.2">
      <c r="B29" s="1121"/>
      <c r="C29" s="406"/>
      <c r="D29" s="419"/>
      <c r="E29" s="431" t="s">
        <v>545</v>
      </c>
      <c r="F29" s="3126" t="s">
        <v>9239</v>
      </c>
      <c r="G29" s="3127"/>
      <c r="H29" s="3127"/>
      <c r="I29" s="3128"/>
      <c r="J29" s="10" t="s">
        <v>545</v>
      </c>
      <c r="K29" s="1429"/>
      <c r="L29" s="1136"/>
    </row>
    <row r="30" spans="2:14" x14ac:dyDescent="0.2">
      <c r="B30" s="1121"/>
      <c r="C30" s="406"/>
      <c r="D30" s="426"/>
      <c r="E30" s="431" t="s">
        <v>547</v>
      </c>
      <c r="F30" s="3126" t="s">
        <v>9240</v>
      </c>
      <c r="G30" s="3127"/>
      <c r="H30" s="3127"/>
      <c r="I30" s="3128"/>
      <c r="J30" s="10" t="s">
        <v>547</v>
      </c>
      <c r="K30" s="1391">
        <f>(K25-K28+K29)</f>
        <v>0</v>
      </c>
      <c r="L30" s="1136"/>
      <c r="N30" s="144"/>
    </row>
    <row r="31" spans="2:14" ht="38.25" x14ac:dyDescent="0.2">
      <c r="B31" s="1121"/>
      <c r="C31" s="412"/>
      <c r="D31" s="413">
        <v>2</v>
      </c>
      <c r="E31" s="413"/>
      <c r="F31" s="414" t="s">
        <v>9265</v>
      </c>
      <c r="G31" s="415" t="s">
        <v>751</v>
      </c>
      <c r="H31" s="416" t="s">
        <v>16</v>
      </c>
      <c r="I31" s="416" t="s">
        <v>17</v>
      </c>
      <c r="J31" s="417" t="s">
        <v>752</v>
      </c>
      <c r="K31" s="417" t="s">
        <v>8072</v>
      </c>
      <c r="L31" s="1136"/>
      <c r="N31" s="2258"/>
    </row>
    <row r="32" spans="2:14" x14ac:dyDescent="0.2">
      <c r="B32" s="1121"/>
      <c r="C32" s="406"/>
      <c r="D32" s="418"/>
      <c r="E32" s="418"/>
      <c r="F32" s="2259"/>
      <c r="G32" s="1986"/>
      <c r="H32" s="1944"/>
      <c r="I32" s="1944"/>
      <c r="J32" s="2276"/>
      <c r="K32" s="2276"/>
      <c r="L32" s="1136"/>
      <c r="N32" s="2258"/>
    </row>
    <row r="33" spans="2:14" ht="38.25" x14ac:dyDescent="0.2">
      <c r="B33" s="1121"/>
      <c r="C33" s="406"/>
      <c r="D33" s="418"/>
      <c r="E33" s="419"/>
      <c r="F33" s="2261" t="s">
        <v>9266</v>
      </c>
      <c r="G33" s="1422" t="s">
        <v>12</v>
      </c>
      <c r="H33" s="2277"/>
      <c r="I33" s="1424" t="s">
        <v>8219</v>
      </c>
      <c r="J33" s="1422" t="s">
        <v>12</v>
      </c>
      <c r="K33" s="2268" t="s">
        <v>11844</v>
      </c>
      <c r="L33" s="1136"/>
      <c r="N33" s="2258"/>
    </row>
    <row r="34" spans="2:14" ht="38.25" x14ac:dyDescent="0.2">
      <c r="B34" s="1121"/>
      <c r="C34" s="406"/>
      <c r="D34" s="418"/>
      <c r="E34" s="419"/>
      <c r="F34" s="421" t="s">
        <v>753</v>
      </c>
      <c r="G34" s="2266" t="s">
        <v>11963</v>
      </c>
      <c r="H34" s="2256" t="s">
        <v>11964</v>
      </c>
      <c r="I34" s="2260" t="s">
        <v>11965</v>
      </c>
      <c r="J34" s="2266" t="s">
        <v>11843</v>
      </c>
      <c r="K34" s="2275"/>
      <c r="L34" s="1136"/>
      <c r="N34" s="2258"/>
    </row>
    <row r="35" spans="2:14" x14ac:dyDescent="0.2">
      <c r="B35" s="1121"/>
      <c r="C35" s="406"/>
      <c r="D35" s="418"/>
      <c r="E35" s="419"/>
      <c r="F35" s="87">
        <v>1</v>
      </c>
      <c r="G35" s="2293"/>
      <c r="H35" s="2272" t="s">
        <v>23</v>
      </c>
      <c r="I35" s="2273"/>
      <c r="J35" s="2274"/>
      <c r="K35" s="420"/>
      <c r="L35" s="1136"/>
      <c r="N35" s="2258"/>
    </row>
    <row r="36" spans="2:14" x14ac:dyDescent="0.2">
      <c r="B36" s="1121"/>
      <c r="C36" s="406"/>
      <c r="D36" s="418"/>
      <c r="E36" s="419"/>
      <c r="F36" s="87">
        <f t="shared" ref="F36:F41" si="1">F35+1</f>
        <v>2</v>
      </c>
      <c r="G36" s="2293"/>
      <c r="H36" s="2272" t="s">
        <v>23</v>
      </c>
      <c r="I36" s="2273"/>
      <c r="J36" s="2274"/>
      <c r="K36" s="420"/>
      <c r="L36" s="1136"/>
      <c r="N36" s="2258"/>
    </row>
    <row r="37" spans="2:14" x14ac:dyDescent="0.2">
      <c r="B37" s="1121"/>
      <c r="C37" s="406"/>
      <c r="D37" s="418"/>
      <c r="E37" s="419"/>
      <c r="F37" s="87">
        <f t="shared" si="1"/>
        <v>3</v>
      </c>
      <c r="G37" s="2293"/>
      <c r="H37" s="2272" t="s">
        <v>23</v>
      </c>
      <c r="I37" s="2273"/>
      <c r="J37" s="2274"/>
      <c r="K37" s="420"/>
      <c r="L37" s="1136"/>
      <c r="N37" s="2258"/>
    </row>
    <row r="38" spans="2:14" x14ac:dyDescent="0.2">
      <c r="B38" s="1121"/>
      <c r="C38" s="406"/>
      <c r="D38" s="418"/>
      <c r="E38" s="419"/>
      <c r="F38" s="87">
        <f t="shared" si="1"/>
        <v>4</v>
      </c>
      <c r="G38" s="2293"/>
      <c r="H38" s="2272" t="s">
        <v>23</v>
      </c>
      <c r="I38" s="2273"/>
      <c r="J38" s="2274"/>
      <c r="K38" s="420"/>
      <c r="L38" s="1136"/>
      <c r="N38" s="2258"/>
    </row>
    <row r="39" spans="2:14" x14ac:dyDescent="0.2">
      <c r="B39" s="1121"/>
      <c r="C39" s="406"/>
      <c r="D39" s="418"/>
      <c r="E39" s="419"/>
      <c r="F39" s="87">
        <f t="shared" si="1"/>
        <v>5</v>
      </c>
      <c r="G39" s="2293"/>
      <c r="H39" s="2272" t="s">
        <v>23</v>
      </c>
      <c r="I39" s="2273"/>
      <c r="J39" s="2274"/>
      <c r="K39" s="420"/>
      <c r="L39" s="1136"/>
      <c r="N39" s="2258"/>
    </row>
    <row r="40" spans="2:14" x14ac:dyDescent="0.2">
      <c r="B40" s="1121"/>
      <c r="C40" s="406"/>
      <c r="D40" s="418"/>
      <c r="E40" s="419"/>
      <c r="F40" s="87">
        <f t="shared" si="1"/>
        <v>6</v>
      </c>
      <c r="G40" s="2293"/>
      <c r="H40" s="2272" t="s">
        <v>23</v>
      </c>
      <c r="I40" s="2273"/>
      <c r="J40" s="2274"/>
      <c r="K40" s="420"/>
      <c r="L40" s="1136"/>
      <c r="N40" s="2258"/>
    </row>
    <row r="41" spans="2:14" x14ac:dyDescent="0.2">
      <c r="B41" s="1121"/>
      <c r="C41" s="406"/>
      <c r="D41" s="418"/>
      <c r="E41" s="419"/>
      <c r="F41" s="87">
        <f t="shared" si="1"/>
        <v>7</v>
      </c>
      <c r="G41" s="2293"/>
      <c r="H41" s="2272" t="s">
        <v>23</v>
      </c>
      <c r="I41" s="2273"/>
      <c r="J41" s="2274"/>
      <c r="K41" s="420"/>
      <c r="L41" s="1136"/>
      <c r="N41" s="2258"/>
    </row>
    <row r="42" spans="2:14" x14ac:dyDescent="0.2">
      <c r="B42" s="1121"/>
      <c r="C42" s="406"/>
      <c r="D42" s="418"/>
      <c r="E42" s="419"/>
      <c r="F42" s="3313" t="s">
        <v>7156</v>
      </c>
      <c r="G42" s="3288"/>
      <c r="H42" s="1425" t="s">
        <v>12</v>
      </c>
      <c r="I42" s="424"/>
      <c r="J42" s="425"/>
      <c r="K42" s="420"/>
      <c r="L42" s="1136"/>
      <c r="N42" s="2258"/>
    </row>
    <row r="43" spans="2:14" ht="38.25" x14ac:dyDescent="0.2">
      <c r="B43" s="1121"/>
      <c r="C43" s="406"/>
      <c r="D43" s="418"/>
      <c r="E43" s="419"/>
      <c r="F43" s="2266" t="s">
        <v>753</v>
      </c>
      <c r="G43" s="2265" t="s">
        <v>13097</v>
      </c>
      <c r="H43" s="2260" t="s">
        <v>13098</v>
      </c>
      <c r="I43" s="2260" t="s">
        <v>13099</v>
      </c>
      <c r="J43" s="719" t="s">
        <v>9650</v>
      </c>
      <c r="K43" s="1804"/>
      <c r="L43" s="1136"/>
      <c r="N43" s="2258"/>
    </row>
    <row r="44" spans="2:14" x14ac:dyDescent="0.2">
      <c r="B44" s="1121"/>
      <c r="C44" s="406"/>
      <c r="D44" s="418"/>
      <c r="E44" s="419"/>
      <c r="F44" s="87">
        <v>1</v>
      </c>
      <c r="G44" s="1426"/>
      <c r="H44" s="1427" t="s">
        <v>23</v>
      </c>
      <c r="I44" s="1427" t="s">
        <v>23</v>
      </c>
      <c r="J44" s="1427" t="s">
        <v>23</v>
      </c>
      <c r="K44" s="1804"/>
      <c r="L44" s="1136"/>
      <c r="N44" s="2258"/>
    </row>
    <row r="45" spans="2:14" x14ac:dyDescent="0.2">
      <c r="B45" s="1121"/>
      <c r="C45" s="406"/>
      <c r="D45" s="418"/>
      <c r="E45" s="419"/>
      <c r="F45" s="87">
        <f>F44+1</f>
        <v>2</v>
      </c>
      <c r="G45" s="1426"/>
      <c r="H45" s="1427" t="s">
        <v>23</v>
      </c>
      <c r="I45" s="1427" t="s">
        <v>23</v>
      </c>
      <c r="J45" s="1427" t="s">
        <v>23</v>
      </c>
      <c r="K45" s="1804"/>
      <c r="L45" s="1136"/>
      <c r="N45" s="2258"/>
    </row>
    <row r="46" spans="2:14" x14ac:dyDescent="0.2">
      <c r="B46" s="1121"/>
      <c r="C46" s="406"/>
      <c r="D46" s="418"/>
      <c r="E46" s="426"/>
      <c r="F46" s="87">
        <f>F45+1</f>
        <v>3</v>
      </c>
      <c r="G46" s="1426"/>
      <c r="H46" s="1427" t="s">
        <v>23</v>
      </c>
      <c r="I46" s="1427" t="s">
        <v>23</v>
      </c>
      <c r="J46" s="1427" t="s">
        <v>23</v>
      </c>
      <c r="K46" s="1806"/>
      <c r="L46" s="1136"/>
      <c r="N46" s="2258"/>
    </row>
    <row r="47" spans="2:14" x14ac:dyDescent="0.2">
      <c r="B47" s="1121"/>
      <c r="C47" s="406"/>
      <c r="D47" s="418"/>
      <c r="E47" s="114" t="s">
        <v>27</v>
      </c>
      <c r="F47" s="3310" t="s">
        <v>9651</v>
      </c>
      <c r="G47" s="3311"/>
      <c r="H47" s="3311"/>
      <c r="I47" s="3312"/>
      <c r="J47" s="2262" t="s">
        <v>27</v>
      </c>
      <c r="K47" s="2418"/>
      <c r="L47" s="1136"/>
      <c r="N47" s="2258"/>
    </row>
    <row r="48" spans="2:14" x14ac:dyDescent="0.2">
      <c r="B48" s="1121"/>
      <c r="C48" s="406"/>
      <c r="D48" s="418"/>
      <c r="E48" s="215" t="s">
        <v>28</v>
      </c>
      <c r="F48" s="3017" t="s">
        <v>754</v>
      </c>
      <c r="G48" s="3015"/>
      <c r="H48" s="3015"/>
      <c r="I48" s="1973"/>
      <c r="J48" s="427"/>
      <c r="K48" s="428"/>
      <c r="L48" s="1136"/>
      <c r="N48" s="2258"/>
    </row>
    <row r="49" spans="2:14" x14ac:dyDescent="0.2">
      <c r="B49" s="1121"/>
      <c r="C49" s="406"/>
      <c r="D49" s="418"/>
      <c r="E49" s="215" t="s">
        <v>29</v>
      </c>
      <c r="F49" s="3017" t="s">
        <v>755</v>
      </c>
      <c r="G49" s="3015"/>
      <c r="H49" s="3015"/>
      <c r="I49" s="1973"/>
      <c r="J49" s="429"/>
      <c r="K49" s="430"/>
      <c r="L49" s="1136"/>
      <c r="N49" s="2258"/>
    </row>
    <row r="50" spans="2:14" x14ac:dyDescent="0.2">
      <c r="B50" s="1121"/>
      <c r="C50" s="406"/>
      <c r="D50" s="418"/>
      <c r="E50" s="431" t="s">
        <v>36</v>
      </c>
      <c r="F50" s="3321" t="s">
        <v>756</v>
      </c>
      <c r="G50" s="3322"/>
      <c r="H50" s="3322"/>
      <c r="I50" s="1430">
        <f>SUM(I48:I49)</f>
        <v>0</v>
      </c>
      <c r="J50" s="432"/>
      <c r="K50" s="433"/>
      <c r="L50" s="1136"/>
      <c r="N50" s="2258"/>
    </row>
    <row r="51" spans="2:14" x14ac:dyDescent="0.2">
      <c r="B51" s="1121"/>
      <c r="C51" s="406"/>
      <c r="D51" s="418"/>
      <c r="E51" s="431" t="s">
        <v>38</v>
      </c>
      <c r="F51" s="3126" t="s">
        <v>757</v>
      </c>
      <c r="G51" s="3127"/>
      <c r="H51" s="3127"/>
      <c r="I51" s="3128"/>
      <c r="J51" s="10" t="s">
        <v>38</v>
      </c>
      <c r="K51" s="2267">
        <f>(K47-I50)</f>
        <v>0</v>
      </c>
      <c r="L51" s="1136"/>
      <c r="N51" s="2258"/>
    </row>
    <row r="52" spans="2:14" x14ac:dyDescent="0.2">
      <c r="B52" s="1121"/>
      <c r="C52" s="406"/>
      <c r="D52" s="418"/>
      <c r="E52" s="431" t="s">
        <v>40</v>
      </c>
      <c r="F52" s="3126" t="s">
        <v>758</v>
      </c>
      <c r="G52" s="3127"/>
      <c r="H52" s="3127"/>
      <c r="I52" s="3128"/>
      <c r="J52" s="239" t="s">
        <v>40</v>
      </c>
      <c r="K52" s="1396">
        <f>ROUND(((K34/100)*K51),0)</f>
        <v>0</v>
      </c>
      <c r="L52" s="1136"/>
      <c r="N52" s="2258"/>
    </row>
    <row r="53" spans="2:14" x14ac:dyDescent="0.2">
      <c r="B53" s="1121"/>
      <c r="C53" s="406"/>
      <c r="D53" s="418"/>
      <c r="E53" s="431" t="s">
        <v>539</v>
      </c>
      <c r="F53" s="3314" t="s">
        <v>759</v>
      </c>
      <c r="G53" s="3315"/>
      <c r="H53" s="3316"/>
      <c r="I53" s="1392">
        <f>ROUND(IF(((30/100)*K52) &lt; 0,0,(30/100*K52)),0)</f>
        <v>0</v>
      </c>
      <c r="J53" s="427"/>
      <c r="K53" s="428"/>
      <c r="L53" s="1136"/>
      <c r="N53" s="2258"/>
    </row>
    <row r="54" spans="2:14" ht="25.5" x14ac:dyDescent="0.2">
      <c r="B54" s="1121"/>
      <c r="C54" s="406"/>
      <c r="D54" s="418"/>
      <c r="E54" s="215" t="s">
        <v>541</v>
      </c>
      <c r="F54" s="3109" t="s">
        <v>760</v>
      </c>
      <c r="G54" s="3120"/>
      <c r="H54" s="2257" t="s">
        <v>7177</v>
      </c>
      <c r="I54" s="2089"/>
      <c r="J54" s="432"/>
      <c r="K54" s="433"/>
      <c r="L54" s="1136"/>
      <c r="N54" s="2258"/>
    </row>
    <row r="55" spans="2:14" x14ac:dyDescent="0.2">
      <c r="B55" s="1121"/>
      <c r="C55" s="406"/>
      <c r="D55" s="419"/>
      <c r="E55" s="431" t="s">
        <v>287</v>
      </c>
      <c r="F55" s="3126" t="s">
        <v>761</v>
      </c>
      <c r="G55" s="3127"/>
      <c r="H55" s="3127"/>
      <c r="I55" s="3128"/>
      <c r="J55" s="10" t="s">
        <v>287</v>
      </c>
      <c r="K55" s="2267">
        <f>SUM(I53,I54)</f>
        <v>0</v>
      </c>
      <c r="L55" s="1136"/>
      <c r="N55" s="2258"/>
    </row>
    <row r="56" spans="2:14" x14ac:dyDescent="0.2">
      <c r="B56" s="1121"/>
      <c r="C56" s="406"/>
      <c r="D56" s="419"/>
      <c r="E56" s="431" t="s">
        <v>545</v>
      </c>
      <c r="F56" s="3126" t="s">
        <v>9239</v>
      </c>
      <c r="G56" s="3127"/>
      <c r="H56" s="3127"/>
      <c r="I56" s="3128"/>
      <c r="J56" s="10" t="s">
        <v>545</v>
      </c>
      <c r="K56" s="1429"/>
      <c r="L56" s="1136"/>
      <c r="N56" s="2258"/>
    </row>
    <row r="57" spans="2:14" x14ac:dyDescent="0.2">
      <c r="B57" s="1121"/>
      <c r="C57" s="406"/>
      <c r="D57" s="426"/>
      <c r="E57" s="431" t="s">
        <v>547</v>
      </c>
      <c r="F57" s="3126" t="s">
        <v>9240</v>
      </c>
      <c r="G57" s="3127"/>
      <c r="H57" s="3127"/>
      <c r="I57" s="3128"/>
      <c r="J57" s="10" t="s">
        <v>547</v>
      </c>
      <c r="K57" s="2267">
        <f>(K52-K55+K56)</f>
        <v>0</v>
      </c>
      <c r="L57" s="1136"/>
      <c r="N57" s="2258"/>
    </row>
    <row r="58" spans="2:14" ht="12.75" customHeight="1" x14ac:dyDescent="0.2">
      <c r="B58" s="1121"/>
      <c r="C58" s="222"/>
      <c r="D58" s="9">
        <v>2</v>
      </c>
      <c r="E58" s="3017" t="s">
        <v>11966</v>
      </c>
      <c r="F58" s="3015"/>
      <c r="G58" s="3015"/>
      <c r="H58" s="3015"/>
      <c r="I58" s="3016"/>
      <c r="J58" s="6">
        <v>2</v>
      </c>
      <c r="K58" s="1391">
        <v>0</v>
      </c>
      <c r="L58" s="1136"/>
      <c r="N58" s="144">
        <f>IF(bacValue=1,0,MAX(HP.TotalIncomeChargeableUnHP,-200000))</f>
        <v>0</v>
      </c>
    </row>
    <row r="59" spans="2:14" ht="24" customHeight="1" x14ac:dyDescent="0.2">
      <c r="B59" s="1121"/>
      <c r="C59" s="1179"/>
      <c r="D59" s="30">
        <v>3</v>
      </c>
      <c r="E59" s="3004" t="s">
        <v>9238</v>
      </c>
      <c r="F59" s="3127"/>
      <c r="G59" s="3127"/>
      <c r="H59" s="3127"/>
      <c r="I59" s="3128"/>
      <c r="J59" s="10">
        <v>3</v>
      </c>
      <c r="K59" s="1428">
        <v>0</v>
      </c>
      <c r="L59" s="1136"/>
      <c r="N59" s="144">
        <f>MAX(0,(-HP.TotalIncomeChargeableUnHP-200000))</f>
        <v>0</v>
      </c>
    </row>
    <row r="60" spans="2:14" x14ac:dyDescent="0.2">
      <c r="B60" s="1121"/>
      <c r="C60" s="1133"/>
      <c r="D60" s="1133"/>
      <c r="E60" s="1133"/>
      <c r="F60" s="1133"/>
      <c r="G60" s="1133"/>
      <c r="H60" s="1133"/>
      <c r="I60" s="1133"/>
      <c r="J60" s="1133"/>
      <c r="K60" s="1133"/>
      <c r="L60" s="1136"/>
    </row>
    <row r="61" spans="2:14" ht="12.75" customHeight="1" x14ac:dyDescent="0.2">
      <c r="B61" s="1121"/>
      <c r="C61" s="3309"/>
      <c r="D61" s="3309"/>
      <c r="E61" s="3309"/>
      <c r="F61" s="3309"/>
      <c r="G61" s="3309"/>
      <c r="H61" s="128"/>
      <c r="I61" s="128"/>
      <c r="J61" s="128"/>
      <c r="K61" s="128"/>
      <c r="L61" s="1136"/>
    </row>
    <row r="62" spans="2:14" ht="12.75" customHeight="1" x14ac:dyDescent="0.2">
      <c r="B62" s="1121"/>
      <c r="C62" s="3309"/>
      <c r="D62" s="3309"/>
      <c r="E62" s="3309"/>
      <c r="F62" s="3309"/>
      <c r="G62" s="3309"/>
      <c r="H62" s="128"/>
      <c r="I62" s="128"/>
      <c r="J62" s="128"/>
      <c r="K62" s="128"/>
      <c r="L62" s="1136"/>
    </row>
    <row r="63" spans="2:14" ht="15" customHeight="1" x14ac:dyDescent="0.2">
      <c r="B63" s="1121"/>
      <c r="C63" s="835"/>
      <c r="D63" s="835"/>
      <c r="E63" s="835"/>
      <c r="F63" s="835"/>
      <c r="G63" s="835"/>
      <c r="H63" s="835"/>
      <c r="I63" s="835"/>
      <c r="J63" s="835"/>
      <c r="K63" s="835"/>
      <c r="L63" s="1136"/>
    </row>
    <row r="64" spans="2:14" ht="15" customHeight="1" thickBot="1" x14ac:dyDescent="0.25">
      <c r="B64" s="1141"/>
      <c r="C64" s="1162"/>
      <c r="D64" s="1162"/>
      <c r="E64" s="1162"/>
      <c r="F64" s="1162"/>
      <c r="G64" s="1162"/>
      <c r="H64" s="1162"/>
      <c r="I64" s="1162"/>
      <c r="J64" s="1162"/>
      <c r="K64" s="1162"/>
      <c r="L64" s="1139"/>
    </row>
    <row r="65" ht="15"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65535" x14ac:dyDescent="0.2"/>
    <row r="65536" x14ac:dyDescent="0.2"/>
    <row r="65562" x14ac:dyDescent="0.2"/>
    <row r="65563" x14ac:dyDescent="0.2"/>
  </sheetData>
  <sheetProtection algorithmName="SHA-512" hashValue="A+8+8g0wZXd7okacRtVFHERrOtDHXOij0J99Ip3VWyNcjBOWElfcpQZFBn2t09IgASgeW+cZfz0+dzpZDiyfdw==" saltValue="PVmpbrOixIlsPN97L45jsw==" spinCount="100000" sheet="1" objects="1" scenarios="1"/>
  <mergeCells count="30">
    <mergeCell ref="F26:H26"/>
    <mergeCell ref="F30:I30"/>
    <mergeCell ref="F29:I29"/>
    <mergeCell ref="F28:I28"/>
    <mergeCell ref="F51:I51"/>
    <mergeCell ref="F48:H48"/>
    <mergeCell ref="F49:H49"/>
    <mergeCell ref="F50:H50"/>
    <mergeCell ref="C3:E3"/>
    <mergeCell ref="F3:K3"/>
    <mergeCell ref="F20:I20"/>
    <mergeCell ref="F21:H21"/>
    <mergeCell ref="F25:I25"/>
    <mergeCell ref="F15:G15"/>
    <mergeCell ref="F23:H23"/>
    <mergeCell ref="F24:I24"/>
    <mergeCell ref="F22:H22"/>
    <mergeCell ref="C61:F62"/>
    <mergeCell ref="G61:G62"/>
    <mergeCell ref="E59:I59"/>
    <mergeCell ref="F27:G27"/>
    <mergeCell ref="E58:I58"/>
    <mergeCell ref="F47:I47"/>
    <mergeCell ref="F42:G42"/>
    <mergeCell ref="F52:I52"/>
    <mergeCell ref="F55:I55"/>
    <mergeCell ref="F56:I56"/>
    <mergeCell ref="F57:I57"/>
    <mergeCell ref="F53:H53"/>
    <mergeCell ref="F54:G54"/>
  </mergeCells>
  <dataValidations count="34">
    <dataValidation type="whole" allowBlank="1" showErrorMessage="1" errorTitle="IntOnBorwCap" error="IntOnBorwCap  Non negative, no decimal, upto 99,999,999,999,999" sqref="I26:I27 I53:I54">
      <formula1>0</formula1>
      <formula2>99999999999999</formula2>
    </dataValidation>
    <dataValidation type="whole" allowBlank="1" showErrorMessage="1" errorTitle="IncomeOfHP" error="IncomeOfHP  No decimal, upto 99,999,999,999,999 " sqref="K25 K59 K30 K52 K57">
      <formula1>-99999999999999</formula1>
      <formula2>99999999999999</formula2>
    </dataValidation>
    <dataValidation type="textLength" operator="equal" allowBlank="1" showErrorMessage="1" errorTitle="PinCode" error="PinCode  should be exactly 6 in Length " sqref="I15 I42">
      <formula1>6</formula1>
    </dataValidation>
    <dataValidation type="textLength" operator="equal" allowBlank="1" showErrorMessage="1" errorTitle="PANofTenant" error="PANofTenant  is invalid. First 5 alphabets, next 4 digits, then alphabet" sqref="H17:H19 H44:H46">
      <formula1>10</formula1>
    </dataValidation>
    <dataValidation type="whole" allowBlank="1" showErrorMessage="1" errorTitle="AnnualLetableValue" error="AnnualLetableValue  Non negative, no decimal, upto 99,999,999,999,999" sqref="K20 K47">
      <formula1>0</formula1>
      <formula2>99999999999999</formula2>
    </dataValidation>
    <dataValidation type="whole" allowBlank="1" showErrorMessage="1" errorTitle="RentNotRealized" error="RentNotRealized  Non negative, no decimal, upto 99,999,999,999,999" sqref="I21 I48">
      <formula1>0</formula1>
      <formula2>99999999999999</formula2>
    </dataValidation>
    <dataValidation type="whole" allowBlank="1" showErrorMessage="1" errorTitle="LocalTaxes" error="LocalTaxes  Non negative, no decimal, upto 99,999,999,999,999" sqref="I22 I49">
      <formula1>0</formula1>
      <formula2>99999999999999</formula2>
    </dataValidation>
    <dataValidation type="whole" allowBlank="1" showErrorMessage="1" error="value must be between -99,999,999,999,999 and 99,999,999,999,999" sqref="K24 K51">
      <formula1>-99999999999999</formula1>
      <formula2>99999999999999</formula2>
    </dataValidation>
    <dataValidation type="textLength" operator="lessThanOrEqual" allowBlank="1" showErrorMessage="1" errorTitle="AddrDetail" error="AddrDetail  should not exceed 75 characters " sqref="F15 F42">
      <formula1>75</formula1>
    </dataValidation>
    <dataValidation operator="lessThanOrEqual" allowBlank="1" showErrorMessage="1" errorTitle="CityOrTownOrDistrict" error="CityOrTownOrDistrict  should not exceed 75 characters " sqref="G7 G34"/>
    <dataValidation operator="equal" allowBlank="1" showErrorMessage="1" errorTitle="PinCode" error="PinCode  should be exactly 6 in Length " sqref="I7 I34"/>
    <dataValidation type="textLength" operator="lessThanOrEqual" allowBlank="1" showErrorMessage="1" errorTitle="Name of Co-owner" error="Name of Co-owner should not exceed 125 characters " sqref="G8:G14 G35:G41">
      <formula1>125</formula1>
    </dataValidation>
    <dataValidation type="textLength" operator="equal" allowBlank="1" showErrorMessage="1" errorTitle="PAN of Co-owner" error="PAN of Co-owner should be exactly 10 in Length " sqref="H8:H14 H35:H41">
      <formula1>10</formula1>
    </dataValidation>
    <dataValidation type="textLength" operator="lessThanOrEqual" allowBlank="1" showErrorMessage="1" errorTitle="AddrDetail" error="AddrDetail  should not exceed 200 characters " sqref="F32">
      <formula1>50</formula1>
    </dataValidation>
    <dataValidation type="textLength" operator="lessThanOrEqual" allowBlank="1" showErrorMessage="1" errorTitle="CityOrTownOrDistrict" error="CityOrTownOrDistrict  should not exceed 50 characters " sqref="G5 G32">
      <formula1>50</formula1>
    </dataValidation>
    <dataValidation type="list" allowBlank="1" showErrorMessage="1" errorTitle="StateCode" error="  Please select from list" sqref="H5 H32">
      <formula1>State</formula1>
    </dataValidation>
    <dataValidation type="list" allowBlank="1" showInputMessage="1" showErrorMessage="1" error="Please select valid option from the dropdown list" sqref="J6 J33">
      <formula1>PortugueseCode</formula1>
    </dataValidation>
    <dataValidation type="decimal" allowBlank="1" showErrorMessage="1" errorTitle="Percentage  Share in Property" error="Your percentage of share in the property should be between 0 to 100" sqref="L6">
      <formula1>0</formula1>
      <formula2>100</formula2>
    </dataValidation>
    <dataValidation type="list" allowBlank="1" showErrorMessage="1" errorTitle="StateCode" error="  Please select from list" sqref="H15 H42">
      <formula1>"(Select),Self Occupied, Let Out, Deemed Let Out"</formula1>
    </dataValidation>
    <dataValidation type="textLength" operator="lessThanOrEqual" allowBlank="1" showErrorMessage="1" errorTitle="NameofTenant" error="NameofTenant  should not exceed 125 characters " sqref="G17:G19 G44:G46">
      <formula1>125</formula1>
    </dataValidation>
    <dataValidation type="textLength" operator="lessThanOrEqual" allowBlank="1" showErrorMessage="1" errorTitle="ZipCode" error="Minimum 1 and up to 8 Characters" sqref="K5 K32">
      <formula1>8</formula1>
    </dataValidation>
    <dataValidation type="list" allowBlank="1" showErrorMessage="1" errorTitle="Country" error="  Please select from list" sqref="I5 I32">
      <formula1>Country</formula1>
    </dataValidation>
    <dataValidation type="whole" allowBlank="1" showErrorMessage="1" errorTitle="PinCode" error="PinCode  should be exactly 6 in Length and should not start with zero." sqref="J5 J32">
      <formula1>100000</formula1>
      <formula2>999999</formula2>
    </dataValidation>
    <dataValidation type="whole" allowBlank="1" showErrorMessage="1" errorTitle="Aadhar Of Cowne" error="Aadhar Of Cowner should be equal to 12 digits" sqref="I8:I14 I35:I41">
      <formula1>100000000000</formula1>
      <formula2>999999999999</formula2>
    </dataValidation>
    <dataValidation type="whole" allowBlank="1" showInputMessage="1" showErrorMessage="1" errorTitle="Unrealised rent and arrears   " error="Unrealised rent and arrears   Non negative, no decimal, upto 99,999,999,999,999" sqref="K29 K56">
      <formula1>0</formula1>
      <formula2>99999999999999</formula2>
    </dataValidation>
    <dataValidation allowBlank="1" showErrorMessage="1" errorTitle="StateCode" error="  Please select from list" sqref="H7 K6 H34 K33"/>
    <dataValidation operator="lessThanOrEqual" allowBlank="1" showErrorMessage="1" errorTitle="AddrDetail" error="AddrDetail  should not exceed 75 characters " sqref="F7:F14 I6 F34:F41 I33"/>
    <dataValidation type="list" allowBlank="1" showInputMessage="1" showErrorMessage="1" errorTitle="Owner of the Property" error="Please select valid option from the dropdown list" sqref="G6 G33">
      <formula1>HP.OwnerPropertyDropdown</formula1>
    </dataValidation>
    <dataValidation type="textLength" operator="lessThanOrEqual" allowBlank="1" showInputMessage="1" showErrorMessage="1" error="Description cannot be more than 50 characters" sqref="H6 H33">
      <formula1>50</formula1>
    </dataValidation>
    <dataValidation type="decimal" allowBlank="1" showInputMessage="1" showErrorMessage="1" errorTitle="Percentage  Share in Property" error="Your percentage of share in the property should be between 0 to 100" sqref="K7 K34">
      <formula1>0</formula1>
      <formula2>100</formula2>
    </dataValidation>
    <dataValidation type="whole" allowBlank="1" showErrorMessage="1" errorTitle="ArrearsRentReceivedDuringYear" error="Arrears of Rent Received During the Year should be , no decimal, upto 99,999,999,999,999" sqref="K58">
      <formula1>-99999999999999</formula1>
      <formula2>99999999999999</formula2>
    </dataValidation>
    <dataValidation type="textLength" operator="equal" allowBlank="1" showInputMessage="1" showErrorMessage="1" errorTitle="Aadhar Of Tenant" error="Aadhar Of Tenant should be equal to 12 digits" sqref="I17:I19 I44:I46">
      <formula1>12</formula1>
    </dataValidation>
    <dataValidation type="decimal" allowBlank="1" showInputMessage="1" showErrorMessage="1" errorTitle="Percentage  Share in Property" error="Percentage  Share in Property should be between 0 to 100" sqref="J8:J14 J35:J41">
      <formula1>0</formula1>
      <formula2>100</formula2>
    </dataValidation>
    <dataValidation type="textLength" operator="lessThanOrEqual" allowBlank="1" showErrorMessage="1" errorTitle="AddrDetail" error="AddrDetail  should not exceed 50 characters " sqref="F5">
      <formula1>50</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325" r:id="rId5" name="Button 13">
              <controlPr defaultSize="0" print="0" autoFill="0" autoPict="0" macro="[0]!ValidateSheetHPClick">
                <anchor>
                  <from>
                    <xdr:col>12</xdr:col>
                    <xdr:colOff>133350</xdr:colOff>
                    <xdr:row>3</xdr:row>
                    <xdr:rowOff>209550</xdr:rowOff>
                  </from>
                  <to>
                    <xdr:col>12</xdr:col>
                    <xdr:colOff>1504950</xdr:colOff>
                    <xdr:row>3</xdr:row>
                    <xdr:rowOff>476250</xdr:rowOff>
                  </to>
                </anchor>
              </controlPr>
            </control>
          </mc:Choice>
        </mc:AlternateContent>
        <mc:AlternateContent xmlns:mc="http://schemas.openxmlformats.org/markup-compatibility/2006">
          <mc:Choice Requires="x14">
            <control shapeId="13326" r:id="rId6" name="Button 14">
              <controlPr defaultSize="0" print="0" autoFill="0" autoPict="0" macro="[0]!AddBlockCall_hprptfrm">
                <anchor moveWithCells="1">
                  <from>
                    <xdr:col>2</xdr:col>
                    <xdr:colOff>0</xdr:colOff>
                    <xdr:row>60</xdr:row>
                    <xdr:rowOff>0</xdr:rowOff>
                  </from>
                  <to>
                    <xdr:col>5</xdr:col>
                    <xdr:colOff>819150</xdr:colOff>
                    <xdr:row>61</xdr:row>
                    <xdr:rowOff>133350</xdr:rowOff>
                  </to>
                </anchor>
              </controlPr>
            </control>
          </mc:Choice>
        </mc:AlternateContent>
        <mc:AlternateContent xmlns:mc="http://schemas.openxmlformats.org/markup-compatibility/2006">
          <mc:Choice Requires="x14">
            <control shapeId="13329" r:id="rId7" name="Button 17">
              <controlPr defaultSize="0" print="0" autoFill="0" autoPict="0" macro="[0]!Cmd_AddCo_Owners_Click">
                <anchor moveWithCells="1">
                  <from>
                    <xdr:col>6</xdr:col>
                    <xdr:colOff>0</xdr:colOff>
                    <xdr:row>60</xdr:row>
                    <xdr:rowOff>0</xdr:rowOff>
                  </from>
                  <to>
                    <xdr:col>6</xdr:col>
                    <xdr:colOff>1371600</xdr:colOff>
                    <xdr:row>61</xdr:row>
                    <xdr:rowOff>133350</xdr:rowOff>
                  </to>
                </anchor>
              </controlPr>
            </control>
          </mc:Choice>
        </mc:AlternateContent>
        <mc:AlternateContent xmlns:mc="http://schemas.openxmlformats.org/markup-compatibility/2006">
          <mc:Choice Requires="x14">
            <control shapeId="13344" r:id="rId8" name="Button 32">
              <controlPr defaultSize="0" print="0" autoFill="0" autoPict="0" macro="[0]!Prev_Sheet">
                <anchor>
                  <from>
                    <xdr:col>12</xdr:col>
                    <xdr:colOff>133350</xdr:colOff>
                    <xdr:row>5</xdr:row>
                    <xdr:rowOff>171450</xdr:rowOff>
                  </from>
                  <to>
                    <xdr:col>12</xdr:col>
                    <xdr:colOff>1504950</xdr:colOff>
                    <xdr:row>5</xdr:row>
                    <xdr:rowOff>419100</xdr:rowOff>
                  </to>
                </anchor>
              </controlPr>
            </control>
          </mc:Choice>
        </mc:AlternateContent>
        <mc:AlternateContent xmlns:mc="http://schemas.openxmlformats.org/markup-compatibility/2006">
          <mc:Choice Requires="x14">
            <control shapeId="13345" r:id="rId9" name="Button 33">
              <controlPr defaultSize="0" print="0" autoFill="0" autoPict="0" macro="[0]!Img_Home_Click">
                <anchor>
                  <from>
                    <xdr:col>12</xdr:col>
                    <xdr:colOff>133350</xdr:colOff>
                    <xdr:row>2</xdr:row>
                    <xdr:rowOff>66675</xdr:rowOff>
                  </from>
                  <to>
                    <xdr:col>12</xdr:col>
                    <xdr:colOff>1504950</xdr:colOff>
                    <xdr:row>3</xdr:row>
                    <xdr:rowOff>180975</xdr:rowOff>
                  </to>
                </anchor>
              </controlPr>
            </control>
          </mc:Choice>
        </mc:AlternateContent>
        <mc:AlternateContent xmlns:mc="http://schemas.openxmlformats.org/markup-compatibility/2006">
          <mc:Choice Requires="x14">
            <control shapeId="13347" r:id="rId10" name="Button 35">
              <controlPr defaultSize="0" print="0" autoFill="0" autoPict="0" macro="[0]!Next_Sheet">
                <anchor>
                  <from>
                    <xdr:col>12</xdr:col>
                    <xdr:colOff>133350</xdr:colOff>
                    <xdr:row>4</xdr:row>
                    <xdr:rowOff>19050</xdr:rowOff>
                  </from>
                  <to>
                    <xdr:col>12</xdr:col>
                    <xdr:colOff>1504950</xdr:colOff>
                    <xdr:row>5</xdr:row>
                    <xdr:rowOff>133350</xdr:rowOff>
                  </to>
                </anchor>
              </controlPr>
            </control>
          </mc:Choice>
        </mc:AlternateContent>
        <mc:AlternateContent xmlns:mc="http://schemas.openxmlformats.org/markup-compatibility/2006">
          <mc:Choice Requires="x14">
            <control shapeId="13348" r:id="rId11" name="Button 36">
              <controlPr defaultSize="0" print="0" autoFill="0" autoPict="0" macro="[0]!Instruction_Sheet">
                <anchor>
                  <from>
                    <xdr:col>12</xdr:col>
                    <xdr:colOff>133350</xdr:colOff>
                    <xdr:row>7</xdr:row>
                    <xdr:rowOff>95250</xdr:rowOff>
                  </from>
                  <to>
                    <xdr:col>12</xdr:col>
                    <xdr:colOff>1504950</xdr:colOff>
                    <xdr:row>9</xdr:row>
                    <xdr:rowOff>28575</xdr:rowOff>
                  </to>
                </anchor>
              </controlPr>
            </control>
          </mc:Choice>
        </mc:AlternateContent>
        <mc:AlternateContent xmlns:mc="http://schemas.openxmlformats.org/markup-compatibility/2006">
          <mc:Choice Requires="x14">
            <control shapeId="13349" r:id="rId12" name="Button 37">
              <controlPr defaultSize="0" print="0" autoFill="0" autoPict="0" macro="[0]!WorksheetsPrint">
                <anchor>
                  <from>
                    <xdr:col>12</xdr:col>
                    <xdr:colOff>133350</xdr:colOff>
                    <xdr:row>6</xdr:row>
                    <xdr:rowOff>257175</xdr:rowOff>
                  </from>
                  <to>
                    <xdr:col>12</xdr:col>
                    <xdr:colOff>1504950</xdr:colOff>
                    <xdr:row>7</xdr:row>
                    <xdr:rowOff>57150</xdr:rowOff>
                  </to>
                </anchor>
              </controlPr>
            </control>
          </mc:Choice>
        </mc:AlternateContent>
        <mc:AlternateContent xmlns:mc="http://schemas.openxmlformats.org/markup-compatibility/2006">
          <mc:Choice Requires="x14">
            <control shapeId="13350" r:id="rId13" name="Button 38">
              <controlPr defaultSize="0" print="0" autoFill="0" autoPict="0" macro="[0]!GenerateJSON.GenerateJSON">
                <anchor>
                  <from>
                    <xdr:col>12</xdr:col>
                    <xdr:colOff>133350</xdr:colOff>
                    <xdr:row>5</xdr:row>
                    <xdr:rowOff>447675</xdr:rowOff>
                  </from>
                  <to>
                    <xdr:col>12</xdr:col>
                    <xdr:colOff>1504950</xdr:colOff>
                    <xdr:row>6</xdr:row>
                    <xdr:rowOff>228600</xdr:rowOff>
                  </to>
                </anchor>
              </controlPr>
            </control>
          </mc:Choice>
        </mc:AlternateContent>
        <mc:AlternateContent xmlns:mc="http://schemas.openxmlformats.org/markup-compatibility/2006">
          <mc:Choice Requires="x14">
            <control shapeId="13387" r:id="rId14" name="Button 75">
              <controlPr defaultSize="0" print="0" autoFill="0" autoPict="0" macro="[0]!AddPropertyTenant">
                <anchor moveWithCells="1">
                  <from>
                    <xdr:col>7</xdr:col>
                    <xdr:colOff>19050</xdr:colOff>
                    <xdr:row>60</xdr:row>
                    <xdr:rowOff>0</xdr:rowOff>
                  </from>
                  <to>
                    <xdr:col>7</xdr:col>
                    <xdr:colOff>552450</xdr:colOff>
                    <xdr:row>61</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FC1001"/>
  <sheetViews>
    <sheetView showGridLines="0" showRowColHeaders="0" zoomScaleNormal="100" zoomScaleSheetLayoutView="85" workbookViewId="0">
      <selection activeCell="K5" sqref="K5"/>
    </sheetView>
  </sheetViews>
  <sheetFormatPr defaultColWidth="0" defaultRowHeight="0" customHeight="1" zeroHeight="1" x14ac:dyDescent="0.2"/>
  <cols>
    <col min="1" max="1" width="2.7109375" style="463" customWidth="1"/>
    <col min="2" max="3" width="3.42578125" style="463" customWidth="1"/>
    <col min="4" max="4" width="4.85546875" style="463" customWidth="1"/>
    <col min="5" max="5" width="4.7109375" style="463" customWidth="1"/>
    <col min="6" max="6" width="5.85546875" style="463" customWidth="1"/>
    <col min="7" max="7" width="44" style="463" customWidth="1"/>
    <col min="8" max="8" width="5" style="463" customWidth="1"/>
    <col min="9" max="9" width="21" style="463" customWidth="1"/>
    <col min="10" max="10" width="5.42578125" style="464" customWidth="1"/>
    <col min="11" max="11" width="18.5703125" style="463" customWidth="1"/>
    <col min="12" max="12" width="4.28515625" style="463" customWidth="1"/>
    <col min="13" max="13" width="26.42578125" style="463" customWidth="1"/>
    <col min="14" max="255" width="6.42578125" style="463" hidden="1"/>
    <col min="256" max="16383" width="6" style="463" hidden="1"/>
    <col min="16384" max="16384" width="3.85546875" style="463" hidden="1"/>
  </cols>
  <sheetData>
    <row r="1" spans="2:15" s="1572" customFormat="1" ht="13.5" customHeight="1" thickBot="1" x14ac:dyDescent="0.25">
      <c r="J1" s="1573"/>
    </row>
    <row r="2" spans="2:15" s="1572" customFormat="1" ht="13.5" customHeight="1" x14ac:dyDescent="0.2">
      <c r="B2" s="1574"/>
      <c r="C2" s="1575"/>
      <c r="D2" s="1575"/>
      <c r="E2" s="1575"/>
      <c r="F2" s="1575"/>
      <c r="G2" s="1575"/>
      <c r="H2" s="1575"/>
      <c r="I2" s="1575"/>
      <c r="J2" s="1576"/>
      <c r="K2" s="1575"/>
      <c r="L2" s="1577"/>
    </row>
    <row r="3" spans="2:15" s="113" customFormat="1" ht="12.75" customHeight="1" x14ac:dyDescent="0.2">
      <c r="B3" s="1121"/>
      <c r="C3" s="3345" t="s">
        <v>762</v>
      </c>
      <c r="D3" s="3345"/>
      <c r="E3" s="3346"/>
      <c r="F3" s="3343" t="s">
        <v>763</v>
      </c>
      <c r="G3" s="3343"/>
      <c r="H3" s="3343"/>
      <c r="I3" s="3343"/>
      <c r="J3" s="3344"/>
      <c r="K3" s="3344"/>
      <c r="L3" s="1136"/>
    </row>
    <row r="4" spans="2:15" s="113" customFormat="1" ht="22.5" customHeight="1" x14ac:dyDescent="0.2">
      <c r="B4" s="1121"/>
      <c r="C4" s="3347" t="s">
        <v>764</v>
      </c>
      <c r="D4" s="437" t="s">
        <v>309</v>
      </c>
      <c r="E4" s="2995" t="s">
        <v>765</v>
      </c>
      <c r="F4" s="2999"/>
      <c r="G4" s="2999"/>
      <c r="H4" s="2999"/>
      <c r="I4" s="2993"/>
      <c r="J4" s="261"/>
      <c r="K4" s="438"/>
      <c r="L4" s="1136"/>
    </row>
    <row r="5" spans="2:15" s="113" customFormat="1" ht="26.25" customHeight="1" x14ac:dyDescent="0.2">
      <c r="B5" s="1121"/>
      <c r="C5" s="3348"/>
      <c r="D5" s="439"/>
      <c r="E5" s="456">
        <v>1</v>
      </c>
      <c r="F5" s="2993" t="s">
        <v>11961</v>
      </c>
      <c r="G5" s="2994"/>
      <c r="H5" s="2994"/>
      <c r="I5" s="2995"/>
      <c r="J5" s="273">
        <v>1</v>
      </c>
      <c r="K5" s="1374">
        <f>PL.PBT+PL_61ii+PL_63ii+PL_64iii+PL_65iv+IF(PL_62ii&lt;&gt;0,PL_62ii,0)</f>
        <v>0</v>
      </c>
      <c r="L5" s="1136"/>
    </row>
    <row r="6" spans="2:15" s="113" customFormat="1" ht="28.5" customHeight="1" x14ac:dyDescent="0.2">
      <c r="B6" s="1121"/>
      <c r="C6" s="3348"/>
      <c r="D6" s="439"/>
      <c r="E6" s="456" t="s">
        <v>697</v>
      </c>
      <c r="F6" s="2999" t="s">
        <v>9412</v>
      </c>
      <c r="G6" s="2999"/>
      <c r="H6" s="158" t="s">
        <v>697</v>
      </c>
      <c r="I6" s="1644">
        <f>PL_65iv</f>
        <v>0</v>
      </c>
      <c r="J6" s="440"/>
      <c r="K6" s="441"/>
      <c r="L6" s="1136"/>
      <c r="N6" s="113" t="s">
        <v>1896</v>
      </c>
      <c r="O6" s="113">
        <f>PL.PBT+PL_61ii+PL_63ii+PL_64iii+PL_65iv+IF(PL_62ii&lt;&gt;0,PL_62ii,0)</f>
        <v>0</v>
      </c>
    </row>
    <row r="7" spans="2:15" s="113" customFormat="1" ht="34.5" customHeight="1" x14ac:dyDescent="0.2">
      <c r="B7" s="1121"/>
      <c r="C7" s="3348"/>
      <c r="D7" s="439"/>
      <c r="E7" s="456" t="s">
        <v>699</v>
      </c>
      <c r="F7" s="2993" t="s">
        <v>766</v>
      </c>
      <c r="G7" s="2995"/>
      <c r="H7" s="158" t="s">
        <v>699</v>
      </c>
      <c r="I7" s="1372"/>
      <c r="J7" s="442"/>
      <c r="K7" s="443"/>
      <c r="L7" s="1136"/>
    </row>
    <row r="8" spans="2:15" s="113" customFormat="1" ht="24.75" customHeight="1" x14ac:dyDescent="0.2">
      <c r="B8" s="1121"/>
      <c r="C8" s="3348"/>
      <c r="D8" s="439"/>
      <c r="E8" s="1304">
        <v>3</v>
      </c>
      <c r="F8" s="2993" t="s">
        <v>13100</v>
      </c>
      <c r="G8" s="2994"/>
      <c r="H8" s="2994"/>
      <c r="I8" s="2995"/>
      <c r="J8" s="442"/>
      <c r="K8" s="443"/>
      <c r="L8" s="1136"/>
    </row>
    <row r="9" spans="2:15" s="113" customFormat="1" ht="14.25" customHeight="1" x14ac:dyDescent="0.2">
      <c r="B9" s="1121"/>
      <c r="C9" s="3348"/>
      <c r="D9" s="444"/>
      <c r="E9" s="150"/>
      <c r="F9" s="456" t="s">
        <v>27</v>
      </c>
      <c r="G9" s="732" t="s">
        <v>1063</v>
      </c>
      <c r="H9" s="28" t="s">
        <v>768</v>
      </c>
      <c r="I9" s="391"/>
      <c r="J9" s="442"/>
      <c r="K9" s="443"/>
      <c r="L9" s="1136"/>
    </row>
    <row r="10" spans="2:15" s="113" customFormat="1" ht="14.25" customHeight="1" x14ac:dyDescent="0.2">
      <c r="B10" s="1121"/>
      <c r="C10" s="3348"/>
      <c r="D10" s="444"/>
      <c r="E10" s="153"/>
      <c r="F10" s="456" t="s">
        <v>28</v>
      </c>
      <c r="G10" s="732" t="s">
        <v>1287</v>
      </c>
      <c r="H10" s="28" t="s">
        <v>769</v>
      </c>
      <c r="I10" s="391"/>
      <c r="J10" s="442"/>
      <c r="K10" s="443"/>
      <c r="L10" s="1136"/>
    </row>
    <row r="11" spans="2:15" s="113" customFormat="1" ht="12.75" customHeight="1" x14ac:dyDescent="0.2">
      <c r="B11" s="1121"/>
      <c r="C11" s="3348"/>
      <c r="D11" s="444"/>
      <c r="E11" s="153"/>
      <c r="F11" s="456" t="s">
        <v>29</v>
      </c>
      <c r="G11" s="732" t="s">
        <v>770</v>
      </c>
      <c r="H11" s="28" t="s">
        <v>378</v>
      </c>
      <c r="I11" s="391"/>
      <c r="J11" s="442"/>
      <c r="K11" s="443"/>
      <c r="L11" s="1136"/>
    </row>
    <row r="12" spans="2:15" s="113" customFormat="1" ht="12" customHeight="1" x14ac:dyDescent="0.2">
      <c r="B12" s="1121"/>
      <c r="C12" s="3348"/>
      <c r="D12" s="444"/>
      <c r="E12" s="153"/>
      <c r="F12" s="456" t="s">
        <v>36</v>
      </c>
      <c r="G12" s="732" t="s">
        <v>771</v>
      </c>
      <c r="H12" s="28" t="s">
        <v>772</v>
      </c>
      <c r="I12" s="1374">
        <f>sheet10.IncRecCredPLOthHeads4Div+sheet10.IncRecCredPLOthHeads4OthDiv</f>
        <v>0</v>
      </c>
      <c r="J12" s="442"/>
      <c r="K12" s="443"/>
      <c r="L12" s="1136"/>
    </row>
    <row r="13" spans="2:15" s="113" customFormat="1" ht="12" customHeight="1" x14ac:dyDescent="0.2">
      <c r="B13" s="1121"/>
      <c r="C13" s="3348"/>
      <c r="D13" s="444"/>
      <c r="E13" s="2173"/>
      <c r="F13" s="2176" t="s">
        <v>287</v>
      </c>
      <c r="G13" s="2172" t="s">
        <v>12772</v>
      </c>
      <c r="H13" s="2175" t="s">
        <v>12780</v>
      </c>
      <c r="I13" s="2174"/>
      <c r="J13" s="2177"/>
      <c r="K13" s="443"/>
      <c r="L13" s="1136"/>
    </row>
    <row r="14" spans="2:15" s="113" customFormat="1" ht="12" customHeight="1" x14ac:dyDescent="0.2">
      <c r="B14" s="1121"/>
      <c r="C14" s="3348"/>
      <c r="D14" s="444"/>
      <c r="E14" s="2173"/>
      <c r="F14" s="2176" t="s">
        <v>290</v>
      </c>
      <c r="G14" s="2172" t="s">
        <v>12779</v>
      </c>
      <c r="H14" s="2175" t="s">
        <v>12781</v>
      </c>
      <c r="I14" s="2174"/>
      <c r="J14" s="2177"/>
      <c r="K14" s="443"/>
      <c r="L14" s="1136"/>
    </row>
    <row r="15" spans="2:15" s="113" customFormat="1" ht="12" customHeight="1" x14ac:dyDescent="0.2">
      <c r="B15" s="1121"/>
      <c r="C15" s="3348"/>
      <c r="D15" s="444"/>
      <c r="E15" s="164"/>
      <c r="F15" s="456" t="s">
        <v>38</v>
      </c>
      <c r="G15" s="732" t="s">
        <v>7694</v>
      </c>
      <c r="H15" s="28" t="s">
        <v>392</v>
      </c>
      <c r="I15" s="2633"/>
      <c r="J15" s="442"/>
      <c r="K15" s="443"/>
      <c r="L15" s="1136"/>
    </row>
    <row r="16" spans="2:15" s="113" customFormat="1" ht="12" customHeight="1" x14ac:dyDescent="0.2">
      <c r="B16" s="1121"/>
      <c r="C16" s="3348"/>
      <c r="D16" s="444"/>
      <c r="E16" s="114"/>
      <c r="F16" s="456" t="s">
        <v>40</v>
      </c>
      <c r="G16" s="732" t="s">
        <v>8171</v>
      </c>
      <c r="H16" s="28" t="s">
        <v>8172</v>
      </c>
      <c r="I16" s="391"/>
      <c r="J16" s="442"/>
      <c r="K16" s="443"/>
      <c r="L16" s="1136"/>
    </row>
    <row r="17" spans="2:12" s="113" customFormat="1" ht="45" customHeight="1" x14ac:dyDescent="0.2">
      <c r="B17" s="1121"/>
      <c r="C17" s="3348"/>
      <c r="D17" s="439"/>
      <c r="E17" s="1382" t="s">
        <v>395</v>
      </c>
      <c r="F17" s="3001" t="s">
        <v>9708</v>
      </c>
      <c r="G17" s="3001"/>
      <c r="H17" s="162">
        <v>4</v>
      </c>
      <c r="I17" s="1450">
        <f>SUM(BP_4_44AD,BP_4_44ADA,BP_4_44AE,BP_4_44B,BP_4_44BB,BP_4_44BBA,BP_4_44DA)</f>
        <v>0</v>
      </c>
      <c r="J17" s="442"/>
      <c r="K17" s="443"/>
      <c r="L17" s="1136"/>
    </row>
    <row r="18" spans="2:12" s="113" customFormat="1" ht="12.75" customHeight="1" x14ac:dyDescent="0.2">
      <c r="B18" s="1121"/>
      <c r="C18" s="3348"/>
      <c r="D18" s="439"/>
      <c r="E18" s="457"/>
      <c r="F18" s="28" t="s">
        <v>1201</v>
      </c>
      <c r="G18" s="28" t="s">
        <v>1033</v>
      </c>
      <c r="H18" s="162"/>
      <c r="I18" s="158" t="s">
        <v>415</v>
      </c>
      <c r="J18" s="442"/>
      <c r="K18" s="443"/>
      <c r="L18" s="1136"/>
    </row>
    <row r="19" spans="2:12" s="113" customFormat="1" ht="12.75" customHeight="1" x14ac:dyDescent="0.2">
      <c r="B19" s="1121"/>
      <c r="C19" s="3348"/>
      <c r="D19" s="439"/>
      <c r="E19" s="457"/>
      <c r="F19" s="456" t="s">
        <v>27</v>
      </c>
      <c r="G19" s="732" t="s">
        <v>9387</v>
      </c>
      <c r="H19" s="28" t="s">
        <v>395</v>
      </c>
      <c r="I19" s="1450">
        <f>sheet11.Section44AD</f>
        <v>0</v>
      </c>
      <c r="J19" s="442"/>
      <c r="K19" s="443"/>
      <c r="L19" s="1136"/>
    </row>
    <row r="20" spans="2:12" s="113" customFormat="1" ht="12.75" customHeight="1" x14ac:dyDescent="0.2">
      <c r="B20" s="1121"/>
      <c r="C20" s="3348"/>
      <c r="D20" s="439"/>
      <c r="E20" s="457"/>
      <c r="F20" s="456" t="s">
        <v>28</v>
      </c>
      <c r="G20" s="732" t="s">
        <v>9388</v>
      </c>
      <c r="H20" s="28" t="s">
        <v>397</v>
      </c>
      <c r="I20" s="1450">
        <f>sheet11.Section44ADA</f>
        <v>0</v>
      </c>
      <c r="J20" s="442"/>
      <c r="K20" s="443"/>
      <c r="L20" s="1136"/>
    </row>
    <row r="21" spans="2:12" s="113" customFormat="1" ht="12.75" customHeight="1" x14ac:dyDescent="0.2">
      <c r="B21" s="1121"/>
      <c r="C21" s="3348"/>
      <c r="D21" s="439"/>
      <c r="E21" s="457"/>
      <c r="F21" s="456" t="s">
        <v>29</v>
      </c>
      <c r="G21" s="732" t="s">
        <v>9413</v>
      </c>
      <c r="H21" s="28" t="s">
        <v>399</v>
      </c>
      <c r="I21" s="1450">
        <f>sheet11.Section44AE</f>
        <v>0</v>
      </c>
      <c r="J21" s="442"/>
      <c r="K21" s="443"/>
      <c r="L21" s="1136"/>
    </row>
    <row r="22" spans="2:12" s="113" customFormat="1" ht="12.75" customHeight="1" x14ac:dyDescent="0.2">
      <c r="B22" s="1121"/>
      <c r="C22" s="3348"/>
      <c r="D22" s="439"/>
      <c r="E22" s="457"/>
      <c r="F22" s="456" t="s">
        <v>36</v>
      </c>
      <c r="G22" s="732" t="s">
        <v>9414</v>
      </c>
      <c r="H22" s="28" t="s">
        <v>401</v>
      </c>
      <c r="I22" s="1450">
        <f>sheet11.Section44B</f>
        <v>0</v>
      </c>
      <c r="J22" s="442"/>
      <c r="K22" s="443"/>
      <c r="L22" s="1136"/>
    </row>
    <row r="23" spans="2:12" s="113" customFormat="1" ht="12.75" customHeight="1" x14ac:dyDescent="0.2">
      <c r="B23" s="1121"/>
      <c r="C23" s="3348"/>
      <c r="D23" s="439"/>
      <c r="E23" s="457"/>
      <c r="F23" s="456" t="s">
        <v>38</v>
      </c>
      <c r="G23" s="732" t="s">
        <v>9415</v>
      </c>
      <c r="H23" s="28" t="s">
        <v>8263</v>
      </c>
      <c r="I23" s="1450">
        <f>Sheet11.Section44BB</f>
        <v>0</v>
      </c>
      <c r="J23" s="442"/>
      <c r="K23" s="443"/>
      <c r="L23" s="1136"/>
    </row>
    <row r="24" spans="2:12" s="113" customFormat="1" ht="12.75" customHeight="1" x14ac:dyDescent="0.2">
      <c r="B24" s="1121"/>
      <c r="C24" s="3348"/>
      <c r="D24" s="439"/>
      <c r="E24" s="457"/>
      <c r="F24" s="456" t="s">
        <v>40</v>
      </c>
      <c r="G24" s="732" t="s">
        <v>9416</v>
      </c>
      <c r="H24" s="28" t="s">
        <v>9417</v>
      </c>
      <c r="I24" s="1450">
        <f>sheet11.Section44BBA</f>
        <v>0</v>
      </c>
      <c r="J24" s="442"/>
      <c r="K24" s="443"/>
      <c r="L24" s="1136"/>
    </row>
    <row r="25" spans="2:12" s="113" customFormat="1" ht="12.75" customHeight="1" x14ac:dyDescent="0.2">
      <c r="B25" s="1121"/>
      <c r="C25" s="3348"/>
      <c r="D25" s="439"/>
      <c r="E25" s="457"/>
      <c r="F25" s="456" t="s">
        <v>539</v>
      </c>
      <c r="G25" s="732" t="s">
        <v>268</v>
      </c>
      <c r="H25" s="28" t="s">
        <v>9418</v>
      </c>
      <c r="I25" s="1450">
        <f>sheet12.Section44DA</f>
        <v>0</v>
      </c>
      <c r="J25" s="442"/>
      <c r="K25" s="443"/>
      <c r="L25" s="1136"/>
    </row>
    <row r="26" spans="2:12" s="113" customFormat="1" ht="25.5" customHeight="1" x14ac:dyDescent="0.2">
      <c r="B26" s="1121"/>
      <c r="C26" s="3348"/>
      <c r="D26" s="439"/>
      <c r="E26" s="254" t="s">
        <v>397</v>
      </c>
      <c r="F26" s="2993" t="s">
        <v>9685</v>
      </c>
      <c r="G26" s="2995"/>
      <c r="H26" s="162"/>
      <c r="I26" s="1450">
        <f>SUM(BP_4b_ProfitRule7,BP_4b_ProfitRule7A,BP_4b_ProfitRule7B1,BP_4b_ProfitRule7B2,BP_4b_ProfitRule8)</f>
        <v>0</v>
      </c>
      <c r="J26" s="442"/>
      <c r="K26" s="443"/>
      <c r="L26" s="1136"/>
    </row>
    <row r="27" spans="2:12" s="113" customFormat="1" ht="12.75" customHeight="1" x14ac:dyDescent="0.2">
      <c r="B27" s="1121"/>
      <c r="C27" s="3348"/>
      <c r="D27" s="439"/>
      <c r="E27" s="457"/>
      <c r="F27" s="28" t="s">
        <v>1201</v>
      </c>
      <c r="G27" s="28" t="s">
        <v>1033</v>
      </c>
      <c r="H27" s="162"/>
      <c r="I27" s="158" t="s">
        <v>415</v>
      </c>
      <c r="J27" s="442"/>
      <c r="K27" s="443"/>
      <c r="L27" s="1136"/>
    </row>
    <row r="28" spans="2:12" s="113" customFormat="1" ht="12.75" customHeight="1" x14ac:dyDescent="0.2">
      <c r="B28" s="1121"/>
      <c r="C28" s="3348"/>
      <c r="D28" s="439"/>
      <c r="E28" s="457"/>
      <c r="F28" s="456" t="s">
        <v>27</v>
      </c>
      <c r="G28" s="732" t="s">
        <v>9686</v>
      </c>
      <c r="H28" s="28" t="s">
        <v>9421</v>
      </c>
      <c r="I28" s="1372"/>
      <c r="J28" s="442"/>
      <c r="K28" s="443"/>
      <c r="L28" s="1136"/>
    </row>
    <row r="29" spans="2:12" s="113" customFormat="1" ht="12.75" customHeight="1" x14ac:dyDescent="0.2">
      <c r="B29" s="1121"/>
      <c r="C29" s="3348"/>
      <c r="D29" s="439"/>
      <c r="E29" s="457"/>
      <c r="F29" s="456" t="s">
        <v>28</v>
      </c>
      <c r="G29" s="732" t="s">
        <v>9687</v>
      </c>
      <c r="H29" s="28" t="s">
        <v>9422</v>
      </c>
      <c r="I29" s="2130"/>
      <c r="J29" s="442"/>
      <c r="K29" s="443"/>
      <c r="L29" s="1136"/>
    </row>
    <row r="30" spans="2:12" s="113" customFormat="1" ht="12.75" customHeight="1" x14ac:dyDescent="0.2">
      <c r="B30" s="1121"/>
      <c r="C30" s="3348"/>
      <c r="D30" s="439"/>
      <c r="E30" s="457"/>
      <c r="F30" s="456" t="s">
        <v>29</v>
      </c>
      <c r="G30" s="732" t="s">
        <v>9688</v>
      </c>
      <c r="H30" s="28" t="s">
        <v>9423</v>
      </c>
      <c r="I30" s="2130"/>
      <c r="J30" s="442"/>
      <c r="K30" s="443"/>
      <c r="L30" s="1136"/>
    </row>
    <row r="31" spans="2:12" s="113" customFormat="1" ht="12.75" customHeight="1" x14ac:dyDescent="0.2">
      <c r="B31" s="1121"/>
      <c r="C31" s="3348"/>
      <c r="D31" s="439"/>
      <c r="E31" s="457"/>
      <c r="F31" s="456" t="s">
        <v>36</v>
      </c>
      <c r="G31" s="732" t="s">
        <v>9689</v>
      </c>
      <c r="H31" s="28" t="s">
        <v>9424</v>
      </c>
      <c r="I31" s="2130"/>
      <c r="J31" s="442"/>
      <c r="K31" s="443"/>
      <c r="L31" s="1136"/>
    </row>
    <row r="32" spans="2:12" s="113" customFormat="1" ht="12.75" customHeight="1" x14ac:dyDescent="0.2">
      <c r="B32" s="1121"/>
      <c r="C32" s="3348"/>
      <c r="D32" s="439"/>
      <c r="E32" s="457"/>
      <c r="F32" s="456" t="s">
        <v>38</v>
      </c>
      <c r="G32" s="732" t="s">
        <v>9690</v>
      </c>
      <c r="H32" s="28" t="s">
        <v>9425</v>
      </c>
      <c r="I32" s="2130"/>
      <c r="J32" s="442"/>
      <c r="K32" s="443"/>
      <c r="L32" s="1136"/>
    </row>
    <row r="33" spans="2:47" s="113" customFormat="1" ht="23.25" customHeight="1" x14ac:dyDescent="0.2">
      <c r="B33" s="1121"/>
      <c r="C33" s="3348"/>
      <c r="D33" s="439"/>
      <c r="E33" s="1304">
        <v>5</v>
      </c>
      <c r="F33" s="2999" t="s">
        <v>8792</v>
      </c>
      <c r="G33" s="2999"/>
      <c r="H33" s="2999"/>
      <c r="I33" s="2993"/>
      <c r="J33" s="442"/>
      <c r="K33" s="445"/>
      <c r="L33" s="1136"/>
      <c r="M33" s="294"/>
    </row>
    <row r="34" spans="2:47" s="113" customFormat="1" ht="13.5" customHeight="1" x14ac:dyDescent="0.2">
      <c r="B34" s="1121"/>
      <c r="C34" s="3348"/>
      <c r="D34" s="444"/>
      <c r="E34" s="177"/>
      <c r="F34" s="157" t="s">
        <v>27</v>
      </c>
      <c r="G34" s="732" t="s">
        <v>773</v>
      </c>
      <c r="H34" s="28" t="s">
        <v>527</v>
      </c>
      <c r="I34" s="1372"/>
      <c r="J34" s="442"/>
      <c r="K34" s="445"/>
      <c r="L34" s="1136"/>
    </row>
    <row r="35" spans="2:47" s="113" customFormat="1" ht="12.75" customHeight="1" x14ac:dyDescent="0.2">
      <c r="B35" s="1121"/>
      <c r="C35" s="3348"/>
      <c r="D35" s="444"/>
      <c r="E35" s="454"/>
      <c r="F35" s="157" t="s">
        <v>28</v>
      </c>
      <c r="G35" s="732" t="s">
        <v>774</v>
      </c>
      <c r="H35" s="28" t="s">
        <v>528</v>
      </c>
      <c r="I35" s="1372"/>
      <c r="J35" s="442"/>
      <c r="K35" s="445"/>
      <c r="L35" s="1143"/>
    </row>
    <row r="36" spans="2:47" s="113" customFormat="1" ht="13.5" customHeight="1" x14ac:dyDescent="0.2">
      <c r="B36" s="1121"/>
      <c r="C36" s="3348"/>
      <c r="D36" s="444"/>
      <c r="E36" s="454"/>
      <c r="F36" s="154" t="s">
        <v>29</v>
      </c>
      <c r="G36" s="3237" t="s">
        <v>8761</v>
      </c>
      <c r="H36" s="3022"/>
      <c r="I36" s="3349"/>
      <c r="J36" s="442"/>
      <c r="K36" s="445"/>
      <c r="L36" s="1143"/>
      <c r="AU36" s="446"/>
    </row>
    <row r="37" spans="2:47" s="113" customFormat="1" ht="12.75" x14ac:dyDescent="0.2">
      <c r="B37" s="1121"/>
      <c r="C37" s="1043"/>
      <c r="D37" s="444"/>
      <c r="E37" s="454"/>
      <c r="F37" s="437"/>
      <c r="G37" s="456" t="s">
        <v>414</v>
      </c>
      <c r="H37" s="201"/>
      <c r="I37" s="8" t="s">
        <v>415</v>
      </c>
      <c r="J37" s="442"/>
      <c r="K37" s="445"/>
      <c r="L37" s="1143"/>
    </row>
    <row r="38" spans="2:47" s="113" customFormat="1" ht="12.75" x14ac:dyDescent="0.2">
      <c r="B38" s="1121"/>
      <c r="C38" s="1043"/>
      <c r="D38" s="444"/>
      <c r="E38" s="454"/>
      <c r="F38" s="1432">
        <v>1</v>
      </c>
      <c r="G38" s="1969"/>
      <c r="H38" s="114">
        <v>1</v>
      </c>
      <c r="I38" s="1451"/>
      <c r="J38" s="442"/>
      <c r="K38" s="445"/>
      <c r="L38" s="1143"/>
    </row>
    <row r="39" spans="2:47" s="113" customFormat="1" ht="12.75" x14ac:dyDescent="0.2">
      <c r="B39" s="1121"/>
      <c r="C39" s="1043"/>
      <c r="D39" s="444"/>
      <c r="E39" s="454"/>
      <c r="F39" s="1432">
        <f>F38+1</f>
        <v>2</v>
      </c>
      <c r="G39" s="1969"/>
      <c r="H39" s="114">
        <f>H38+1</f>
        <v>2</v>
      </c>
      <c r="I39" s="1451"/>
      <c r="J39" s="442"/>
      <c r="K39" s="445"/>
      <c r="L39" s="1143"/>
    </row>
    <row r="40" spans="2:47" s="113" customFormat="1" ht="16.5" customHeight="1" x14ac:dyDescent="0.2">
      <c r="B40" s="1121"/>
      <c r="C40" s="1043"/>
      <c r="D40" s="444"/>
      <c r="E40" s="454"/>
      <c r="F40" s="1432">
        <f>F39+1</f>
        <v>3</v>
      </c>
      <c r="G40" s="1431"/>
      <c r="H40" s="114">
        <f>H39+1</f>
        <v>3</v>
      </c>
      <c r="I40" s="1451"/>
      <c r="J40" s="442"/>
      <c r="K40" s="445"/>
      <c r="L40" s="1143"/>
    </row>
    <row r="41" spans="2:47" s="113" customFormat="1" ht="30" customHeight="1" x14ac:dyDescent="0.2">
      <c r="B41" s="1121"/>
      <c r="C41" s="1043"/>
      <c r="D41" s="444"/>
      <c r="E41" s="141"/>
      <c r="F41" s="3350"/>
      <c r="G41" s="3350"/>
      <c r="H41" s="3350"/>
      <c r="I41" s="3351"/>
      <c r="J41" s="442"/>
      <c r="K41" s="445"/>
      <c r="L41" s="1143"/>
    </row>
    <row r="42" spans="2:47" s="113" customFormat="1" ht="15" customHeight="1" x14ac:dyDescent="0.2">
      <c r="B42" s="1121"/>
      <c r="C42" s="1043"/>
      <c r="D42" s="439"/>
      <c r="E42" s="180"/>
      <c r="F42" s="355"/>
      <c r="G42" s="477" t="s">
        <v>7343</v>
      </c>
      <c r="H42" s="163" t="s">
        <v>530</v>
      </c>
      <c r="I42" s="1450">
        <f>SUM(Amt_1)</f>
        <v>0</v>
      </c>
      <c r="J42" s="442"/>
      <c r="K42" s="445"/>
      <c r="L42" s="1143"/>
    </row>
    <row r="43" spans="2:47" s="113" customFormat="1" ht="14.25" customHeight="1" x14ac:dyDescent="0.2">
      <c r="B43" s="1121"/>
      <c r="C43" s="1043"/>
      <c r="D43" s="439"/>
      <c r="E43" s="157"/>
      <c r="F43" s="267" t="s">
        <v>36</v>
      </c>
      <c r="G43" s="1433" t="s">
        <v>7340</v>
      </c>
      <c r="H43" s="162" t="s">
        <v>532</v>
      </c>
      <c r="I43" s="1450">
        <f>SUM(I34,I35,I42)</f>
        <v>0</v>
      </c>
      <c r="J43" s="447"/>
      <c r="K43" s="448"/>
      <c r="L43" s="1143"/>
    </row>
    <row r="44" spans="2:47" s="113" customFormat="1" ht="13.5" customHeight="1" x14ac:dyDescent="0.2">
      <c r="B44" s="1121"/>
      <c r="C44" s="1043"/>
      <c r="D44" s="439"/>
      <c r="E44" s="296">
        <v>6</v>
      </c>
      <c r="F44" s="3001" t="s">
        <v>9426</v>
      </c>
      <c r="G44" s="3001"/>
      <c r="H44" s="3001"/>
      <c r="I44" s="3001"/>
      <c r="J44" s="194">
        <v>6</v>
      </c>
      <c r="K44" s="1415">
        <f>(K5-I6-I7-I9-I10-I11-I12-I15-I16-I17-I26-I43)</f>
        <v>0</v>
      </c>
      <c r="L44" s="1143"/>
    </row>
    <row r="45" spans="2:47" s="113" customFormat="1" ht="27.75" customHeight="1" x14ac:dyDescent="0.2">
      <c r="B45" s="1121"/>
      <c r="C45" s="1043"/>
      <c r="D45" s="439"/>
      <c r="E45" s="1304">
        <v>7</v>
      </c>
      <c r="F45" s="2993" t="s">
        <v>8793</v>
      </c>
      <c r="G45" s="2994"/>
      <c r="H45" s="2994"/>
      <c r="I45" s="2995"/>
      <c r="J45" s="166"/>
      <c r="K45" s="449"/>
      <c r="L45" s="1143"/>
    </row>
    <row r="46" spans="2:47" s="113" customFormat="1" ht="13.5" customHeight="1" x14ac:dyDescent="0.2">
      <c r="B46" s="1121"/>
      <c r="C46" s="1043"/>
      <c r="D46" s="444"/>
      <c r="E46" s="150"/>
      <c r="F46" s="157" t="s">
        <v>27</v>
      </c>
      <c r="G46" s="732" t="s">
        <v>1063</v>
      </c>
      <c r="H46" s="158" t="s">
        <v>566</v>
      </c>
      <c r="I46" s="2633"/>
      <c r="J46" s="168"/>
      <c r="K46" s="450"/>
      <c r="L46" s="1136"/>
    </row>
    <row r="47" spans="2:47" s="113" customFormat="1" ht="13.5" customHeight="1" x14ac:dyDescent="0.2">
      <c r="B47" s="1121"/>
      <c r="C47" s="1043"/>
      <c r="D47" s="444"/>
      <c r="E47" s="153"/>
      <c r="F47" s="157" t="s">
        <v>28</v>
      </c>
      <c r="G47" s="732" t="s">
        <v>1287</v>
      </c>
      <c r="H47" s="158" t="s">
        <v>567</v>
      </c>
      <c r="I47" s="391"/>
      <c r="J47" s="168"/>
      <c r="K47" s="450"/>
      <c r="L47" s="1136"/>
    </row>
    <row r="48" spans="2:47" s="113" customFormat="1" ht="12.75" customHeight="1" x14ac:dyDescent="0.2">
      <c r="B48" s="1121"/>
      <c r="C48" s="1043"/>
      <c r="D48" s="444"/>
      <c r="E48" s="153"/>
      <c r="F48" s="157" t="s">
        <v>29</v>
      </c>
      <c r="G48" s="732" t="s">
        <v>770</v>
      </c>
      <c r="H48" s="158" t="s">
        <v>569</v>
      </c>
      <c r="I48" s="391"/>
      <c r="J48" s="168"/>
      <c r="K48" s="450"/>
      <c r="L48" s="1136"/>
    </row>
    <row r="49" spans="2:12" s="113" customFormat="1" ht="12" customHeight="1" x14ac:dyDescent="0.2">
      <c r="B49" s="1121"/>
      <c r="C49" s="1043"/>
      <c r="D49" s="444"/>
      <c r="E49" s="153"/>
      <c r="F49" s="157" t="s">
        <v>36</v>
      </c>
      <c r="G49" s="732" t="s">
        <v>771</v>
      </c>
      <c r="H49" s="158" t="s">
        <v>570</v>
      </c>
      <c r="I49" s="391"/>
      <c r="J49" s="168"/>
      <c r="K49" s="450"/>
      <c r="L49" s="1136"/>
    </row>
    <row r="50" spans="2:12" s="113" customFormat="1" ht="12" customHeight="1" x14ac:dyDescent="0.2">
      <c r="B50" s="1121"/>
      <c r="C50" s="1043"/>
      <c r="D50" s="444"/>
      <c r="E50" s="153"/>
      <c r="F50" s="157" t="s">
        <v>38</v>
      </c>
      <c r="G50" s="732" t="s">
        <v>7694</v>
      </c>
      <c r="H50" s="158" t="s">
        <v>571</v>
      </c>
      <c r="I50" s="2633"/>
      <c r="J50" s="168"/>
      <c r="K50" s="450"/>
      <c r="L50" s="1136"/>
    </row>
    <row r="51" spans="2:12" s="113" customFormat="1" ht="12" customHeight="1" x14ac:dyDescent="0.2">
      <c r="B51" s="1121"/>
      <c r="C51" s="1043"/>
      <c r="D51" s="444"/>
      <c r="E51" s="164"/>
      <c r="F51" s="157" t="s">
        <v>40</v>
      </c>
      <c r="G51" s="732" t="s">
        <v>8171</v>
      </c>
      <c r="H51" s="158" t="s">
        <v>572</v>
      </c>
      <c r="I51" s="391"/>
      <c r="J51" s="168"/>
      <c r="K51" s="450"/>
      <c r="L51" s="1136"/>
    </row>
    <row r="52" spans="2:12" s="113" customFormat="1" ht="25.5" customHeight="1" x14ac:dyDescent="0.2">
      <c r="B52" s="1121"/>
      <c r="C52" s="1043"/>
      <c r="D52" s="439"/>
      <c r="E52" s="1302" t="s">
        <v>723</v>
      </c>
      <c r="F52" s="2999" t="s">
        <v>775</v>
      </c>
      <c r="G52" s="2999"/>
      <c r="H52" s="28" t="s">
        <v>723</v>
      </c>
      <c r="I52" s="1372"/>
      <c r="J52" s="168"/>
      <c r="K52" s="450"/>
      <c r="L52" s="1136"/>
    </row>
    <row r="53" spans="2:12" s="113" customFormat="1" ht="25.5" customHeight="1" x14ac:dyDescent="0.2">
      <c r="B53" s="1121"/>
      <c r="C53" s="1043"/>
      <c r="D53" s="439"/>
      <c r="E53" s="1302" t="s">
        <v>724</v>
      </c>
      <c r="F53" s="2993" t="s">
        <v>9427</v>
      </c>
      <c r="G53" s="2995"/>
      <c r="H53" s="28" t="s">
        <v>724</v>
      </c>
      <c r="I53" s="1450">
        <f>sheet7.AmountOfExpenditure14A</f>
        <v>0</v>
      </c>
      <c r="J53" s="168"/>
      <c r="K53" s="450"/>
      <c r="L53" s="1136"/>
    </row>
    <row r="54" spans="2:12" s="113" customFormat="1" ht="12.75" customHeight="1" x14ac:dyDescent="0.2">
      <c r="B54" s="1121"/>
      <c r="C54" s="1043"/>
      <c r="D54" s="439"/>
      <c r="E54" s="176">
        <v>9</v>
      </c>
      <c r="F54" s="3001" t="s">
        <v>9433</v>
      </c>
      <c r="G54" s="3001"/>
      <c r="H54" s="162">
        <v>9</v>
      </c>
      <c r="I54" s="1450">
        <f>SUM(I46:I53)</f>
        <v>0</v>
      </c>
      <c r="J54" s="172"/>
      <c r="K54" s="451"/>
      <c r="L54" s="1136"/>
    </row>
    <row r="55" spans="2:12" s="113" customFormat="1" ht="13.5" customHeight="1" x14ac:dyDescent="0.2">
      <c r="B55" s="1121"/>
      <c r="C55" s="1043"/>
      <c r="D55" s="439"/>
      <c r="E55" s="176">
        <v>10</v>
      </c>
      <c r="F55" s="3001" t="s">
        <v>776</v>
      </c>
      <c r="G55" s="3001"/>
      <c r="H55" s="3001"/>
      <c r="I55" s="3001"/>
      <c r="J55" s="267">
        <v>10</v>
      </c>
      <c r="K55" s="1374">
        <f>SUM(K44,I54)</f>
        <v>0</v>
      </c>
      <c r="L55" s="1136"/>
    </row>
    <row r="56" spans="2:12" s="113" customFormat="1" ht="12.75" customHeight="1" x14ac:dyDescent="0.2">
      <c r="B56" s="1121"/>
      <c r="C56" s="1043"/>
      <c r="D56" s="439"/>
      <c r="E56" s="176">
        <v>11</v>
      </c>
      <c r="F56" s="3009" t="s">
        <v>9701</v>
      </c>
      <c r="G56" s="3010"/>
      <c r="H56" s="3010"/>
      <c r="I56" s="3011"/>
      <c r="J56" s="175">
        <v>11</v>
      </c>
      <c r="K56" s="1449">
        <f>PL.DepreciationAmort+ManuFactureAcc_DepreciationOfFactoryMachinary</f>
        <v>0</v>
      </c>
      <c r="L56" s="1136"/>
    </row>
    <row r="57" spans="2:12" s="113" customFormat="1" ht="15" customHeight="1" x14ac:dyDescent="0.2">
      <c r="B57" s="1121"/>
      <c r="C57" s="1043"/>
      <c r="D57" s="439"/>
      <c r="E57" s="3002">
        <v>12</v>
      </c>
      <c r="F57" s="3110" t="s">
        <v>777</v>
      </c>
      <c r="G57" s="3111"/>
      <c r="H57" s="3111"/>
      <c r="I57" s="3112"/>
      <c r="J57" s="166"/>
      <c r="K57" s="449"/>
      <c r="L57" s="1136"/>
    </row>
    <row r="58" spans="2:12" s="113" customFormat="1" ht="36.75" customHeight="1" x14ac:dyDescent="0.2">
      <c r="B58" s="1121"/>
      <c r="C58" s="1043"/>
      <c r="D58" s="439"/>
      <c r="E58" s="3002"/>
      <c r="F58" s="162" t="s">
        <v>287</v>
      </c>
      <c r="G58" s="477" t="s">
        <v>778</v>
      </c>
      <c r="H58" s="162" t="s">
        <v>779</v>
      </c>
      <c r="I58" s="1450">
        <f>IF(DEP.TotalDepreciation&gt;0,DEP.TotalDepreciation,0)</f>
        <v>0</v>
      </c>
      <c r="J58" s="168"/>
      <c r="K58" s="450"/>
      <c r="L58" s="1136"/>
    </row>
    <row r="59" spans="2:12" s="113" customFormat="1" ht="39" customHeight="1" x14ac:dyDescent="0.2">
      <c r="B59" s="1121"/>
      <c r="C59" s="1043"/>
      <c r="D59" s="439"/>
      <c r="E59" s="3002"/>
      <c r="F59" s="158" t="s">
        <v>290</v>
      </c>
      <c r="G59" s="732" t="s">
        <v>780</v>
      </c>
      <c r="H59" s="158" t="s">
        <v>781</v>
      </c>
      <c r="I59" s="2130"/>
      <c r="J59" s="172"/>
      <c r="K59" s="330"/>
      <c r="L59" s="1136"/>
    </row>
    <row r="60" spans="2:12" s="113" customFormat="1" ht="12.75" x14ac:dyDescent="0.2">
      <c r="B60" s="1121"/>
      <c r="C60" s="1043"/>
      <c r="D60" s="439"/>
      <c r="E60" s="3002"/>
      <c r="F60" s="162" t="s">
        <v>293</v>
      </c>
      <c r="G60" s="3001" t="s">
        <v>782</v>
      </c>
      <c r="H60" s="3001"/>
      <c r="I60" s="3001"/>
      <c r="J60" s="267" t="s">
        <v>783</v>
      </c>
      <c r="K60" s="1374">
        <f>SUM(I58,I59)</f>
        <v>0</v>
      </c>
      <c r="L60" s="1136"/>
    </row>
    <row r="61" spans="2:12" s="113" customFormat="1" ht="24" customHeight="1" x14ac:dyDescent="0.2">
      <c r="B61" s="1121"/>
      <c r="C61" s="1043"/>
      <c r="D61" s="452"/>
      <c r="E61" s="296">
        <v>13</v>
      </c>
      <c r="F61" s="3001" t="s">
        <v>784</v>
      </c>
      <c r="G61" s="3001"/>
      <c r="H61" s="3001"/>
      <c r="I61" s="112"/>
      <c r="J61" s="162">
        <v>13</v>
      </c>
      <c r="K61" s="729">
        <f>(sheet11.AdjustedPLOthThanSpecBus+sheet11.DepreciationDebPLCosAct-sheet11.TotDeprAllowITAct)</f>
        <v>0</v>
      </c>
      <c r="L61" s="1136"/>
    </row>
    <row r="62" spans="2:12" s="113" customFormat="1" ht="32.25" customHeight="1" x14ac:dyDescent="0.2">
      <c r="B62" s="1121"/>
      <c r="C62" s="1043"/>
      <c r="D62" s="452"/>
      <c r="E62" s="296">
        <v>14</v>
      </c>
      <c r="F62" s="3001" t="s">
        <v>9668</v>
      </c>
      <c r="G62" s="3001"/>
      <c r="H62" s="254">
        <v>14</v>
      </c>
      <c r="I62" s="729">
        <f>sheet6.TotAmtDisallUs36</f>
        <v>0</v>
      </c>
      <c r="J62" s="3032"/>
      <c r="K62" s="3033"/>
      <c r="L62" s="1136"/>
    </row>
    <row r="63" spans="2:12" s="113" customFormat="1" ht="32.25" customHeight="1" x14ac:dyDescent="0.2">
      <c r="B63" s="1121"/>
      <c r="C63" s="1043"/>
      <c r="D63" s="452"/>
      <c r="E63" s="296">
        <v>15</v>
      </c>
      <c r="F63" s="3001" t="s">
        <v>13157</v>
      </c>
      <c r="G63" s="3001"/>
      <c r="H63" s="254">
        <v>15</v>
      </c>
      <c r="I63" s="729">
        <f>sheet6.TotAmtDisallUs37</f>
        <v>0</v>
      </c>
      <c r="J63" s="3034"/>
      <c r="K63" s="3035"/>
      <c r="L63" s="1136"/>
    </row>
    <row r="64" spans="2:12" s="113" customFormat="1" ht="35.25" customHeight="1" x14ac:dyDescent="0.2">
      <c r="B64" s="1121"/>
      <c r="C64" s="1043"/>
      <c r="D64" s="452"/>
      <c r="E64" s="296">
        <v>16</v>
      </c>
      <c r="F64" s="3001" t="s">
        <v>7657</v>
      </c>
      <c r="G64" s="3001"/>
      <c r="H64" s="254">
        <v>16</v>
      </c>
      <c r="I64" s="729">
        <f>sheet7.TotAmtDisallUs40</f>
        <v>0</v>
      </c>
      <c r="J64" s="3034"/>
      <c r="K64" s="3035"/>
      <c r="L64" s="1136"/>
    </row>
    <row r="65" spans="2:12" s="113" customFormat="1" ht="33.75" customHeight="1" x14ac:dyDescent="0.2">
      <c r="B65" s="1121"/>
      <c r="C65" s="1043"/>
      <c r="D65" s="452"/>
      <c r="E65" s="296">
        <v>17</v>
      </c>
      <c r="F65" s="3001" t="s">
        <v>13158</v>
      </c>
      <c r="G65" s="3001"/>
      <c r="H65" s="254">
        <v>17</v>
      </c>
      <c r="I65" s="729">
        <f>sheet7.TotAmtDisallUs40A</f>
        <v>0</v>
      </c>
      <c r="J65" s="3034"/>
      <c r="K65" s="3035"/>
      <c r="L65" s="1136"/>
    </row>
    <row r="66" spans="2:12" s="113" customFormat="1" ht="39" customHeight="1" x14ac:dyDescent="0.2">
      <c r="B66" s="1121"/>
      <c r="C66" s="1043"/>
      <c r="D66" s="452"/>
      <c r="E66" s="296">
        <v>18</v>
      </c>
      <c r="F66" s="3001" t="s">
        <v>7695</v>
      </c>
      <c r="G66" s="3001"/>
      <c r="H66" s="254">
        <v>18</v>
      </c>
      <c r="I66" s="729">
        <f>sheet7.TotAmtUs43b1</f>
        <v>0</v>
      </c>
      <c r="J66" s="3034"/>
      <c r="K66" s="3035"/>
      <c r="L66" s="1136"/>
    </row>
    <row r="67" spans="2:12" s="113" customFormat="1" ht="34.5" customHeight="1" x14ac:dyDescent="0.2">
      <c r="B67" s="1121"/>
      <c r="C67" s="1043"/>
      <c r="D67" s="452"/>
      <c r="E67" s="456">
        <v>19</v>
      </c>
      <c r="F67" s="2999" t="s">
        <v>785</v>
      </c>
      <c r="G67" s="2999"/>
      <c r="H67" s="28">
        <v>19</v>
      </c>
      <c r="I67" s="391"/>
      <c r="J67" s="3034"/>
      <c r="K67" s="3035"/>
      <c r="L67" s="1136"/>
    </row>
    <row r="68" spans="2:12" s="113" customFormat="1" ht="12.75" customHeight="1" x14ac:dyDescent="0.2">
      <c r="B68" s="1121"/>
      <c r="C68" s="1043"/>
      <c r="D68" s="452"/>
      <c r="E68" s="456">
        <v>20</v>
      </c>
      <c r="F68" s="2999" t="s">
        <v>786</v>
      </c>
      <c r="G68" s="2999"/>
      <c r="H68" s="28">
        <v>20</v>
      </c>
      <c r="I68" s="391"/>
      <c r="J68" s="3034"/>
      <c r="K68" s="3035"/>
      <c r="L68" s="1136"/>
    </row>
    <row r="69" spans="2:12" s="113" customFormat="1" ht="44.25" customHeight="1" x14ac:dyDescent="0.2">
      <c r="B69" s="1121"/>
      <c r="C69" s="1043"/>
      <c r="D69" s="452"/>
      <c r="E69" s="154">
        <v>21</v>
      </c>
      <c r="F69" s="3001" t="s">
        <v>7943</v>
      </c>
      <c r="G69" s="3001"/>
      <c r="H69" s="158">
        <v>21</v>
      </c>
      <c r="I69" s="729">
        <f>MAX(0,SUM(I70:I78))</f>
        <v>0</v>
      </c>
      <c r="J69" s="3034"/>
      <c r="K69" s="3035"/>
      <c r="L69" s="1136"/>
    </row>
    <row r="70" spans="2:12" s="113" customFormat="1" ht="12.75" customHeight="1" x14ac:dyDescent="0.2">
      <c r="B70" s="1121"/>
      <c r="C70" s="1043"/>
      <c r="D70" s="453"/>
      <c r="E70" s="177"/>
      <c r="F70" s="456" t="s">
        <v>27</v>
      </c>
      <c r="G70" s="732" t="s">
        <v>7928</v>
      </c>
      <c r="H70" s="28" t="s">
        <v>7934</v>
      </c>
      <c r="I70" s="391"/>
      <c r="J70" s="3034"/>
      <c r="K70" s="3035"/>
      <c r="L70" s="1136"/>
    </row>
    <row r="71" spans="2:12" s="113" customFormat="1" ht="12.75" customHeight="1" x14ac:dyDescent="0.2">
      <c r="B71" s="1121"/>
      <c r="C71" s="1043"/>
      <c r="D71" s="453"/>
      <c r="E71" s="454"/>
      <c r="F71" s="456" t="s">
        <v>28</v>
      </c>
      <c r="G71" s="732" t="s">
        <v>7923</v>
      </c>
      <c r="H71" s="28" t="s">
        <v>7935</v>
      </c>
      <c r="I71" s="391"/>
      <c r="J71" s="3034"/>
      <c r="K71" s="3035"/>
      <c r="L71" s="1136"/>
    </row>
    <row r="72" spans="2:12" s="113" customFormat="1" ht="12.75" customHeight="1" x14ac:dyDescent="0.2">
      <c r="B72" s="1121"/>
      <c r="C72" s="1043"/>
      <c r="D72" s="453"/>
      <c r="E72" s="454"/>
      <c r="F72" s="456" t="s">
        <v>29</v>
      </c>
      <c r="G72" s="732" t="s">
        <v>7924</v>
      </c>
      <c r="H72" s="28" t="s">
        <v>7936</v>
      </c>
      <c r="I72" s="391"/>
      <c r="J72" s="3034"/>
      <c r="K72" s="3035"/>
      <c r="L72" s="1136"/>
    </row>
    <row r="73" spans="2:12" s="113" customFormat="1" ht="12.75" customHeight="1" x14ac:dyDescent="0.2">
      <c r="B73" s="1121"/>
      <c r="C73" s="1043"/>
      <c r="D73" s="453"/>
      <c r="E73" s="454"/>
      <c r="F73" s="456" t="s">
        <v>36</v>
      </c>
      <c r="G73" s="732" t="s">
        <v>7929</v>
      </c>
      <c r="H73" s="28" t="s">
        <v>7937</v>
      </c>
      <c r="I73" s="391"/>
      <c r="J73" s="3034"/>
      <c r="K73" s="3035"/>
      <c r="L73" s="1136"/>
    </row>
    <row r="74" spans="2:12" s="113" customFormat="1" ht="12.75" customHeight="1" x14ac:dyDescent="0.2">
      <c r="B74" s="1121"/>
      <c r="C74" s="1043"/>
      <c r="D74" s="453"/>
      <c r="E74" s="454"/>
      <c r="F74" s="456" t="s">
        <v>38</v>
      </c>
      <c r="G74" s="732" t="s">
        <v>7930</v>
      </c>
      <c r="H74" s="28" t="s">
        <v>7938</v>
      </c>
      <c r="I74" s="391"/>
      <c r="J74" s="3034"/>
      <c r="K74" s="3035"/>
      <c r="L74" s="1136"/>
    </row>
    <row r="75" spans="2:12" s="113" customFormat="1" ht="12.75" customHeight="1" x14ac:dyDescent="0.2">
      <c r="B75" s="1121"/>
      <c r="C75" s="1043"/>
      <c r="D75" s="453"/>
      <c r="E75" s="454"/>
      <c r="F75" s="456" t="s">
        <v>40</v>
      </c>
      <c r="G75" s="732" t="s">
        <v>7931</v>
      </c>
      <c r="H75" s="28" t="s">
        <v>7939</v>
      </c>
      <c r="I75" s="391"/>
      <c r="J75" s="3034"/>
      <c r="K75" s="3035"/>
      <c r="L75" s="1136"/>
    </row>
    <row r="76" spans="2:12" s="113" customFormat="1" ht="12.75" customHeight="1" x14ac:dyDescent="0.2">
      <c r="B76" s="1121"/>
      <c r="C76" s="1043"/>
      <c r="D76" s="453"/>
      <c r="E76" s="454"/>
      <c r="F76" s="456" t="s">
        <v>539</v>
      </c>
      <c r="G76" s="732" t="s">
        <v>7932</v>
      </c>
      <c r="H76" s="28" t="s">
        <v>7940</v>
      </c>
      <c r="I76" s="391"/>
      <c r="J76" s="3034"/>
      <c r="K76" s="3035"/>
      <c r="L76" s="1136"/>
    </row>
    <row r="77" spans="2:12" s="113" customFormat="1" ht="12.75" customHeight="1" x14ac:dyDescent="0.2">
      <c r="B77" s="1121"/>
      <c r="C77" s="1043"/>
      <c r="D77" s="453"/>
      <c r="E77" s="454"/>
      <c r="F77" s="456" t="s">
        <v>541</v>
      </c>
      <c r="G77" s="732" t="s">
        <v>7933</v>
      </c>
      <c r="H77" s="28" t="s">
        <v>7941</v>
      </c>
      <c r="I77" s="391"/>
      <c r="J77" s="3034"/>
      <c r="K77" s="3035"/>
      <c r="L77" s="1136"/>
    </row>
    <row r="78" spans="2:12" s="113" customFormat="1" ht="12.75" customHeight="1" x14ac:dyDescent="0.2">
      <c r="B78" s="1121"/>
      <c r="C78" s="1043"/>
      <c r="D78" s="453"/>
      <c r="E78" s="141"/>
      <c r="F78" s="456" t="s">
        <v>287</v>
      </c>
      <c r="G78" s="732" t="s">
        <v>270</v>
      </c>
      <c r="H78" s="28" t="s">
        <v>7942</v>
      </c>
      <c r="I78" s="391"/>
      <c r="J78" s="3034"/>
      <c r="K78" s="3035"/>
      <c r="L78" s="1136"/>
    </row>
    <row r="79" spans="2:12" s="113" customFormat="1" ht="12.75" customHeight="1" x14ac:dyDescent="0.2">
      <c r="B79" s="1121"/>
      <c r="C79" s="1043"/>
      <c r="D79" s="452"/>
      <c r="E79" s="193">
        <v>22</v>
      </c>
      <c r="F79" s="2999" t="s">
        <v>787</v>
      </c>
      <c r="G79" s="2999"/>
      <c r="H79" s="28">
        <v>22</v>
      </c>
      <c r="I79" s="391"/>
      <c r="J79" s="3034"/>
      <c r="K79" s="3035"/>
      <c r="L79" s="1136"/>
    </row>
    <row r="80" spans="2:12" s="113" customFormat="1" ht="12.75" customHeight="1" x14ac:dyDescent="0.2">
      <c r="B80" s="1121"/>
      <c r="C80" s="1043"/>
      <c r="D80" s="452"/>
      <c r="E80" s="154">
        <v>23</v>
      </c>
      <c r="F80" s="2999" t="s">
        <v>8794</v>
      </c>
      <c r="G80" s="2999"/>
      <c r="H80" s="28">
        <v>23</v>
      </c>
      <c r="I80" s="391"/>
      <c r="J80" s="3034"/>
      <c r="K80" s="3035"/>
      <c r="L80" s="1136"/>
    </row>
    <row r="81" spans="2:12" s="113" customFormat="1" ht="57.75" customHeight="1" x14ac:dyDescent="0.2">
      <c r="B81" s="1121"/>
      <c r="C81" s="1043"/>
      <c r="D81" s="453"/>
      <c r="E81" s="175">
        <v>24</v>
      </c>
      <c r="F81" s="3008" t="s">
        <v>8905</v>
      </c>
      <c r="G81" s="3001"/>
      <c r="H81" s="267">
        <v>24</v>
      </c>
      <c r="I81" s="729">
        <f>SUM(I82:I86)</f>
        <v>0</v>
      </c>
      <c r="J81" s="3034"/>
      <c r="K81" s="3035"/>
      <c r="L81" s="1136"/>
    </row>
    <row r="82" spans="2:12" s="113" customFormat="1" ht="12.75" x14ac:dyDescent="0.2">
      <c r="B82" s="1121"/>
      <c r="C82" s="1043"/>
      <c r="D82" s="453"/>
      <c r="E82" s="454"/>
      <c r="F82" s="456" t="s">
        <v>27</v>
      </c>
      <c r="G82" s="732" t="s">
        <v>767</v>
      </c>
      <c r="H82" s="28" t="s">
        <v>8846</v>
      </c>
      <c r="I82" s="1372"/>
      <c r="J82" s="3034"/>
      <c r="K82" s="3035"/>
      <c r="L82" s="1136"/>
    </row>
    <row r="83" spans="2:12" s="113" customFormat="1" ht="12.75" x14ac:dyDescent="0.2">
      <c r="B83" s="1121"/>
      <c r="C83" s="1043"/>
      <c r="D83" s="453"/>
      <c r="E83" s="454"/>
      <c r="F83" s="456" t="s">
        <v>28</v>
      </c>
      <c r="G83" s="732" t="s">
        <v>453</v>
      </c>
      <c r="H83" s="28" t="s">
        <v>8847</v>
      </c>
      <c r="I83" s="1372"/>
      <c r="J83" s="3034"/>
      <c r="K83" s="3035"/>
      <c r="L83" s="1136"/>
    </row>
    <row r="84" spans="2:12" s="113" customFormat="1" ht="12.75" x14ac:dyDescent="0.2">
      <c r="B84" s="1121"/>
      <c r="C84" s="1043"/>
      <c r="D84" s="453"/>
      <c r="E84" s="454"/>
      <c r="F84" s="456" t="s">
        <v>29</v>
      </c>
      <c r="G84" s="732" t="s">
        <v>426</v>
      </c>
      <c r="H84" s="28" t="s">
        <v>8848</v>
      </c>
      <c r="I84" s="1372"/>
      <c r="J84" s="3034"/>
      <c r="K84" s="3035"/>
      <c r="L84" s="1136"/>
    </row>
    <row r="85" spans="2:12" s="113" customFormat="1" ht="12.75" x14ac:dyDescent="0.2">
      <c r="B85" s="1121"/>
      <c r="C85" s="1043"/>
      <c r="D85" s="453"/>
      <c r="E85" s="141"/>
      <c r="F85" s="456" t="s">
        <v>36</v>
      </c>
      <c r="G85" s="732" t="s">
        <v>508</v>
      </c>
      <c r="H85" s="28" t="s">
        <v>8849</v>
      </c>
      <c r="I85" s="1372"/>
      <c r="J85" s="3034"/>
      <c r="K85" s="3035"/>
      <c r="L85" s="1136"/>
    </row>
    <row r="86" spans="2:12" s="113" customFormat="1" ht="12.75" x14ac:dyDescent="0.2">
      <c r="B86" s="1121"/>
      <c r="C86" s="1043"/>
      <c r="D86" s="453"/>
      <c r="E86" s="141"/>
      <c r="F86" s="28" t="s">
        <v>38</v>
      </c>
      <c r="G86" s="732" t="s">
        <v>6976</v>
      </c>
      <c r="H86" s="28" t="s">
        <v>8850</v>
      </c>
      <c r="I86" s="1372"/>
      <c r="J86" s="3036"/>
      <c r="K86" s="3037"/>
      <c r="L86" s="1136"/>
    </row>
    <row r="87" spans="2:12" s="113" customFormat="1" ht="30.75" customHeight="1" x14ac:dyDescent="0.2">
      <c r="B87" s="1121"/>
      <c r="C87" s="1043"/>
      <c r="D87" s="452"/>
      <c r="E87" s="1382">
        <v>25</v>
      </c>
      <c r="F87" s="3004" t="s">
        <v>8795</v>
      </c>
      <c r="G87" s="3005"/>
      <c r="H87" s="3005"/>
      <c r="I87" s="3008"/>
      <c r="J87" s="274">
        <v>25</v>
      </c>
      <c r="K87" s="1374">
        <f>SUM(sheet5.ProfDeviatDueAcctMeth,sheet6.EffectOnPL)</f>
        <v>0</v>
      </c>
      <c r="L87" s="1136"/>
    </row>
    <row r="88" spans="2:12" s="113" customFormat="1" ht="15" customHeight="1" x14ac:dyDescent="0.2">
      <c r="B88" s="1121"/>
      <c r="C88" s="1043"/>
      <c r="D88" s="452"/>
      <c r="E88" s="296">
        <v>26</v>
      </c>
      <c r="F88" s="3009" t="s">
        <v>8287</v>
      </c>
      <c r="G88" s="3010"/>
      <c r="H88" s="3010"/>
      <c r="I88" s="3011"/>
      <c r="J88" s="254">
        <v>26</v>
      </c>
      <c r="K88" s="729">
        <f>SUM(I62:I81,K87)-sheet11.DeemIncUs3380HHD80IA</f>
        <v>0</v>
      </c>
      <c r="L88" s="1136"/>
    </row>
    <row r="89" spans="2:12" s="113" customFormat="1" ht="12.75" customHeight="1" x14ac:dyDescent="0.2">
      <c r="B89" s="1121"/>
      <c r="C89" s="1043"/>
      <c r="D89" s="439"/>
      <c r="E89" s="456">
        <v>27</v>
      </c>
      <c r="F89" s="2999" t="s">
        <v>788</v>
      </c>
      <c r="G89" s="2999"/>
      <c r="H89" s="28">
        <v>27</v>
      </c>
      <c r="I89" s="391"/>
      <c r="J89" s="3032"/>
      <c r="K89" s="3033"/>
      <c r="L89" s="1136"/>
    </row>
    <row r="90" spans="2:12" s="113" customFormat="1" ht="12.75" customHeight="1" x14ac:dyDescent="0.2">
      <c r="B90" s="1121"/>
      <c r="C90" s="1043"/>
      <c r="D90" s="439"/>
      <c r="E90" s="456">
        <v>28</v>
      </c>
      <c r="F90" s="2999" t="s">
        <v>7584</v>
      </c>
      <c r="G90" s="2999"/>
      <c r="H90" s="28">
        <v>28</v>
      </c>
      <c r="I90" s="1974">
        <v>0</v>
      </c>
      <c r="J90" s="3034"/>
      <c r="K90" s="3035"/>
      <c r="L90" s="1136"/>
    </row>
    <row r="91" spans="2:12" s="113" customFormat="1" ht="66.75" customHeight="1" x14ac:dyDescent="0.2">
      <c r="B91" s="1121"/>
      <c r="C91" s="1043"/>
      <c r="D91" s="439"/>
      <c r="E91" s="296">
        <v>29</v>
      </c>
      <c r="F91" s="3001" t="s">
        <v>789</v>
      </c>
      <c r="G91" s="3001"/>
      <c r="H91" s="254">
        <v>29</v>
      </c>
      <c r="I91" s="729">
        <f>ESRTOT.ExcessAmtOverDebPL</f>
        <v>0</v>
      </c>
      <c r="J91" s="3034"/>
      <c r="K91" s="3035"/>
      <c r="L91" s="1136"/>
    </row>
    <row r="92" spans="2:12" s="113" customFormat="1" ht="40.5" customHeight="1" x14ac:dyDescent="0.2">
      <c r="B92" s="1121"/>
      <c r="C92" s="1043"/>
      <c r="D92" s="439"/>
      <c r="E92" s="296">
        <v>30</v>
      </c>
      <c r="F92" s="3001" t="s">
        <v>8796</v>
      </c>
      <c r="G92" s="3001"/>
      <c r="H92" s="254">
        <v>30</v>
      </c>
      <c r="I92" s="729">
        <f>sheet7.AmtDisallUs40PyNowAll</f>
        <v>0</v>
      </c>
      <c r="J92" s="3034"/>
      <c r="K92" s="3035"/>
      <c r="L92" s="1136"/>
    </row>
    <row r="93" spans="2:12" s="113" customFormat="1" ht="39.75" customHeight="1" x14ac:dyDescent="0.2">
      <c r="B93" s="1121"/>
      <c r="C93" s="1043"/>
      <c r="D93" s="439"/>
      <c r="E93" s="1380">
        <v>31</v>
      </c>
      <c r="F93" s="3001" t="s">
        <v>8762</v>
      </c>
      <c r="G93" s="3001"/>
      <c r="H93" s="254">
        <v>31</v>
      </c>
      <c r="I93" s="729">
        <f>sheet7.TotAmtUs43b</f>
        <v>0</v>
      </c>
      <c r="J93" s="3034"/>
      <c r="K93" s="3035"/>
      <c r="L93" s="1136"/>
    </row>
    <row r="94" spans="2:12" s="113" customFormat="1" ht="15" hidden="1" customHeight="1" x14ac:dyDescent="0.2">
      <c r="B94" s="1121"/>
      <c r="C94" s="1043"/>
      <c r="D94" s="444"/>
      <c r="E94" s="150">
        <v>31</v>
      </c>
      <c r="F94" s="3110" t="s">
        <v>790</v>
      </c>
      <c r="G94" s="3111"/>
      <c r="H94" s="3111"/>
      <c r="I94" s="3112"/>
      <c r="J94" s="3034"/>
      <c r="K94" s="3035"/>
      <c r="L94" s="1136"/>
    </row>
    <row r="95" spans="2:12" s="113" customFormat="1" ht="12.75" hidden="1" customHeight="1" x14ac:dyDescent="0.2">
      <c r="B95" s="1121"/>
      <c r="C95" s="1043"/>
      <c r="D95" s="444"/>
      <c r="E95" s="186"/>
      <c r="F95" s="157" t="s">
        <v>27</v>
      </c>
      <c r="G95" s="112" t="s">
        <v>791</v>
      </c>
      <c r="H95" s="158" t="s">
        <v>7585</v>
      </c>
      <c r="I95" s="997"/>
      <c r="J95" s="3034"/>
      <c r="K95" s="3035"/>
      <c r="L95" s="1136"/>
    </row>
    <row r="96" spans="2:12" s="113" customFormat="1" ht="12" hidden="1" customHeight="1" x14ac:dyDescent="0.2">
      <c r="B96" s="1121"/>
      <c r="C96" s="1043"/>
      <c r="D96" s="444"/>
      <c r="E96" s="186"/>
      <c r="F96" s="157" t="s">
        <v>28</v>
      </c>
      <c r="G96" s="112" t="s">
        <v>792</v>
      </c>
      <c r="H96" s="158" t="s">
        <v>7586</v>
      </c>
      <c r="I96" s="997"/>
      <c r="J96" s="3034"/>
      <c r="K96" s="3035"/>
      <c r="L96" s="1136"/>
    </row>
    <row r="97" spans="2:12" s="113" customFormat="1" ht="12.75" hidden="1" customHeight="1" x14ac:dyDescent="0.2">
      <c r="B97" s="1121"/>
      <c r="C97" s="1043"/>
      <c r="D97" s="444"/>
      <c r="E97" s="455"/>
      <c r="F97" s="176" t="s">
        <v>29</v>
      </c>
      <c r="G97" s="190" t="s">
        <v>7588</v>
      </c>
      <c r="H97" s="162" t="s">
        <v>7587</v>
      </c>
      <c r="I97" s="3">
        <f>IF((I96-I95)&lt;0,0,(I96-I95))</f>
        <v>0</v>
      </c>
      <c r="J97" s="3034"/>
      <c r="K97" s="3035"/>
      <c r="L97" s="1136"/>
    </row>
    <row r="98" spans="2:12" s="113" customFormat="1" ht="12.75" customHeight="1" x14ac:dyDescent="0.2">
      <c r="B98" s="1121"/>
      <c r="C98" s="1043"/>
      <c r="D98" s="439"/>
      <c r="E98" s="158">
        <v>32</v>
      </c>
      <c r="F98" s="2999" t="s">
        <v>793</v>
      </c>
      <c r="G98" s="2999"/>
      <c r="H98" s="158">
        <v>32</v>
      </c>
      <c r="I98" s="391"/>
      <c r="J98" s="3036"/>
      <c r="K98" s="3037"/>
      <c r="L98" s="1136"/>
    </row>
    <row r="99" spans="2:12" s="113" customFormat="1" ht="25.5" customHeight="1" x14ac:dyDescent="0.2">
      <c r="B99" s="1121"/>
      <c r="C99" s="1043"/>
      <c r="D99" s="439"/>
      <c r="E99" s="176">
        <v>33</v>
      </c>
      <c r="F99" s="3001" t="s">
        <v>8797</v>
      </c>
      <c r="G99" s="3001"/>
      <c r="H99" s="3001"/>
      <c r="I99" s="3001"/>
      <c r="J99" s="162">
        <v>33</v>
      </c>
      <c r="K99" s="729">
        <f>SUM(sheet5.ProfDeviatDueAcctMethb,sheet6.EffectOnPL4e)</f>
        <v>0</v>
      </c>
      <c r="L99" s="1136"/>
    </row>
    <row r="100" spans="2:12" s="113" customFormat="1" ht="12.75" customHeight="1" x14ac:dyDescent="0.2">
      <c r="B100" s="1121"/>
      <c r="C100" s="1043"/>
      <c r="D100" s="439"/>
      <c r="E100" s="176">
        <v>34</v>
      </c>
      <c r="F100" s="3001" t="s">
        <v>8288</v>
      </c>
      <c r="G100" s="3001"/>
      <c r="H100" s="3001"/>
      <c r="I100" s="3001"/>
      <c r="J100" s="162">
        <v>34</v>
      </c>
      <c r="K100" s="729">
        <f>SUM(sheet11.DeductUs32_1_iii,sheet11.DeductUs32AD,sheet11.DebPLUs35ExcessAmt,sheet11.AmtDisallUs40NowAllow,sheet11.AmtDisallUs43BNowAllow,sheet11.AnyOthAmtAllDeduct,BP.DecPIncL)</f>
        <v>0</v>
      </c>
      <c r="L100" s="1136"/>
    </row>
    <row r="101" spans="2:12" s="113" customFormat="1" ht="12" customHeight="1" x14ac:dyDescent="0.2">
      <c r="B101" s="1121"/>
      <c r="C101" s="1043"/>
      <c r="D101" s="439"/>
      <c r="E101" s="188">
        <v>35</v>
      </c>
      <c r="F101" s="3001" t="s">
        <v>8289</v>
      </c>
      <c r="G101" s="3001"/>
      <c r="H101" s="3001"/>
      <c r="I101" s="3001"/>
      <c r="J101" s="162">
        <v>35</v>
      </c>
      <c r="K101" s="729">
        <f>(K61+K88-K100)</f>
        <v>0</v>
      </c>
      <c r="L101" s="1136"/>
    </row>
    <row r="102" spans="2:12" s="113" customFormat="1" ht="12.75" customHeight="1" x14ac:dyDescent="0.2">
      <c r="B102" s="1121"/>
      <c r="C102" s="1043"/>
      <c r="D102" s="444"/>
      <c r="E102" s="150">
        <v>36</v>
      </c>
      <c r="F102" s="2995" t="s">
        <v>794</v>
      </c>
      <c r="G102" s="2999"/>
      <c r="H102" s="2999"/>
      <c r="I102" s="2999"/>
      <c r="J102" s="440"/>
      <c r="K102" s="441"/>
      <c r="L102" s="1136"/>
    </row>
    <row r="103" spans="2:12" s="113" customFormat="1" ht="12.75" customHeight="1" x14ac:dyDescent="0.2">
      <c r="B103" s="1121"/>
      <c r="C103" s="1043"/>
      <c r="D103" s="444"/>
      <c r="E103" s="186"/>
      <c r="F103" s="456" t="s">
        <v>287</v>
      </c>
      <c r="G103" s="732" t="s">
        <v>9434</v>
      </c>
      <c r="H103" s="28" t="s">
        <v>495</v>
      </c>
      <c r="I103" s="729">
        <f>PL_61ii</f>
        <v>0</v>
      </c>
      <c r="J103" s="3337"/>
      <c r="K103" s="3338"/>
      <c r="L103" s="1136"/>
    </row>
    <row r="104" spans="2:12" s="113" customFormat="1" ht="12.75" customHeight="1" x14ac:dyDescent="0.2">
      <c r="B104" s="1121"/>
      <c r="C104" s="1043"/>
      <c r="D104" s="444"/>
      <c r="E104" s="186"/>
      <c r="F104" s="456" t="s">
        <v>290</v>
      </c>
      <c r="G104" s="732" t="s">
        <v>9435</v>
      </c>
      <c r="H104" s="456" t="s">
        <v>496</v>
      </c>
      <c r="I104" s="729">
        <f>PL_62ii</f>
        <v>0</v>
      </c>
      <c r="J104" s="3337"/>
      <c r="K104" s="3338"/>
      <c r="L104" s="1136"/>
    </row>
    <row r="105" spans="2:12" s="113" customFormat="1" ht="12.75" customHeight="1" x14ac:dyDescent="0.2">
      <c r="B105" s="1121"/>
      <c r="C105" s="1043"/>
      <c r="D105" s="444"/>
      <c r="E105" s="186"/>
      <c r="F105" s="456" t="s">
        <v>293</v>
      </c>
      <c r="G105" s="732" t="s">
        <v>9436</v>
      </c>
      <c r="H105" s="456" t="s">
        <v>497</v>
      </c>
      <c r="I105" s="729">
        <f>PL_63ii</f>
        <v>0</v>
      </c>
      <c r="J105" s="3337"/>
      <c r="K105" s="3338"/>
      <c r="L105" s="1136"/>
    </row>
    <row r="106" spans="2:12" s="113" customFormat="1" ht="12.75" customHeight="1" x14ac:dyDescent="0.2">
      <c r="B106" s="1121"/>
      <c r="C106" s="1043"/>
      <c r="D106" s="444"/>
      <c r="E106" s="186"/>
      <c r="F106" s="456" t="s">
        <v>296</v>
      </c>
      <c r="G106" s="732" t="s">
        <v>795</v>
      </c>
      <c r="H106" s="456" t="s">
        <v>499</v>
      </c>
      <c r="I106" s="391"/>
      <c r="J106" s="3337"/>
      <c r="K106" s="3338"/>
      <c r="L106" s="1136"/>
    </row>
    <row r="107" spans="2:12" s="113" customFormat="1" ht="12.75" customHeight="1" x14ac:dyDescent="0.2">
      <c r="B107" s="1121"/>
      <c r="C107" s="1043"/>
      <c r="D107" s="444"/>
      <c r="E107" s="186"/>
      <c r="F107" s="456" t="s">
        <v>299</v>
      </c>
      <c r="G107" s="732" t="s">
        <v>796</v>
      </c>
      <c r="H107" s="456" t="s">
        <v>501</v>
      </c>
      <c r="I107" s="391"/>
      <c r="J107" s="3337"/>
      <c r="K107" s="3338"/>
      <c r="L107" s="1136"/>
    </row>
    <row r="108" spans="2:12" s="113" customFormat="1" ht="12" customHeight="1" x14ac:dyDescent="0.2">
      <c r="B108" s="1121"/>
      <c r="C108" s="1043"/>
      <c r="D108" s="444"/>
      <c r="E108" s="186"/>
      <c r="F108" s="456" t="s">
        <v>430</v>
      </c>
      <c r="G108" s="732" t="s">
        <v>797</v>
      </c>
      <c r="H108" s="456" t="s">
        <v>502</v>
      </c>
      <c r="I108" s="391"/>
      <c r="J108" s="3337"/>
      <c r="K108" s="3338"/>
      <c r="L108" s="1136"/>
    </row>
    <row r="109" spans="2:12" s="113" customFormat="1" ht="12.75" hidden="1" customHeight="1" x14ac:dyDescent="0.2">
      <c r="B109" s="1121"/>
      <c r="C109" s="1043"/>
      <c r="D109" s="444"/>
      <c r="E109" s="186"/>
      <c r="F109" s="456" t="s">
        <v>432</v>
      </c>
      <c r="G109" s="732" t="s">
        <v>798</v>
      </c>
      <c r="H109" s="456" t="s">
        <v>8252</v>
      </c>
      <c r="I109" s="391"/>
      <c r="J109" s="3337"/>
      <c r="K109" s="3338"/>
      <c r="L109" s="1136"/>
    </row>
    <row r="110" spans="2:12" s="113" customFormat="1" ht="12.75" hidden="1" customHeight="1" x14ac:dyDescent="0.2">
      <c r="B110" s="1121"/>
      <c r="C110" s="1043"/>
      <c r="D110" s="444"/>
      <c r="E110" s="186"/>
      <c r="F110" s="456" t="s">
        <v>434</v>
      </c>
      <c r="G110" s="732" t="s">
        <v>799</v>
      </c>
      <c r="H110" s="456" t="s">
        <v>8253</v>
      </c>
      <c r="I110" s="391"/>
      <c r="J110" s="3337"/>
      <c r="K110" s="3338"/>
      <c r="L110" s="1136"/>
    </row>
    <row r="111" spans="2:12" s="113" customFormat="1" ht="12.75" customHeight="1" x14ac:dyDescent="0.2">
      <c r="B111" s="1121"/>
      <c r="C111" s="1043"/>
      <c r="D111" s="444"/>
      <c r="E111" s="186"/>
      <c r="F111" s="456" t="s">
        <v>432</v>
      </c>
      <c r="G111" s="732" t="s">
        <v>800</v>
      </c>
      <c r="H111" s="456" t="s">
        <v>8254</v>
      </c>
      <c r="I111" s="391"/>
      <c r="J111" s="3337"/>
      <c r="K111" s="3338"/>
      <c r="L111" s="1136"/>
    </row>
    <row r="112" spans="2:12" s="113" customFormat="1" ht="12.75" hidden="1" customHeight="1" x14ac:dyDescent="0.2">
      <c r="B112" s="1121"/>
      <c r="C112" s="1043"/>
      <c r="D112" s="444"/>
      <c r="E112" s="186"/>
      <c r="F112" s="456" t="s">
        <v>435</v>
      </c>
      <c r="G112" s="112" t="s">
        <v>801</v>
      </c>
      <c r="H112" s="158" t="s">
        <v>437</v>
      </c>
      <c r="I112" s="4"/>
      <c r="J112" s="3337"/>
      <c r="K112" s="3338"/>
      <c r="L112" s="1136"/>
    </row>
    <row r="113" spans="2:13" s="113" customFormat="1" ht="12.75" customHeight="1" x14ac:dyDescent="0.2">
      <c r="B113" s="1121"/>
      <c r="C113" s="1043"/>
      <c r="D113" s="444"/>
      <c r="E113" s="455"/>
      <c r="F113" s="296" t="s">
        <v>434</v>
      </c>
      <c r="G113" s="3001" t="s">
        <v>9437</v>
      </c>
      <c r="H113" s="3001"/>
      <c r="I113" s="3001"/>
      <c r="J113" s="162" t="s">
        <v>8253</v>
      </c>
      <c r="K113" s="729">
        <f>MAX(0,SUM(sheet11.Section44AD,sheet11.Section44AE,sheet11.Section44B,Sheet11.Section44BB,sheet11.Section44BBA,sheet12.Section44DA,sheet11.Section44ADA))</f>
        <v>0</v>
      </c>
      <c r="L113" s="1136"/>
    </row>
    <row r="114" spans="2:13" s="113" customFormat="1" ht="15" hidden="1" customHeight="1" x14ac:dyDescent="0.2">
      <c r="B114" s="1121"/>
      <c r="C114" s="1043"/>
      <c r="D114" s="439"/>
      <c r="E114" s="457">
        <v>34</v>
      </c>
      <c r="F114" s="3117" t="s">
        <v>802</v>
      </c>
      <c r="G114" s="3117"/>
      <c r="H114" s="3117"/>
      <c r="I114" s="3117"/>
      <c r="J114" s="162">
        <v>34</v>
      </c>
      <c r="K114" s="3">
        <v>0</v>
      </c>
      <c r="L114" s="1136"/>
    </row>
    <row r="115" spans="2:13" s="113" customFormat="1" ht="15" hidden="1" customHeight="1" x14ac:dyDescent="0.2">
      <c r="B115" s="1121"/>
      <c r="C115" s="1043"/>
      <c r="D115" s="444"/>
      <c r="E115" s="150">
        <v>35</v>
      </c>
      <c r="F115" s="3341" t="s">
        <v>11848</v>
      </c>
      <c r="G115" s="3342"/>
      <c r="H115" s="158"/>
      <c r="I115" s="174"/>
      <c r="J115" s="3032"/>
      <c r="K115" s="3033"/>
      <c r="L115" s="1136"/>
    </row>
    <row r="116" spans="2:13" s="113" customFormat="1" ht="15" hidden="1" customHeight="1" x14ac:dyDescent="0.2">
      <c r="B116" s="1121"/>
      <c r="C116" s="1043"/>
      <c r="D116" s="444"/>
      <c r="E116" s="186"/>
      <c r="F116" s="176" t="s">
        <v>287</v>
      </c>
      <c r="G116" s="190" t="s">
        <v>803</v>
      </c>
      <c r="H116" s="162" t="s">
        <v>804</v>
      </c>
      <c r="I116" s="3">
        <v>0</v>
      </c>
      <c r="J116" s="3034"/>
      <c r="K116" s="3035"/>
      <c r="L116" s="1136"/>
    </row>
    <row r="117" spans="2:13" s="113" customFormat="1" ht="15" hidden="1" customHeight="1" x14ac:dyDescent="0.2">
      <c r="B117" s="1121"/>
      <c r="C117" s="1043"/>
      <c r="D117" s="444"/>
      <c r="E117" s="186"/>
      <c r="F117" s="176" t="s">
        <v>290</v>
      </c>
      <c r="G117" s="190" t="s">
        <v>805</v>
      </c>
      <c r="H117" s="162" t="s">
        <v>806</v>
      </c>
      <c r="I117" s="3">
        <v>0</v>
      </c>
      <c r="J117" s="3034"/>
      <c r="K117" s="3035"/>
      <c r="L117" s="1136"/>
    </row>
    <row r="118" spans="2:13" s="113" customFormat="1" ht="15" hidden="1" customHeight="1" x14ac:dyDescent="0.2">
      <c r="B118" s="1121"/>
      <c r="C118" s="1043"/>
      <c r="D118" s="444"/>
      <c r="E118" s="186"/>
      <c r="F118" s="176" t="s">
        <v>293</v>
      </c>
      <c r="G118" s="190" t="s">
        <v>807</v>
      </c>
      <c r="H118" s="162" t="s">
        <v>808</v>
      </c>
      <c r="I118" s="3">
        <v>0</v>
      </c>
      <c r="J118" s="3034"/>
      <c r="K118" s="3035"/>
      <c r="L118" s="1136"/>
    </row>
    <row r="119" spans="2:13" s="113" customFormat="1" ht="15" hidden="1" customHeight="1" x14ac:dyDescent="0.2">
      <c r="B119" s="1121"/>
      <c r="C119" s="1043"/>
      <c r="D119" s="444"/>
      <c r="E119" s="186"/>
      <c r="F119" s="176" t="s">
        <v>296</v>
      </c>
      <c r="G119" s="190" t="s">
        <v>809</v>
      </c>
      <c r="H119" s="162" t="s">
        <v>810</v>
      </c>
      <c r="I119" s="3">
        <v>0</v>
      </c>
      <c r="J119" s="3036"/>
      <c r="K119" s="3037"/>
      <c r="L119" s="1136"/>
    </row>
    <row r="120" spans="2:13" s="113" customFormat="1" ht="15" hidden="1" customHeight="1" x14ac:dyDescent="0.2">
      <c r="B120" s="1121"/>
      <c r="C120" s="1043"/>
      <c r="D120" s="444"/>
      <c r="E120" s="455"/>
      <c r="F120" s="176" t="s">
        <v>293</v>
      </c>
      <c r="G120" s="190" t="s">
        <v>811</v>
      </c>
      <c r="H120" s="162"/>
      <c r="I120" s="170"/>
      <c r="J120" s="162" t="s">
        <v>808</v>
      </c>
      <c r="K120" s="3">
        <v>0</v>
      </c>
      <c r="L120" s="1136"/>
    </row>
    <row r="121" spans="2:13" s="113" customFormat="1" ht="26.25" customHeight="1" x14ac:dyDescent="0.2">
      <c r="B121" s="1121"/>
      <c r="C121" s="1043"/>
      <c r="D121" s="439"/>
      <c r="E121" s="1382">
        <v>37</v>
      </c>
      <c r="F121" s="3001" t="s">
        <v>9438</v>
      </c>
      <c r="G121" s="3001"/>
      <c r="H121" s="3001"/>
      <c r="I121" s="3001"/>
      <c r="J121" s="254">
        <v>37</v>
      </c>
      <c r="K121" s="729">
        <f>(sheet11.PLAftAdjDedBusOthThanSpec+sheet12.TotDeemedProfitBusUs)</f>
        <v>0</v>
      </c>
      <c r="L121" s="1136"/>
    </row>
    <row r="122" spans="2:13" s="113" customFormat="1" ht="40.5" customHeight="1" x14ac:dyDescent="0.2">
      <c r="B122" s="1121"/>
      <c r="C122" s="1043"/>
      <c r="D122" s="439"/>
      <c r="E122" s="3333">
        <v>38</v>
      </c>
      <c r="F122" s="2993" t="s">
        <v>9439</v>
      </c>
      <c r="G122" s="2994"/>
      <c r="H122" s="2994"/>
      <c r="I122" s="2995"/>
      <c r="J122" s="254" t="s">
        <v>8290</v>
      </c>
      <c r="K122" s="729">
        <f>SUM(BP_Chargeable_rule7,BP_Chargeable_rule7A,BP_Chargeable_rule7B1,BP_Chargeable_rule7B1A,BP_Chargeable_rule8,BP_Chargeable_ruleOther)</f>
        <v>0</v>
      </c>
      <c r="L122" s="1136"/>
      <c r="M122" s="148"/>
    </row>
    <row r="123" spans="2:13" s="113" customFormat="1" ht="12.75" customHeight="1" x14ac:dyDescent="0.2">
      <c r="B123" s="1121"/>
      <c r="C123" s="1043"/>
      <c r="D123" s="439"/>
      <c r="E123" s="3339"/>
      <c r="F123" s="28" t="s">
        <v>27</v>
      </c>
      <c r="G123" s="1962" t="s">
        <v>9440</v>
      </c>
      <c r="H123" s="28" t="s">
        <v>9446</v>
      </c>
      <c r="I123" s="1372"/>
      <c r="J123" s="1056"/>
      <c r="K123" s="312"/>
      <c r="L123" s="1136"/>
      <c r="M123" s="148"/>
    </row>
    <row r="124" spans="2:13" s="113" customFormat="1" ht="12.75" customHeight="1" x14ac:dyDescent="0.2">
      <c r="B124" s="1121"/>
      <c r="C124" s="1043"/>
      <c r="D124" s="439"/>
      <c r="E124" s="3339"/>
      <c r="F124" s="28" t="s">
        <v>28</v>
      </c>
      <c r="G124" s="1962" t="s">
        <v>9441</v>
      </c>
      <c r="H124" s="28" t="s">
        <v>9447</v>
      </c>
      <c r="I124" s="1372"/>
      <c r="J124" s="1305"/>
      <c r="K124" s="316"/>
      <c r="L124" s="1136"/>
      <c r="M124" s="148"/>
    </row>
    <row r="125" spans="2:13" s="113" customFormat="1" ht="12.75" customHeight="1" x14ac:dyDescent="0.2">
      <c r="B125" s="1121"/>
      <c r="C125" s="1043"/>
      <c r="D125" s="439"/>
      <c r="E125" s="3339"/>
      <c r="F125" s="28" t="s">
        <v>29</v>
      </c>
      <c r="G125" s="1962" t="s">
        <v>9442</v>
      </c>
      <c r="H125" s="28" t="s">
        <v>9448</v>
      </c>
      <c r="I125" s="1372"/>
      <c r="J125" s="1305"/>
      <c r="K125" s="316"/>
      <c r="L125" s="1136"/>
      <c r="M125" s="148"/>
    </row>
    <row r="126" spans="2:13" s="113" customFormat="1" ht="12.75" customHeight="1" x14ac:dyDescent="0.2">
      <c r="B126" s="1121"/>
      <c r="C126" s="1043"/>
      <c r="D126" s="439"/>
      <c r="E126" s="3339"/>
      <c r="F126" s="28" t="s">
        <v>36</v>
      </c>
      <c r="G126" s="1962" t="s">
        <v>9443</v>
      </c>
      <c r="H126" s="28" t="s">
        <v>9449</v>
      </c>
      <c r="I126" s="1372"/>
      <c r="J126" s="1305"/>
      <c r="K126" s="316"/>
      <c r="L126" s="1136"/>
      <c r="M126" s="148"/>
    </row>
    <row r="127" spans="2:13" s="113" customFormat="1" ht="12.75" customHeight="1" x14ac:dyDescent="0.2">
      <c r="B127" s="1121"/>
      <c r="C127" s="1043"/>
      <c r="D127" s="439"/>
      <c r="E127" s="3339"/>
      <c r="F127" s="28" t="s">
        <v>38</v>
      </c>
      <c r="G127" s="1962" t="s">
        <v>9444</v>
      </c>
      <c r="H127" s="28" t="s">
        <v>9450</v>
      </c>
      <c r="I127" s="1372"/>
      <c r="J127" s="1305"/>
      <c r="K127" s="316"/>
      <c r="L127" s="1136"/>
      <c r="M127" s="148"/>
    </row>
    <row r="128" spans="2:13" s="113" customFormat="1" ht="12.75" customHeight="1" x14ac:dyDescent="0.2">
      <c r="B128" s="1121"/>
      <c r="C128" s="1043"/>
      <c r="D128" s="439"/>
      <c r="E128" s="3340"/>
      <c r="F128" s="28" t="s">
        <v>40</v>
      </c>
      <c r="G128" s="1962" t="s">
        <v>9445</v>
      </c>
      <c r="H128" s="28" t="s">
        <v>9451</v>
      </c>
      <c r="I128" s="729">
        <f>sheet12.NetPLAftAdjBusOthThanSpec</f>
        <v>0</v>
      </c>
      <c r="J128" s="1055"/>
      <c r="K128" s="330"/>
      <c r="L128" s="1136"/>
      <c r="M128" s="148"/>
    </row>
    <row r="129" spans="2:13" s="113" customFormat="1" ht="30" customHeight="1" x14ac:dyDescent="0.2">
      <c r="B129" s="1121"/>
      <c r="C129" s="1043"/>
      <c r="D129" s="439"/>
      <c r="E129" s="1299">
        <v>39</v>
      </c>
      <c r="F129" s="2993" t="s">
        <v>9669</v>
      </c>
      <c r="G129" s="2994"/>
      <c r="H129" s="2994"/>
      <c r="I129" s="2995"/>
      <c r="J129" s="274">
        <v>39</v>
      </c>
      <c r="K129" s="1374">
        <f>MAX(0,(BP_4b_TotalProfitFromActivates-SUM(I123:I127)))</f>
        <v>0</v>
      </c>
      <c r="L129" s="1136"/>
      <c r="M129" s="148"/>
    </row>
    <row r="130" spans="2:13" s="113" customFormat="1" ht="12.75" customHeight="1" x14ac:dyDescent="0.2">
      <c r="B130" s="1121"/>
      <c r="C130" s="1043"/>
      <c r="D130" s="437" t="s">
        <v>312</v>
      </c>
      <c r="E130" s="2993" t="s">
        <v>812</v>
      </c>
      <c r="F130" s="2994"/>
      <c r="G130" s="2994"/>
      <c r="H130" s="2994"/>
      <c r="I130" s="2994"/>
      <c r="J130" s="261"/>
      <c r="K130" s="438"/>
      <c r="L130" s="1136"/>
      <c r="M130" s="148"/>
    </row>
    <row r="131" spans="2:13" s="113" customFormat="1" ht="12.75" customHeight="1" x14ac:dyDescent="0.2">
      <c r="B131" s="1121"/>
      <c r="C131" s="1043"/>
      <c r="D131" s="439"/>
      <c r="E131" s="456">
        <v>40</v>
      </c>
      <c r="F131" s="2999" t="s">
        <v>9454</v>
      </c>
      <c r="G131" s="2999"/>
      <c r="H131" s="2999"/>
      <c r="I131" s="2999"/>
      <c r="J131" s="395">
        <v>40</v>
      </c>
      <c r="K131" s="1447">
        <f>(sheet10.NetPLFromSpecBus)</f>
        <v>0</v>
      </c>
      <c r="L131" s="1136"/>
      <c r="M131" s="148"/>
    </row>
    <row r="132" spans="2:13" s="113" customFormat="1" ht="12.75" customHeight="1" x14ac:dyDescent="0.2">
      <c r="B132" s="1121"/>
      <c r="C132" s="1043"/>
      <c r="D132" s="439"/>
      <c r="E132" s="456">
        <v>41</v>
      </c>
      <c r="F132" s="2999" t="s">
        <v>813</v>
      </c>
      <c r="G132" s="2999"/>
      <c r="H132" s="2999"/>
      <c r="I132" s="2999"/>
      <c r="J132" s="28">
        <v>41</v>
      </c>
      <c r="K132" s="391"/>
      <c r="L132" s="1136"/>
      <c r="M132" s="148"/>
    </row>
    <row r="133" spans="2:13" s="113" customFormat="1" ht="12.75" customHeight="1" x14ac:dyDescent="0.2">
      <c r="B133" s="1121"/>
      <c r="C133" s="1043"/>
      <c r="D133" s="452"/>
      <c r="E133" s="456">
        <v>42</v>
      </c>
      <c r="F133" s="2999" t="s">
        <v>814</v>
      </c>
      <c r="G133" s="2999"/>
      <c r="H133" s="2999"/>
      <c r="I133" s="2999"/>
      <c r="J133" s="28">
        <v>42</v>
      </c>
      <c r="K133" s="391"/>
      <c r="L133" s="1136"/>
      <c r="M133" s="148"/>
    </row>
    <row r="134" spans="2:13" s="113" customFormat="1" ht="25.5" customHeight="1" x14ac:dyDescent="0.2">
      <c r="B134" s="1121"/>
      <c r="C134" s="1043"/>
      <c r="D134" s="452"/>
      <c r="E134" s="296">
        <v>43</v>
      </c>
      <c r="F134" s="3001" t="s">
        <v>13070</v>
      </c>
      <c r="G134" s="3001"/>
      <c r="H134" s="3001"/>
      <c r="I134" s="3001"/>
      <c r="J134" s="269" t="s">
        <v>9452</v>
      </c>
      <c r="K134" s="1449">
        <f>(sheet12.NetPLFrmSpecBus+sheet12.AdditionUs28to44DA-sheet12.DeductUs28to44DA)</f>
        <v>0</v>
      </c>
      <c r="L134" s="1136"/>
      <c r="M134" s="148"/>
    </row>
    <row r="135" spans="2:13" s="113" customFormat="1" ht="12.75" customHeight="1" x14ac:dyDescent="0.2">
      <c r="B135" s="1121"/>
      <c r="C135" s="1043"/>
      <c r="D135" s="150" t="s">
        <v>315</v>
      </c>
      <c r="E135" s="2994" t="s">
        <v>815</v>
      </c>
      <c r="F135" s="2994"/>
      <c r="G135" s="2994"/>
      <c r="H135" s="2994"/>
      <c r="I135" s="2994"/>
      <c r="J135" s="2994"/>
      <c r="K135" s="2995"/>
      <c r="L135" s="1136"/>
    </row>
    <row r="136" spans="2:13" s="113" customFormat="1" ht="13.5" customHeight="1" x14ac:dyDescent="0.2">
      <c r="B136" s="1121"/>
      <c r="C136" s="1043"/>
      <c r="D136" s="186"/>
      <c r="E136" s="456">
        <v>44</v>
      </c>
      <c r="F136" s="2999" t="s">
        <v>816</v>
      </c>
      <c r="G136" s="2999"/>
      <c r="H136" s="2999"/>
      <c r="I136" s="2999"/>
      <c r="J136" s="395">
        <v>44</v>
      </c>
      <c r="K136" s="1447">
        <f>(sheet10.NetPLFromSpecifiedBus)</f>
        <v>0</v>
      </c>
      <c r="L136" s="1136"/>
    </row>
    <row r="137" spans="2:13" s="113" customFormat="1" ht="12" customHeight="1" x14ac:dyDescent="0.2">
      <c r="B137" s="1121"/>
      <c r="C137" s="1043"/>
      <c r="D137" s="186"/>
      <c r="E137" s="456">
        <v>45</v>
      </c>
      <c r="F137" s="2999" t="s">
        <v>813</v>
      </c>
      <c r="G137" s="2999"/>
      <c r="H137" s="2999"/>
      <c r="I137" s="2999"/>
      <c r="J137" s="28">
        <v>45</v>
      </c>
      <c r="K137" s="391"/>
      <c r="L137" s="1136"/>
    </row>
    <row r="138" spans="2:13" s="113" customFormat="1" ht="33.75" customHeight="1" x14ac:dyDescent="0.2">
      <c r="B138" s="1121"/>
      <c r="C138" s="1043"/>
      <c r="D138" s="186"/>
      <c r="E138" s="456">
        <v>46</v>
      </c>
      <c r="F138" s="2999" t="s">
        <v>817</v>
      </c>
      <c r="G138" s="2999"/>
      <c r="H138" s="2999"/>
      <c r="I138" s="2999"/>
      <c r="J138" s="28">
        <v>46</v>
      </c>
      <c r="K138" s="391"/>
      <c r="L138" s="1136"/>
    </row>
    <row r="139" spans="2:13" s="113" customFormat="1" ht="12.75" customHeight="1" x14ac:dyDescent="0.2">
      <c r="B139" s="1121"/>
      <c r="C139" s="1043"/>
      <c r="D139" s="186"/>
      <c r="E139" s="296">
        <v>47</v>
      </c>
      <c r="F139" s="3001" t="s">
        <v>9455</v>
      </c>
      <c r="G139" s="3001"/>
      <c r="H139" s="3001"/>
      <c r="I139" s="3001"/>
      <c r="J139" s="28">
        <v>47</v>
      </c>
      <c r="K139" s="1448">
        <f>(sheet12.NetPLFrmSpecifiedBus+sheet12.AddSec2844DA-sheet12.DedSec2844DA)</f>
        <v>0</v>
      </c>
      <c r="L139" s="1136"/>
    </row>
    <row r="140" spans="2:13" s="113" customFormat="1" ht="12" customHeight="1" x14ac:dyDescent="0.2">
      <c r="B140" s="1121"/>
      <c r="C140" s="1043"/>
      <c r="D140" s="186"/>
      <c r="E140" s="296">
        <v>48</v>
      </c>
      <c r="F140" s="3001" t="s">
        <v>8294</v>
      </c>
      <c r="G140" s="3001"/>
      <c r="H140" s="3001"/>
      <c r="I140" s="3001"/>
      <c r="J140" s="28">
        <v>48</v>
      </c>
      <c r="K140" s="2646"/>
      <c r="L140" s="1136"/>
    </row>
    <row r="141" spans="2:13" s="113" customFormat="1" ht="12" hidden="1" customHeight="1" x14ac:dyDescent="0.2">
      <c r="B141" s="1121"/>
      <c r="C141" s="1043"/>
      <c r="D141" s="186"/>
      <c r="E141" s="1304"/>
      <c r="F141" s="1340" t="s">
        <v>27</v>
      </c>
      <c r="G141" s="2993" t="s">
        <v>7944</v>
      </c>
      <c r="H141" s="2994"/>
      <c r="I141" s="2995"/>
      <c r="J141" s="158" t="s">
        <v>7946</v>
      </c>
      <c r="K141" s="2627"/>
      <c r="L141" s="1136"/>
    </row>
    <row r="142" spans="2:13" s="113" customFormat="1" ht="12" hidden="1" customHeight="1" x14ac:dyDescent="0.2">
      <c r="B142" s="1121"/>
      <c r="C142" s="1043"/>
      <c r="D142" s="186"/>
      <c r="E142" s="1302"/>
      <c r="F142" s="1340" t="s">
        <v>28</v>
      </c>
      <c r="G142" s="2993" t="s">
        <v>7945</v>
      </c>
      <c r="H142" s="2994"/>
      <c r="I142" s="2995"/>
      <c r="J142" s="158" t="s">
        <v>7947</v>
      </c>
      <c r="K142" s="438"/>
      <c r="L142" s="1136"/>
    </row>
    <row r="143" spans="2:13" s="113" customFormat="1" ht="23.25" customHeight="1" x14ac:dyDescent="0.2">
      <c r="B143" s="1121"/>
      <c r="C143" s="1043"/>
      <c r="D143" s="153"/>
      <c r="E143" s="1382">
        <v>49</v>
      </c>
      <c r="F143" s="3001" t="s">
        <v>13071</v>
      </c>
      <c r="G143" s="3001"/>
      <c r="H143" s="3001"/>
      <c r="I143" s="3001"/>
      <c r="J143" s="162" t="s">
        <v>9453</v>
      </c>
      <c r="K143" s="1448">
        <f>(sheet12.ProfLossFromSpecifiedBus-sheet12.DeductUs35AD)</f>
        <v>0</v>
      </c>
      <c r="L143" s="1136"/>
    </row>
    <row r="144" spans="2:13" s="113" customFormat="1" ht="12.75" x14ac:dyDescent="0.2">
      <c r="B144" s="1121"/>
      <c r="C144" s="1058"/>
      <c r="D144" s="153"/>
      <c r="E144" s="1051">
        <v>50</v>
      </c>
      <c r="F144" s="3329" t="s">
        <v>8371</v>
      </c>
      <c r="G144" s="3330"/>
      <c r="H144" s="3331"/>
      <c r="I144" s="3331"/>
      <c r="J144" s="3331"/>
      <c r="K144" s="3332"/>
      <c r="L144" s="1136"/>
    </row>
    <row r="145" spans="2:16" s="113" customFormat="1" ht="32.25" customHeight="1" x14ac:dyDescent="0.2">
      <c r="B145" s="1121"/>
      <c r="C145" s="1058"/>
      <c r="D145" s="155"/>
      <c r="E145" s="1053"/>
      <c r="F145" s="2629">
        <v>1</v>
      </c>
      <c r="G145" s="2096" t="s">
        <v>12</v>
      </c>
      <c r="H145" s="1056"/>
      <c r="I145" s="1057"/>
      <c r="J145" s="1057"/>
      <c r="K145" s="312"/>
      <c r="L145" s="1136"/>
      <c r="N145" s="113" t="str" cm="1">
        <f t="array" ref="N145">MID(EI.Drpdn,1,4)</f>
        <v>(Sel</v>
      </c>
    </row>
    <row r="146" spans="2:16" s="113" customFormat="1" ht="32.25" customHeight="1" x14ac:dyDescent="0.2">
      <c r="B146" s="1121"/>
      <c r="C146" s="1058"/>
      <c r="D146" s="155"/>
      <c r="E146" s="1053"/>
      <c r="F146" s="2662">
        <v>2</v>
      </c>
      <c r="G146" s="2096" t="s">
        <v>12</v>
      </c>
      <c r="H146" s="1056"/>
      <c r="I146" s="1057"/>
      <c r="J146" s="1057"/>
      <c r="K146" s="312"/>
      <c r="L146" s="1136"/>
      <c r="N146" s="113" t="str" cm="1">
        <f t="array" ref="N146:N147">MID(EI.Drpdn,1,4)</f>
        <v>(Sel</v>
      </c>
    </row>
    <row r="147" spans="2:16" s="113" customFormat="1" ht="27.75" customHeight="1" x14ac:dyDescent="0.2">
      <c r="B147" s="1121"/>
      <c r="C147" s="1058"/>
      <c r="D147" s="155"/>
      <c r="E147" s="1052"/>
      <c r="F147" s="3333"/>
      <c r="G147" s="3334"/>
      <c r="H147" s="1305"/>
      <c r="I147" s="1435"/>
      <c r="J147" s="1054"/>
      <c r="K147" s="330"/>
      <c r="L147" s="1136"/>
      <c r="N147" s="113" t="str">
        <v>(Sel</v>
      </c>
    </row>
    <row r="148" spans="2:16" s="113" customFormat="1" ht="26.25" customHeight="1" x14ac:dyDescent="0.2">
      <c r="B148" s="1121"/>
      <c r="C148" s="1043"/>
      <c r="D148" s="254" t="s">
        <v>355</v>
      </c>
      <c r="E148" s="3004" t="s">
        <v>9456</v>
      </c>
      <c r="F148" s="3005"/>
      <c r="G148" s="3005"/>
      <c r="H148" s="3005"/>
      <c r="I148" s="3008"/>
      <c r="J148" s="1434" t="s">
        <v>355</v>
      </c>
      <c r="K148" s="1447">
        <f>MAX(0,sheet12.AdjustedPLFrmSpecifiedBus)+MAX(0,sheet12.AdjustedPLFrmSpecuBus)+sheet12.NetPLBusOthThanSpec7A7B7C</f>
        <v>0</v>
      </c>
      <c r="L148" s="1136"/>
    </row>
    <row r="149" spans="2:16" s="113" customFormat="1" ht="19.5" hidden="1" customHeight="1" x14ac:dyDescent="0.2">
      <c r="B149" s="1121"/>
      <c r="C149" s="1043"/>
      <c r="D149" s="3327" t="s">
        <v>819</v>
      </c>
      <c r="E149" s="3328"/>
      <c r="F149" s="3328"/>
      <c r="G149" s="3328"/>
      <c r="H149" s="3328"/>
      <c r="I149" s="3328"/>
      <c r="J149" s="3328"/>
      <c r="K149" s="3328"/>
      <c r="L149" s="1136"/>
    </row>
    <row r="150" spans="2:16" s="113" customFormat="1" ht="12" hidden="1" customHeight="1" x14ac:dyDescent="0.2">
      <c r="B150" s="1121"/>
      <c r="C150" s="1043"/>
      <c r="D150" s="799"/>
      <c r="E150" s="1163"/>
      <c r="F150" s="799"/>
      <c r="G150" s="799"/>
      <c r="H150" s="1164"/>
      <c r="I150" s="1163"/>
      <c r="J150" s="1163"/>
      <c r="K150" s="799"/>
      <c r="L150" s="1136"/>
    </row>
    <row r="151" spans="2:16" s="113" customFormat="1" ht="9" hidden="1" customHeight="1" x14ac:dyDescent="0.2">
      <c r="B151" s="1121"/>
      <c r="C151" s="1043"/>
      <c r="D151" s="799"/>
      <c r="E151" s="1163"/>
      <c r="F151" s="799"/>
      <c r="G151" s="799"/>
      <c r="H151" s="799"/>
      <c r="I151" s="1163"/>
      <c r="J151" s="1163"/>
      <c r="K151" s="799"/>
      <c r="L151" s="1136"/>
    </row>
    <row r="152" spans="2:16" s="113" customFormat="1" ht="10.5" hidden="1" customHeight="1" x14ac:dyDescent="0.2">
      <c r="B152" s="1121"/>
      <c r="C152" s="1043"/>
      <c r="D152" s="799"/>
      <c r="E152" s="1163"/>
      <c r="F152" s="799"/>
      <c r="G152" s="799"/>
      <c r="H152" s="799"/>
      <c r="I152" s="1163"/>
      <c r="J152" s="1163"/>
      <c r="K152" s="799"/>
      <c r="L152" s="1136"/>
    </row>
    <row r="153" spans="2:16" s="113" customFormat="1" ht="3.75" hidden="1" customHeight="1" x14ac:dyDescent="0.2">
      <c r="B153" s="1121"/>
      <c r="C153" s="1043"/>
      <c r="D153" s="799"/>
      <c r="E153" s="1163"/>
      <c r="F153" s="799"/>
      <c r="G153" s="799"/>
      <c r="H153" s="799"/>
      <c r="I153" s="1163"/>
      <c r="J153" s="1163"/>
      <c r="K153" s="799"/>
      <c r="L153" s="1136"/>
    </row>
    <row r="154" spans="2:16" s="113" customFormat="1" ht="12.75" customHeight="1" x14ac:dyDescent="0.2">
      <c r="B154" s="1121"/>
      <c r="C154" s="1043"/>
      <c r="D154" s="176" t="s">
        <v>358</v>
      </c>
      <c r="E154" s="3324" t="s">
        <v>820</v>
      </c>
      <c r="F154" s="3325"/>
      <c r="G154" s="3325"/>
      <c r="H154" s="3325"/>
      <c r="I154" s="3325"/>
      <c r="J154" s="3325"/>
      <c r="K154" s="3326"/>
      <c r="L154" s="1136"/>
    </row>
    <row r="155" spans="2:16" s="117" customFormat="1" ht="6" hidden="1" customHeight="1" x14ac:dyDescent="0.2">
      <c r="B155" s="1135"/>
      <c r="C155" s="1043"/>
      <c r="D155" s="392"/>
      <c r="E155" s="475"/>
      <c r="F155" s="392"/>
      <c r="G155" s="392"/>
      <c r="H155" s="392"/>
      <c r="I155" s="475"/>
      <c r="J155" s="475"/>
      <c r="K155" s="392"/>
      <c r="L155" s="1136"/>
      <c r="P155" s="117" t="s">
        <v>1319</v>
      </c>
    </row>
    <row r="156" spans="2:16" s="113" customFormat="1" ht="43.5" customHeight="1" x14ac:dyDescent="0.2">
      <c r="B156" s="1121"/>
      <c r="C156" s="1043"/>
      <c r="D156" s="3263" t="s">
        <v>8798</v>
      </c>
      <c r="E156" s="3323"/>
      <c r="F156" s="3264"/>
      <c r="G156" s="1342" t="s">
        <v>7211</v>
      </c>
      <c r="H156" s="348"/>
      <c r="I156" s="1299" t="s">
        <v>7210</v>
      </c>
      <c r="J156" s="1965"/>
      <c r="K156" s="456" t="s">
        <v>821</v>
      </c>
      <c r="L156" s="1136"/>
      <c r="O156" s="113" t="s">
        <v>1320</v>
      </c>
      <c r="P156" s="446">
        <v>0</v>
      </c>
    </row>
    <row r="157" spans="2:16" s="113" customFormat="1" ht="57.75" customHeight="1" x14ac:dyDescent="0.2">
      <c r="B157" s="1121"/>
      <c r="C157" s="1043"/>
      <c r="D157" s="2993" t="s">
        <v>822</v>
      </c>
      <c r="E157" s="2994"/>
      <c r="F157" s="2995"/>
      <c r="G157" s="1436"/>
      <c r="H157" s="207"/>
      <c r="I157" s="1440">
        <f>ABS(MIN(0,sheet12.NetPLBusOthThanSpec7A7B7C))</f>
        <v>0</v>
      </c>
      <c r="J157" s="110"/>
      <c r="K157" s="1442"/>
      <c r="L157" s="1136"/>
      <c r="O157" s="113" t="s">
        <v>1321</v>
      </c>
      <c r="P157" s="113">
        <f>(TempBussLoss-sheet12.IncOfCurYrUnderThatHeada)</f>
        <v>0</v>
      </c>
    </row>
    <row r="158" spans="2:16" s="113" customFormat="1" ht="44.25" customHeight="1" x14ac:dyDescent="0.2">
      <c r="B158" s="1121"/>
      <c r="C158" s="1043"/>
      <c r="D158" s="2993" t="s">
        <v>823</v>
      </c>
      <c r="E158" s="2994"/>
      <c r="F158" s="2995"/>
      <c r="G158" s="1437">
        <f>MAX(0,sheet12.AdjustedPLFrmSpecuBus)</f>
        <v>0</v>
      </c>
      <c r="H158" s="207"/>
      <c r="I158" s="460">
        <f>MIN(sheet12.LossSetOffOnBusLoss,sheet12.IncOfCurYrUnderThatHeada)</f>
        <v>0</v>
      </c>
      <c r="J158" s="110"/>
      <c r="K158" s="1443">
        <f>sheet12.IncOfCurYrUnderThatHeada-sheet12.BusLossSetoffa</f>
        <v>0</v>
      </c>
      <c r="L158" s="1136"/>
      <c r="O158" s="113" t="s">
        <v>1322</v>
      </c>
      <c r="P158" s="113">
        <f>(TempAfterSpecSetoff-sheet12.IncOfCurYrUnderThatHeadb)</f>
        <v>0</v>
      </c>
    </row>
    <row r="159" spans="2:16" s="113" customFormat="1" ht="43.5" customHeight="1" x14ac:dyDescent="0.2">
      <c r="B159" s="1121"/>
      <c r="C159" s="1043"/>
      <c r="D159" s="2993" t="s">
        <v>824</v>
      </c>
      <c r="E159" s="2994"/>
      <c r="F159" s="2995"/>
      <c r="G159" s="1438">
        <f>MAX(0,sheet12.AdjustedPLFrmSpecifiedBus)</f>
        <v>0</v>
      </c>
      <c r="H159" s="207"/>
      <c r="I159" s="460">
        <f>MIN((sheet12.LossSetOffOnBusLoss-sheet12.BusLossSetoffa),G159)</f>
        <v>0</v>
      </c>
      <c r="J159" s="110"/>
      <c r="K159" s="1444">
        <f>sheet12.IncOfCurYrUnderThatHeadb-sheet12.BusLossSetoffb</f>
        <v>0</v>
      </c>
      <c r="L159" s="1136"/>
    </row>
    <row r="160" spans="2:16" s="113" customFormat="1" ht="31.5" customHeight="1" x14ac:dyDescent="0.2">
      <c r="B160" s="1121"/>
      <c r="C160" s="1043"/>
      <c r="D160" s="2993" t="s">
        <v>825</v>
      </c>
      <c r="E160" s="2994"/>
      <c r="F160" s="2995"/>
      <c r="G160" s="1439"/>
      <c r="H160" s="207"/>
      <c r="I160" s="460">
        <f>SUM(I158:I159)</f>
        <v>0</v>
      </c>
      <c r="J160" s="110"/>
      <c r="K160" s="1445"/>
      <c r="L160" s="1136"/>
    </row>
    <row r="161" spans="2:12" s="113" customFormat="1" ht="45" customHeight="1" x14ac:dyDescent="0.2">
      <c r="B161" s="1121"/>
      <c r="C161" s="1044"/>
      <c r="D161" s="2993" t="s">
        <v>826</v>
      </c>
      <c r="E161" s="2994"/>
      <c r="F161" s="2995"/>
      <c r="G161" s="1439"/>
      <c r="H161" s="208"/>
      <c r="I161" s="1441">
        <f>MAX(sheet12.LossSetOffOnBusLoss-sheet12.TotLossSetOffOnBus)</f>
        <v>0</v>
      </c>
      <c r="J161" s="461"/>
      <c r="K161" s="1446"/>
      <c r="L161" s="1136"/>
    </row>
    <row r="162" spans="2:12" s="113" customFormat="1" ht="25.5" customHeight="1" x14ac:dyDescent="0.2">
      <c r="B162" s="1121"/>
      <c r="C162" s="848"/>
      <c r="D162" s="3047" t="s">
        <v>8160</v>
      </c>
      <c r="E162" s="3335"/>
      <c r="F162" s="3335"/>
      <c r="G162" s="3335"/>
      <c r="H162" s="3335"/>
      <c r="I162" s="3335"/>
      <c r="J162" s="3335"/>
      <c r="K162" s="3336"/>
      <c r="L162" s="1136"/>
    </row>
    <row r="163" spans="2:12" s="113" customFormat="1" ht="21.75" customHeight="1" thickBot="1" x14ac:dyDescent="0.25">
      <c r="B163" s="1141"/>
      <c r="C163" s="1165"/>
      <c r="D163" s="1165"/>
      <c r="E163" s="1165"/>
      <c r="F163" s="1165"/>
      <c r="G163" s="1165"/>
      <c r="H163" s="1165"/>
      <c r="I163" s="1165"/>
      <c r="J163" s="1166"/>
      <c r="K163" s="1165"/>
      <c r="L163" s="1167"/>
    </row>
    <row r="164" spans="2:12" s="1572" customFormat="1" ht="33.75" customHeight="1" x14ac:dyDescent="0.2">
      <c r="J164" s="1573"/>
    </row>
    <row r="165" spans="2:12" ht="40.5" hidden="1" customHeight="1" x14ac:dyDescent="0.2"/>
    <row r="166" spans="2:12" ht="40.5" hidden="1" customHeight="1" x14ac:dyDescent="0.2"/>
    <row r="167" spans="2:12" ht="40.5" hidden="1" customHeight="1" x14ac:dyDescent="0.2"/>
    <row r="168" spans="2:12" ht="40.5" hidden="1" customHeight="1" x14ac:dyDescent="0.2"/>
    <row r="169" spans="2:12" ht="40.5" hidden="1" customHeight="1" x14ac:dyDescent="0.2"/>
    <row r="170" spans="2:12" ht="40.5" hidden="1" customHeight="1" x14ac:dyDescent="0.2"/>
    <row r="171" spans="2:12" ht="40.5" hidden="1" customHeight="1" x14ac:dyDescent="0.2"/>
    <row r="172" spans="2:12" ht="40.5" hidden="1" customHeight="1" x14ac:dyDescent="0.2"/>
    <row r="173" spans="2:12" ht="40.5" hidden="1" customHeight="1" x14ac:dyDescent="0.2"/>
    <row r="174" spans="2:12" ht="40.5" hidden="1" customHeight="1" x14ac:dyDescent="0.2"/>
    <row r="175" spans="2:12" ht="40.5" hidden="1" customHeight="1" x14ac:dyDescent="0.2"/>
    <row r="176" spans="2:12" ht="40.5" hidden="1" customHeight="1" x14ac:dyDescent="0.2"/>
    <row r="177" ht="40.5" hidden="1" customHeight="1" x14ac:dyDescent="0.2"/>
    <row r="178" ht="40.5" hidden="1" customHeight="1" x14ac:dyDescent="0.2"/>
    <row r="179" ht="40.5" hidden="1" customHeight="1" x14ac:dyDescent="0.2"/>
    <row r="180" ht="40.5" hidden="1" customHeight="1" x14ac:dyDescent="0.2"/>
    <row r="181" ht="40.5" hidden="1" customHeight="1" x14ac:dyDescent="0.2"/>
    <row r="182" ht="40.5" hidden="1" customHeight="1" x14ac:dyDescent="0.2"/>
    <row r="183" ht="40.5" hidden="1" customHeight="1" x14ac:dyDescent="0.2"/>
    <row r="184" ht="40.5" hidden="1" customHeight="1" x14ac:dyDescent="0.2"/>
    <row r="185" ht="40.5" hidden="1" customHeight="1" x14ac:dyDescent="0.2"/>
    <row r="186" ht="40.5" hidden="1" customHeight="1" x14ac:dyDescent="0.2"/>
    <row r="187" ht="40.5" hidden="1" customHeight="1" x14ac:dyDescent="0.2"/>
    <row r="188" ht="40.5" hidden="1" customHeight="1" x14ac:dyDescent="0.2"/>
    <row r="189" ht="40.5" hidden="1" customHeight="1" x14ac:dyDescent="0.2"/>
    <row r="190" ht="40.5" hidden="1" customHeight="1" x14ac:dyDescent="0.2"/>
    <row r="191" ht="40.5" hidden="1" customHeight="1" x14ac:dyDescent="0.2"/>
    <row r="192" ht="40.5" hidden="1" customHeight="1" x14ac:dyDescent="0.2"/>
    <row r="193" ht="40.5" hidden="1" customHeight="1" x14ac:dyDescent="0.2"/>
    <row r="194" ht="40.5" hidden="1" customHeight="1" x14ac:dyDescent="0.2"/>
    <row r="195" ht="40.5" hidden="1" customHeight="1" x14ac:dyDescent="0.2"/>
    <row r="196" ht="40.5" hidden="1" customHeight="1" x14ac:dyDescent="0.2"/>
    <row r="197" ht="40.5" hidden="1" customHeight="1" x14ac:dyDescent="0.2"/>
    <row r="198" ht="40.5" hidden="1" customHeight="1" x14ac:dyDescent="0.2"/>
    <row r="199" ht="40.5" hidden="1" customHeight="1" x14ac:dyDescent="0.2"/>
    <row r="200" ht="40.5" hidden="1" customHeight="1" x14ac:dyDescent="0.2"/>
    <row r="201" ht="40.5" hidden="1" customHeight="1" x14ac:dyDescent="0.2"/>
    <row r="202" ht="40.5" hidden="1" customHeight="1" x14ac:dyDescent="0.2"/>
    <row r="203" ht="40.5" hidden="1" customHeight="1" x14ac:dyDescent="0.2"/>
    <row r="204" ht="40.5" hidden="1" customHeight="1" x14ac:dyDescent="0.2"/>
    <row r="205" ht="40.5" hidden="1" customHeight="1" x14ac:dyDescent="0.2"/>
    <row r="206" ht="40.5" hidden="1" customHeight="1" x14ac:dyDescent="0.2"/>
    <row r="207" ht="40.5" hidden="1" customHeight="1" x14ac:dyDescent="0.2"/>
    <row r="208" ht="40.5" hidden="1" customHeight="1" x14ac:dyDescent="0.2"/>
    <row r="209" ht="40.5" hidden="1" customHeight="1" x14ac:dyDescent="0.2"/>
    <row r="210" ht="40.5" hidden="1" customHeight="1" x14ac:dyDescent="0.2"/>
    <row r="211" ht="40.5" hidden="1" customHeight="1" x14ac:dyDescent="0.2"/>
    <row r="212" ht="40.5" hidden="1" customHeight="1" x14ac:dyDescent="0.2"/>
    <row r="213" ht="40.5" hidden="1" customHeight="1" x14ac:dyDescent="0.2"/>
    <row r="214" ht="40.5" hidden="1" customHeight="1" x14ac:dyDescent="0.2"/>
    <row r="215" ht="40.5" hidden="1" customHeight="1" x14ac:dyDescent="0.2"/>
    <row r="216" ht="40.5" hidden="1" customHeight="1" x14ac:dyDescent="0.2"/>
    <row r="217" ht="40.5" hidden="1" customHeight="1" x14ac:dyDescent="0.2"/>
    <row r="218" ht="40.5" hidden="1" customHeight="1" x14ac:dyDescent="0.2"/>
    <row r="219" ht="40.5" hidden="1" customHeight="1" x14ac:dyDescent="0.2"/>
    <row r="220" ht="40.5" hidden="1" customHeight="1" x14ac:dyDescent="0.2"/>
    <row r="221" ht="40.5" hidden="1" customHeight="1" x14ac:dyDescent="0.2"/>
    <row r="222" ht="40.5" hidden="1" customHeight="1" x14ac:dyDescent="0.2"/>
    <row r="223" ht="40.5" hidden="1" customHeight="1" x14ac:dyDescent="0.2"/>
    <row r="224" ht="40.5" hidden="1" customHeight="1" x14ac:dyDescent="0.2"/>
    <row r="225" ht="40.5" hidden="1" customHeight="1" x14ac:dyDescent="0.2"/>
    <row r="226" ht="40.5" hidden="1" customHeight="1" x14ac:dyDescent="0.2"/>
    <row r="227" ht="40.5" hidden="1" customHeight="1" x14ac:dyDescent="0.2"/>
    <row r="228" ht="40.5" hidden="1" customHeight="1" x14ac:dyDescent="0.2"/>
    <row r="229" ht="40.5" hidden="1" customHeight="1" x14ac:dyDescent="0.2"/>
    <row r="230" ht="40.5" hidden="1" customHeight="1" x14ac:dyDescent="0.2"/>
    <row r="231" ht="40.5" hidden="1" customHeight="1" x14ac:dyDescent="0.2"/>
    <row r="232" ht="40.5" hidden="1" customHeight="1" x14ac:dyDescent="0.2"/>
    <row r="233" ht="40.5" hidden="1" customHeight="1" x14ac:dyDescent="0.2"/>
    <row r="234" ht="40.5" hidden="1" customHeight="1" x14ac:dyDescent="0.2"/>
    <row r="235" ht="40.5" hidden="1" customHeight="1" x14ac:dyDescent="0.2"/>
    <row r="236" ht="40.5" hidden="1" customHeight="1" x14ac:dyDescent="0.2"/>
    <row r="237" ht="40.5" hidden="1" customHeight="1" x14ac:dyDescent="0.2"/>
    <row r="238" ht="40.5" hidden="1" customHeight="1" x14ac:dyDescent="0.2"/>
    <row r="239" ht="40.5" hidden="1" customHeight="1" x14ac:dyDescent="0.2"/>
    <row r="240" ht="40.5" hidden="1" customHeight="1" x14ac:dyDescent="0.2"/>
    <row r="241" ht="40.5" hidden="1" customHeight="1" x14ac:dyDescent="0.2"/>
    <row r="242" ht="40.5" hidden="1" customHeight="1" x14ac:dyDescent="0.2"/>
    <row r="243" ht="40.5" hidden="1" customHeight="1" x14ac:dyDescent="0.2"/>
    <row r="244" ht="40.5" hidden="1" customHeight="1" x14ac:dyDescent="0.2"/>
    <row r="245" ht="40.5" hidden="1" customHeight="1" x14ac:dyDescent="0.2"/>
    <row r="246" ht="40.5" hidden="1" customHeight="1" x14ac:dyDescent="0.2"/>
    <row r="247" ht="40.5" hidden="1" customHeight="1" x14ac:dyDescent="0.2"/>
    <row r="248" ht="40.5" hidden="1" customHeight="1" x14ac:dyDescent="0.2"/>
    <row r="249" ht="40.5" hidden="1" customHeight="1" x14ac:dyDescent="0.2"/>
    <row r="250" ht="40.5" hidden="1" customHeight="1" x14ac:dyDescent="0.2"/>
    <row r="251" ht="40.5" hidden="1" customHeight="1" x14ac:dyDescent="0.2"/>
    <row r="252" ht="40.5" hidden="1" customHeight="1" x14ac:dyDescent="0.2"/>
    <row r="253" ht="40.5" hidden="1" customHeight="1" x14ac:dyDescent="0.2"/>
    <row r="254" ht="40.5" hidden="1" customHeight="1" x14ac:dyDescent="0.2"/>
    <row r="255" ht="40.5" hidden="1" customHeight="1" x14ac:dyDescent="0.2"/>
    <row r="256" ht="40.5" hidden="1" customHeight="1" x14ac:dyDescent="0.2"/>
    <row r="257" ht="40.5" hidden="1" customHeight="1" x14ac:dyDescent="0.2"/>
    <row r="258" ht="40.5" hidden="1" customHeight="1" x14ac:dyDescent="0.2"/>
    <row r="259" ht="40.5" hidden="1" customHeight="1" x14ac:dyDescent="0.2"/>
    <row r="260" ht="40.5" hidden="1" customHeight="1" x14ac:dyDescent="0.2"/>
    <row r="261" ht="40.5" hidden="1" customHeight="1" x14ac:dyDescent="0.2"/>
    <row r="262" ht="40.5" hidden="1" customHeight="1" x14ac:dyDescent="0.2"/>
    <row r="263" ht="40.5" hidden="1" customHeight="1" x14ac:dyDescent="0.2"/>
    <row r="264" ht="40.5" hidden="1" customHeight="1" x14ac:dyDescent="0.2"/>
    <row r="265" ht="40.5" hidden="1" customHeight="1" x14ac:dyDescent="0.2"/>
    <row r="266" ht="40.5" hidden="1" customHeight="1" x14ac:dyDescent="0.2"/>
    <row r="267" ht="40.5" hidden="1" customHeight="1" x14ac:dyDescent="0.2"/>
    <row r="268" ht="40.5" hidden="1" customHeight="1" x14ac:dyDescent="0.2"/>
    <row r="269" ht="40.5" hidden="1" customHeight="1" x14ac:dyDescent="0.2"/>
    <row r="270" ht="40.5" hidden="1" customHeight="1" x14ac:dyDescent="0.2"/>
    <row r="271" ht="40.5" hidden="1" customHeight="1" x14ac:dyDescent="0.2"/>
    <row r="272" ht="40.5" hidden="1" customHeight="1" x14ac:dyDescent="0.2"/>
    <row r="273" ht="40.5" hidden="1" customHeight="1" x14ac:dyDescent="0.2"/>
    <row r="274" ht="40.5" hidden="1" customHeight="1" x14ac:dyDescent="0.2"/>
    <row r="275" ht="40.5" hidden="1" customHeight="1" x14ac:dyDescent="0.2"/>
    <row r="276" ht="40.5" hidden="1" customHeight="1" x14ac:dyDescent="0.2"/>
    <row r="277" ht="40.5" hidden="1" customHeight="1" x14ac:dyDescent="0.2"/>
    <row r="278" ht="40.5" hidden="1" customHeight="1" x14ac:dyDescent="0.2"/>
    <row r="279" ht="40.5" hidden="1" customHeight="1" x14ac:dyDescent="0.2"/>
    <row r="280" ht="40.5" hidden="1" customHeight="1" x14ac:dyDescent="0.2"/>
    <row r="281" ht="40.5" hidden="1" customHeight="1" x14ac:dyDescent="0.2"/>
    <row r="282" ht="40.5" hidden="1" customHeight="1" x14ac:dyDescent="0.2"/>
    <row r="283" ht="40.5" hidden="1" customHeight="1" x14ac:dyDescent="0.2"/>
    <row r="284" ht="40.5" hidden="1" customHeight="1" x14ac:dyDescent="0.2"/>
    <row r="285" ht="40.5" hidden="1" customHeight="1" x14ac:dyDescent="0.2"/>
    <row r="286" ht="40.5" hidden="1" customHeight="1" x14ac:dyDescent="0.2"/>
    <row r="287" ht="40.5" hidden="1" customHeight="1" x14ac:dyDescent="0.2"/>
    <row r="288" ht="40.5" hidden="1" customHeight="1" x14ac:dyDescent="0.2"/>
    <row r="289" ht="40.5" hidden="1" customHeight="1" x14ac:dyDescent="0.2"/>
    <row r="290" ht="40.5" hidden="1" customHeight="1" x14ac:dyDescent="0.2"/>
    <row r="291" ht="40.5" hidden="1" customHeight="1" x14ac:dyDescent="0.2"/>
    <row r="292" ht="40.5" hidden="1" customHeight="1" x14ac:dyDescent="0.2"/>
    <row r="293" ht="40.5" hidden="1" customHeight="1" x14ac:dyDescent="0.2"/>
    <row r="294" ht="40.5" hidden="1" customHeight="1" x14ac:dyDescent="0.2"/>
    <row r="295" ht="40.5" hidden="1" customHeight="1" x14ac:dyDescent="0.2"/>
    <row r="296" ht="40.5" hidden="1" customHeight="1" x14ac:dyDescent="0.2"/>
    <row r="297" ht="40.5" hidden="1" customHeight="1" x14ac:dyDescent="0.2"/>
    <row r="298" ht="40.5" hidden="1" customHeight="1" x14ac:dyDescent="0.2"/>
    <row r="299" ht="40.5" hidden="1" customHeight="1" x14ac:dyDescent="0.2"/>
    <row r="300" ht="40.5" hidden="1" customHeight="1" x14ac:dyDescent="0.2"/>
    <row r="301" ht="40.5" hidden="1" customHeight="1" x14ac:dyDescent="0.2"/>
    <row r="302" ht="40.5" hidden="1" customHeight="1" x14ac:dyDescent="0.2"/>
    <row r="303" ht="40.5" hidden="1" customHeight="1" x14ac:dyDescent="0.2"/>
    <row r="304" ht="40.5" hidden="1" customHeight="1" x14ac:dyDescent="0.2"/>
    <row r="305" ht="40.5" hidden="1" customHeight="1" x14ac:dyDescent="0.2"/>
    <row r="306" ht="40.5" hidden="1" customHeight="1" x14ac:dyDescent="0.2"/>
    <row r="307" ht="40.5" hidden="1" customHeight="1" x14ac:dyDescent="0.2"/>
    <row r="308" ht="40.5" hidden="1" customHeight="1" x14ac:dyDescent="0.2"/>
    <row r="309" ht="40.5" hidden="1" customHeight="1" x14ac:dyDescent="0.2"/>
    <row r="310" ht="40.5" hidden="1" customHeight="1" x14ac:dyDescent="0.2"/>
    <row r="311" ht="40.5" hidden="1" customHeight="1" x14ac:dyDescent="0.2"/>
    <row r="312" ht="40.5" hidden="1" customHeight="1" x14ac:dyDescent="0.2"/>
    <row r="313" ht="40.5" hidden="1" customHeight="1" x14ac:dyDescent="0.2"/>
    <row r="314" ht="40.5" hidden="1" customHeight="1" x14ac:dyDescent="0.2"/>
    <row r="315" ht="40.5" hidden="1" customHeight="1" x14ac:dyDescent="0.2"/>
    <row r="316" ht="40.5" hidden="1" customHeight="1" x14ac:dyDescent="0.2"/>
    <row r="317" ht="40.5" hidden="1" customHeight="1" x14ac:dyDescent="0.2"/>
    <row r="318" ht="40.5" hidden="1" customHeight="1" x14ac:dyDescent="0.2"/>
    <row r="319" ht="40.5" hidden="1" customHeight="1" x14ac:dyDescent="0.2"/>
    <row r="320" ht="40.5" hidden="1" customHeight="1" x14ac:dyDescent="0.2"/>
    <row r="321" ht="40.5" hidden="1" customHeight="1" x14ac:dyDescent="0.2"/>
    <row r="322" ht="40.5" hidden="1" customHeight="1" x14ac:dyDescent="0.2"/>
    <row r="323" ht="40.5" hidden="1" customHeight="1" x14ac:dyDescent="0.2"/>
    <row r="324" ht="40.5" hidden="1" customHeight="1" x14ac:dyDescent="0.2"/>
    <row r="325" ht="40.5" hidden="1" customHeight="1" x14ac:dyDescent="0.2"/>
    <row r="326" ht="40.5" hidden="1" customHeight="1" x14ac:dyDescent="0.2"/>
    <row r="327" ht="40.5" hidden="1" customHeight="1" x14ac:dyDescent="0.2"/>
    <row r="328" ht="40.5" hidden="1" customHeight="1" x14ac:dyDescent="0.2"/>
    <row r="329" ht="40.5" hidden="1" customHeight="1" x14ac:dyDescent="0.2"/>
    <row r="330" ht="40.5" hidden="1" customHeight="1" x14ac:dyDescent="0.2"/>
    <row r="331" ht="40.5" hidden="1" customHeight="1" x14ac:dyDescent="0.2"/>
    <row r="332" ht="40.5" hidden="1" customHeight="1" x14ac:dyDescent="0.2"/>
    <row r="333" ht="40.5" hidden="1" customHeight="1" x14ac:dyDescent="0.2"/>
    <row r="334" ht="40.5" hidden="1" customHeight="1" x14ac:dyDescent="0.2"/>
    <row r="335" ht="40.5" hidden="1" customHeight="1" x14ac:dyDescent="0.2"/>
    <row r="336" ht="40.5" hidden="1" customHeight="1" x14ac:dyDescent="0.2"/>
    <row r="337" ht="40.5" hidden="1" customHeight="1" x14ac:dyDescent="0.2"/>
    <row r="338" ht="40.5" hidden="1" customHeight="1" x14ac:dyDescent="0.2"/>
    <row r="339" ht="40.5" hidden="1" customHeight="1" x14ac:dyDescent="0.2"/>
    <row r="340" ht="40.5" hidden="1" customHeight="1" x14ac:dyDescent="0.2"/>
    <row r="341" ht="40.5" hidden="1" customHeight="1" x14ac:dyDescent="0.2"/>
    <row r="342" ht="40.5" hidden="1" customHeight="1" x14ac:dyDescent="0.2"/>
    <row r="343" ht="40.5" hidden="1" customHeight="1" x14ac:dyDescent="0.2"/>
    <row r="344" ht="40.5" hidden="1" customHeight="1" x14ac:dyDescent="0.2"/>
    <row r="345" ht="40.5" hidden="1" customHeight="1" x14ac:dyDescent="0.2"/>
    <row r="346" ht="40.5" hidden="1" customHeight="1" x14ac:dyDescent="0.2"/>
    <row r="347" ht="40.5" hidden="1" customHeight="1" x14ac:dyDescent="0.2"/>
    <row r="348" ht="40.5" hidden="1" customHeight="1" x14ac:dyDescent="0.2"/>
    <row r="349" ht="40.5" hidden="1" customHeight="1" x14ac:dyDescent="0.2"/>
    <row r="350" ht="40.5" hidden="1" customHeight="1" x14ac:dyDescent="0.2"/>
    <row r="351" ht="40.5" hidden="1" customHeight="1" x14ac:dyDescent="0.2"/>
    <row r="352" ht="40.5" hidden="1" customHeight="1" x14ac:dyDescent="0.2"/>
    <row r="353" ht="40.5" hidden="1" customHeight="1" x14ac:dyDescent="0.2"/>
    <row r="354" ht="40.5" hidden="1" customHeight="1" x14ac:dyDescent="0.2"/>
    <row r="355" ht="40.5" hidden="1" customHeight="1" x14ac:dyDescent="0.2"/>
    <row r="356" ht="40.5" hidden="1" customHeight="1" x14ac:dyDescent="0.2"/>
    <row r="357" ht="40.5" hidden="1" customHeight="1" x14ac:dyDescent="0.2"/>
    <row r="358" ht="40.5" hidden="1" customHeight="1" x14ac:dyDescent="0.2"/>
    <row r="359" ht="40.5" hidden="1" customHeight="1" x14ac:dyDescent="0.2"/>
    <row r="360" ht="40.5" hidden="1" customHeight="1" x14ac:dyDescent="0.2"/>
    <row r="361" ht="40.5" hidden="1" customHeight="1" x14ac:dyDescent="0.2"/>
    <row r="362" ht="40.5" hidden="1" customHeight="1" x14ac:dyDescent="0.2"/>
    <row r="363" ht="40.5" hidden="1" customHeight="1" x14ac:dyDescent="0.2"/>
    <row r="364" ht="40.5" hidden="1" customHeight="1" x14ac:dyDescent="0.2"/>
    <row r="365" ht="40.5" hidden="1" customHeight="1" x14ac:dyDescent="0.2"/>
    <row r="366" ht="40.5" hidden="1" customHeight="1" x14ac:dyDescent="0.2"/>
    <row r="367" ht="40.5" hidden="1" customHeight="1" x14ac:dyDescent="0.2"/>
    <row r="368" ht="40.5" hidden="1" customHeight="1" x14ac:dyDescent="0.2"/>
    <row r="369" ht="40.5" hidden="1" customHeight="1" x14ac:dyDescent="0.2"/>
    <row r="370" ht="40.5" hidden="1" customHeight="1" x14ac:dyDescent="0.2"/>
    <row r="371" ht="40.5" hidden="1" customHeight="1" x14ac:dyDescent="0.2"/>
    <row r="372" ht="40.5" hidden="1" customHeight="1" x14ac:dyDescent="0.2"/>
    <row r="373" ht="40.5" hidden="1" customHeight="1" x14ac:dyDescent="0.2"/>
    <row r="374" ht="40.5" hidden="1" customHeight="1" x14ac:dyDescent="0.2"/>
    <row r="375" ht="40.5" hidden="1" customHeight="1" x14ac:dyDescent="0.2"/>
    <row r="376" ht="40.5" hidden="1" customHeight="1" x14ac:dyDescent="0.2"/>
    <row r="377" ht="40.5" hidden="1" customHeight="1" x14ac:dyDescent="0.2"/>
    <row r="378" ht="40.5" hidden="1" customHeight="1" x14ac:dyDescent="0.2"/>
    <row r="379" ht="40.5" hidden="1" customHeight="1" x14ac:dyDescent="0.2"/>
    <row r="380" ht="40.5" hidden="1" customHeight="1" x14ac:dyDescent="0.2"/>
    <row r="381" ht="40.5" hidden="1" customHeight="1" x14ac:dyDescent="0.2"/>
    <row r="382" ht="40.5" hidden="1" customHeight="1" x14ac:dyDescent="0.2"/>
    <row r="383" ht="40.5" hidden="1" customHeight="1" x14ac:dyDescent="0.2"/>
    <row r="384" ht="40.5" hidden="1" customHeight="1" x14ac:dyDescent="0.2"/>
    <row r="385" ht="40.5" hidden="1" customHeight="1" x14ac:dyDescent="0.2"/>
    <row r="386" ht="40.5" hidden="1" customHeight="1" x14ac:dyDescent="0.2"/>
    <row r="387" ht="40.5" hidden="1" customHeight="1" x14ac:dyDescent="0.2"/>
    <row r="388" ht="40.5" hidden="1" customHeight="1" x14ac:dyDescent="0.2"/>
    <row r="389" ht="40.5" hidden="1" customHeight="1" x14ac:dyDescent="0.2"/>
    <row r="390" ht="40.5" hidden="1" customHeight="1" x14ac:dyDescent="0.2"/>
    <row r="391" ht="40.5" hidden="1" customHeight="1" x14ac:dyDescent="0.2"/>
    <row r="392" ht="40.5" hidden="1" customHeight="1" x14ac:dyDescent="0.2"/>
    <row r="393" ht="40.5" hidden="1" customHeight="1" x14ac:dyDescent="0.2"/>
    <row r="394" ht="40.5" hidden="1" customHeight="1" x14ac:dyDescent="0.2"/>
    <row r="395" ht="40.5" hidden="1" customHeight="1" x14ac:dyDescent="0.2"/>
    <row r="396" ht="40.5" hidden="1" customHeight="1" x14ac:dyDescent="0.2"/>
    <row r="397" ht="40.5" hidden="1" customHeight="1" x14ac:dyDescent="0.2"/>
    <row r="398" ht="40.5" hidden="1" customHeight="1" x14ac:dyDescent="0.2"/>
    <row r="399" ht="40.5" hidden="1" customHeight="1" x14ac:dyDescent="0.2"/>
    <row r="400" ht="40.5" hidden="1" customHeight="1" x14ac:dyDescent="0.2"/>
    <row r="401" ht="40.5" hidden="1" customHeight="1" x14ac:dyDescent="0.2"/>
    <row r="402" ht="40.5" hidden="1" customHeight="1" x14ac:dyDescent="0.2"/>
    <row r="403" ht="40.5" hidden="1" customHeight="1" x14ac:dyDescent="0.2"/>
    <row r="404" ht="40.5" hidden="1" customHeight="1" x14ac:dyDescent="0.2"/>
    <row r="405" ht="40.5" hidden="1" customHeight="1" x14ac:dyDescent="0.2"/>
    <row r="406" ht="40.5" hidden="1" customHeight="1" x14ac:dyDescent="0.2"/>
    <row r="407" ht="40.5" hidden="1" customHeight="1" x14ac:dyDescent="0.2"/>
    <row r="408" ht="40.5" hidden="1" customHeight="1" x14ac:dyDescent="0.2"/>
    <row r="409" ht="40.5" hidden="1" customHeight="1" x14ac:dyDescent="0.2"/>
    <row r="410" ht="40.5" hidden="1" customHeight="1" x14ac:dyDescent="0.2"/>
    <row r="411" ht="40.5" hidden="1" customHeight="1" x14ac:dyDescent="0.2"/>
    <row r="412" ht="40.5" hidden="1" customHeight="1" x14ac:dyDescent="0.2"/>
    <row r="413" ht="40.5" hidden="1" customHeight="1" x14ac:dyDescent="0.2"/>
    <row r="414" ht="40.5" hidden="1" customHeight="1" x14ac:dyDescent="0.2"/>
    <row r="415" ht="40.5" hidden="1" customHeight="1" x14ac:dyDescent="0.2"/>
    <row r="416" ht="40.5" hidden="1" customHeight="1" x14ac:dyDescent="0.2"/>
    <row r="417" ht="40.5" hidden="1" customHeight="1" x14ac:dyDescent="0.2"/>
    <row r="418" ht="40.5" hidden="1" customHeight="1" x14ac:dyDescent="0.2"/>
    <row r="419" ht="40.5" hidden="1" customHeight="1" x14ac:dyDescent="0.2"/>
    <row r="420" ht="40.5" hidden="1" customHeight="1" x14ac:dyDescent="0.2"/>
    <row r="421" ht="40.5" hidden="1" customHeight="1" x14ac:dyDescent="0.2"/>
    <row r="422" ht="40.5" hidden="1" customHeight="1" x14ac:dyDescent="0.2"/>
    <row r="423" ht="40.5" hidden="1" customHeight="1" x14ac:dyDescent="0.2"/>
    <row r="424" ht="40.5" hidden="1" customHeight="1" x14ac:dyDescent="0.2"/>
    <row r="425" ht="40.5" hidden="1" customHeight="1" x14ac:dyDescent="0.2"/>
    <row r="426" ht="40.5" hidden="1" customHeight="1" x14ac:dyDescent="0.2"/>
    <row r="427" ht="40.5" hidden="1" customHeight="1" x14ac:dyDescent="0.2"/>
    <row r="428" ht="40.5" hidden="1" customHeight="1" x14ac:dyDescent="0.2"/>
    <row r="429" ht="40.5" hidden="1" customHeight="1" x14ac:dyDescent="0.2"/>
    <row r="430" ht="40.5" hidden="1" customHeight="1" x14ac:dyDescent="0.2"/>
    <row r="431" ht="40.5" hidden="1" customHeight="1" x14ac:dyDescent="0.2"/>
    <row r="432" ht="40.5" hidden="1" customHeight="1" x14ac:dyDescent="0.2"/>
    <row r="433" ht="40.5" hidden="1" customHeight="1" x14ac:dyDescent="0.2"/>
    <row r="434" ht="40.5" hidden="1" customHeight="1" x14ac:dyDescent="0.2"/>
    <row r="435" ht="40.5" hidden="1" customHeight="1" x14ac:dyDescent="0.2"/>
    <row r="436" ht="40.5" hidden="1" customHeight="1" x14ac:dyDescent="0.2"/>
    <row r="437" ht="40.5" hidden="1" customHeight="1" x14ac:dyDescent="0.2"/>
    <row r="438" ht="40.5" hidden="1" customHeight="1" x14ac:dyDescent="0.2"/>
    <row r="439" ht="40.5" hidden="1" customHeight="1" x14ac:dyDescent="0.2"/>
    <row r="440" ht="40.5" hidden="1" customHeight="1" x14ac:dyDescent="0.2"/>
    <row r="441" ht="40.5" hidden="1" customHeight="1" x14ac:dyDescent="0.2"/>
    <row r="442" ht="40.5" hidden="1" customHeight="1" x14ac:dyDescent="0.2"/>
    <row r="443" ht="40.5" hidden="1" customHeight="1" x14ac:dyDescent="0.2"/>
    <row r="444" ht="40.5" hidden="1" customHeight="1" x14ac:dyDescent="0.2"/>
    <row r="445" ht="40.5" hidden="1" customHeight="1" x14ac:dyDescent="0.2"/>
    <row r="446" ht="40.5" hidden="1" customHeight="1" x14ac:dyDescent="0.2"/>
    <row r="447" ht="40.5" hidden="1" customHeight="1" x14ac:dyDescent="0.2"/>
    <row r="448" ht="40.5" hidden="1" customHeight="1" x14ac:dyDescent="0.2"/>
    <row r="449" ht="40.5" hidden="1" customHeight="1" x14ac:dyDescent="0.2"/>
    <row r="450" ht="40.5" hidden="1" customHeight="1" x14ac:dyDescent="0.2"/>
    <row r="451" ht="40.5" hidden="1" customHeight="1" x14ac:dyDescent="0.2"/>
    <row r="452" ht="40.5" hidden="1" customHeight="1" x14ac:dyDescent="0.2"/>
    <row r="453" ht="40.5" hidden="1" customHeight="1" x14ac:dyDescent="0.2"/>
    <row r="454" ht="40.5" hidden="1" customHeight="1" x14ac:dyDescent="0.2"/>
    <row r="455" ht="40.5" hidden="1" customHeight="1" x14ac:dyDescent="0.2"/>
    <row r="456" ht="40.5" hidden="1" customHeight="1" x14ac:dyDescent="0.2"/>
    <row r="457" ht="40.5" hidden="1" customHeight="1" x14ac:dyDescent="0.2"/>
    <row r="458" ht="40.5" hidden="1" customHeight="1" x14ac:dyDescent="0.2"/>
    <row r="459" ht="40.5" hidden="1" customHeight="1" x14ac:dyDescent="0.2"/>
    <row r="460" ht="40.5" hidden="1" customHeight="1" x14ac:dyDescent="0.2"/>
    <row r="461" ht="40.5" hidden="1" customHeight="1" x14ac:dyDescent="0.2"/>
    <row r="462" ht="40.5" hidden="1" customHeight="1" x14ac:dyDescent="0.2"/>
    <row r="463" ht="40.5" hidden="1" customHeight="1" x14ac:dyDescent="0.2"/>
    <row r="464" ht="40.5" hidden="1" customHeight="1" x14ac:dyDescent="0.2"/>
    <row r="465" ht="40.5" hidden="1" customHeight="1" x14ac:dyDescent="0.2"/>
    <row r="466" ht="40.5" hidden="1" customHeight="1" x14ac:dyDescent="0.2"/>
    <row r="467" ht="40.5" hidden="1" customHeight="1" x14ac:dyDescent="0.2"/>
    <row r="468" ht="40.5" hidden="1" customHeight="1" x14ac:dyDescent="0.2"/>
    <row r="469" ht="40.5" hidden="1" customHeight="1" x14ac:dyDescent="0.2"/>
    <row r="470" ht="40.5" hidden="1" customHeight="1" x14ac:dyDescent="0.2"/>
    <row r="471" ht="40.5" hidden="1" customHeight="1" x14ac:dyDescent="0.2"/>
    <row r="472" ht="40.5" hidden="1" customHeight="1" x14ac:dyDescent="0.2"/>
    <row r="473" ht="40.5" hidden="1" customHeight="1" x14ac:dyDescent="0.2"/>
    <row r="474" ht="40.5" hidden="1" customHeight="1" x14ac:dyDescent="0.2"/>
    <row r="475" ht="40.5" hidden="1" customHeight="1" x14ac:dyDescent="0.2"/>
    <row r="476" ht="40.5" hidden="1" customHeight="1" x14ac:dyDescent="0.2"/>
    <row r="477" ht="40.5" hidden="1" customHeight="1" x14ac:dyDescent="0.2"/>
    <row r="478" ht="40.5" hidden="1" customHeight="1" x14ac:dyDescent="0.2"/>
    <row r="479" ht="40.5" hidden="1" customHeight="1" x14ac:dyDescent="0.2"/>
    <row r="480" ht="40.5" hidden="1" customHeight="1" x14ac:dyDescent="0.2"/>
    <row r="481" ht="40.5" hidden="1" customHeight="1" x14ac:dyDescent="0.2"/>
    <row r="482" ht="40.5" hidden="1" customHeight="1" x14ac:dyDescent="0.2"/>
    <row r="483" ht="40.5" hidden="1" customHeight="1" x14ac:dyDescent="0.2"/>
    <row r="484" ht="40.5" hidden="1" customHeight="1" x14ac:dyDescent="0.2"/>
    <row r="485" ht="40.5" hidden="1" customHeight="1" x14ac:dyDescent="0.2"/>
    <row r="486" ht="40.5" hidden="1" customHeight="1" x14ac:dyDescent="0.2"/>
    <row r="487" ht="40.5" hidden="1" customHeight="1" x14ac:dyDescent="0.2"/>
    <row r="488" ht="40.5" hidden="1" customHeight="1" x14ac:dyDescent="0.2"/>
    <row r="489" ht="40.5" hidden="1" customHeight="1" x14ac:dyDescent="0.2"/>
    <row r="490" ht="40.5" hidden="1" customHeight="1" x14ac:dyDescent="0.2"/>
    <row r="491" ht="40.5" hidden="1" customHeight="1" x14ac:dyDescent="0.2"/>
    <row r="492" ht="40.5" hidden="1" customHeight="1" x14ac:dyDescent="0.2"/>
    <row r="493" ht="40.5" hidden="1" customHeight="1" x14ac:dyDescent="0.2"/>
    <row r="494" ht="40.5" hidden="1" customHeight="1" x14ac:dyDescent="0.2"/>
    <row r="495" ht="40.5" hidden="1" customHeight="1" x14ac:dyDescent="0.2"/>
    <row r="496" ht="40.5" hidden="1" customHeight="1" x14ac:dyDescent="0.2"/>
    <row r="497" ht="40.5" hidden="1" customHeight="1" x14ac:dyDescent="0.2"/>
    <row r="498" ht="40.5" hidden="1" customHeight="1" x14ac:dyDescent="0.2"/>
    <row r="499" ht="40.5" hidden="1" customHeight="1" x14ac:dyDescent="0.2"/>
    <row r="500" ht="40.5" hidden="1" customHeight="1" x14ac:dyDescent="0.2"/>
    <row r="501" ht="40.5" hidden="1" customHeight="1" x14ac:dyDescent="0.2"/>
    <row r="502" ht="40.5" hidden="1" customHeight="1" x14ac:dyDescent="0.2"/>
    <row r="503" ht="40.5" hidden="1" customHeight="1" x14ac:dyDescent="0.2"/>
    <row r="504" ht="40.5" hidden="1" customHeight="1" x14ac:dyDescent="0.2"/>
    <row r="505" ht="40.5" hidden="1" customHeight="1" x14ac:dyDescent="0.2"/>
    <row r="506" ht="40.5" hidden="1" customHeight="1" x14ac:dyDescent="0.2"/>
    <row r="507" ht="40.5" hidden="1" customHeight="1" x14ac:dyDescent="0.2"/>
    <row r="508" ht="40.5" hidden="1" customHeight="1" x14ac:dyDescent="0.2"/>
    <row r="509" ht="40.5" hidden="1" customHeight="1" x14ac:dyDescent="0.2"/>
    <row r="510" ht="40.5" hidden="1" customHeight="1" x14ac:dyDescent="0.2"/>
    <row r="511" ht="40.5" hidden="1" customHeight="1" x14ac:dyDescent="0.2"/>
    <row r="512" ht="40.5" hidden="1" customHeight="1" x14ac:dyDescent="0.2"/>
    <row r="513" ht="40.5" hidden="1" customHeight="1" x14ac:dyDescent="0.2"/>
    <row r="514" ht="40.5" hidden="1" customHeight="1" x14ac:dyDescent="0.2"/>
    <row r="515" ht="40.5" hidden="1" customHeight="1" x14ac:dyDescent="0.2"/>
    <row r="516" ht="40.5" hidden="1" customHeight="1" x14ac:dyDescent="0.2"/>
    <row r="517" ht="40.5" hidden="1" customHeight="1" x14ac:dyDescent="0.2"/>
    <row r="518" ht="40.5" hidden="1" customHeight="1" x14ac:dyDescent="0.2"/>
    <row r="519" ht="40.5" hidden="1" customHeight="1" x14ac:dyDescent="0.2"/>
    <row r="520" ht="40.5" hidden="1" customHeight="1" x14ac:dyDescent="0.2"/>
    <row r="521" ht="40.5" hidden="1" customHeight="1" x14ac:dyDescent="0.2"/>
    <row r="522" ht="40.5" hidden="1" customHeight="1" x14ac:dyDescent="0.2"/>
    <row r="523" ht="40.5" hidden="1" customHeight="1" x14ac:dyDescent="0.2"/>
    <row r="524" ht="40.5" hidden="1" customHeight="1" x14ac:dyDescent="0.2"/>
    <row r="525" ht="40.5" hidden="1" customHeight="1" x14ac:dyDescent="0.2"/>
    <row r="526" ht="40.5" hidden="1" customHeight="1" x14ac:dyDescent="0.2"/>
    <row r="527" ht="40.5" hidden="1" customHeight="1" x14ac:dyDescent="0.2"/>
    <row r="528" ht="40.5" hidden="1" customHeight="1" x14ac:dyDescent="0.2"/>
    <row r="529" ht="40.5" hidden="1" customHeight="1" x14ac:dyDescent="0.2"/>
    <row r="530" ht="40.5" hidden="1" customHeight="1" x14ac:dyDescent="0.2"/>
    <row r="531" ht="40.5" hidden="1" customHeight="1" x14ac:dyDescent="0.2"/>
    <row r="532" ht="40.5" hidden="1" customHeight="1" x14ac:dyDescent="0.2"/>
    <row r="533" ht="40.5" hidden="1" customHeight="1" x14ac:dyDescent="0.2"/>
    <row r="534" ht="40.5" hidden="1" customHeight="1" x14ac:dyDescent="0.2"/>
    <row r="535" ht="40.5" hidden="1" customHeight="1" x14ac:dyDescent="0.2"/>
    <row r="536" ht="40.5" hidden="1" customHeight="1" x14ac:dyDescent="0.2"/>
    <row r="537" ht="40.5" hidden="1" customHeight="1" x14ac:dyDescent="0.2"/>
    <row r="538" ht="40.5" hidden="1" customHeight="1" x14ac:dyDescent="0.2"/>
    <row r="539" ht="40.5" hidden="1" customHeight="1" x14ac:dyDescent="0.2"/>
    <row r="540" ht="40.5" hidden="1" customHeight="1" x14ac:dyDescent="0.2"/>
    <row r="541" ht="40.5" hidden="1" customHeight="1" x14ac:dyDescent="0.2"/>
    <row r="542" ht="40.5" hidden="1" customHeight="1" x14ac:dyDescent="0.2"/>
    <row r="543" ht="40.5" hidden="1" customHeight="1" x14ac:dyDescent="0.2"/>
    <row r="544" ht="40.5" hidden="1" customHeight="1" x14ac:dyDescent="0.2"/>
    <row r="545" ht="40.5" hidden="1" customHeight="1" x14ac:dyDescent="0.2"/>
    <row r="546" ht="40.5" hidden="1" customHeight="1" x14ac:dyDescent="0.2"/>
    <row r="547" ht="40.5" hidden="1" customHeight="1" x14ac:dyDescent="0.2"/>
    <row r="548" ht="40.5" hidden="1" customHeight="1" x14ac:dyDescent="0.2"/>
    <row r="549" ht="40.5" hidden="1" customHeight="1" x14ac:dyDescent="0.2"/>
    <row r="550" ht="40.5" hidden="1" customHeight="1" x14ac:dyDescent="0.2"/>
    <row r="551" ht="40.5" hidden="1" customHeight="1" x14ac:dyDescent="0.2"/>
    <row r="552" ht="40.5" hidden="1" customHeight="1" x14ac:dyDescent="0.2"/>
    <row r="553" ht="40.5" hidden="1" customHeight="1" x14ac:dyDescent="0.2"/>
    <row r="554" ht="40.5" hidden="1" customHeight="1" x14ac:dyDescent="0.2"/>
    <row r="555" ht="40.5" hidden="1" customHeight="1" x14ac:dyDescent="0.2"/>
    <row r="556" ht="40.5" hidden="1" customHeight="1" x14ac:dyDescent="0.2"/>
    <row r="557" ht="40.5" hidden="1" customHeight="1" x14ac:dyDescent="0.2"/>
    <row r="558" ht="40.5" hidden="1" customHeight="1" x14ac:dyDescent="0.2"/>
    <row r="559" ht="40.5" hidden="1" customHeight="1" x14ac:dyDescent="0.2"/>
    <row r="560" ht="40.5" hidden="1" customHeight="1" x14ac:dyDescent="0.2"/>
    <row r="561" ht="40.5" hidden="1" customHeight="1" x14ac:dyDescent="0.2"/>
    <row r="562" ht="40.5" hidden="1" customHeight="1" x14ac:dyDescent="0.2"/>
    <row r="563" ht="40.5" hidden="1" customHeight="1" x14ac:dyDescent="0.2"/>
    <row r="564" ht="40.5" hidden="1" customHeight="1" x14ac:dyDescent="0.2"/>
    <row r="565" ht="40.5" hidden="1" customHeight="1" x14ac:dyDescent="0.2"/>
    <row r="566" ht="40.5" hidden="1" customHeight="1" x14ac:dyDescent="0.2"/>
    <row r="567" ht="40.5" hidden="1" customHeight="1" x14ac:dyDescent="0.2"/>
    <row r="568" ht="40.5" hidden="1" customHeight="1" x14ac:dyDescent="0.2"/>
    <row r="569" ht="40.5" hidden="1" customHeight="1" x14ac:dyDescent="0.2"/>
    <row r="570" ht="40.5" hidden="1" customHeight="1" x14ac:dyDescent="0.2"/>
    <row r="571" ht="40.5" hidden="1" customHeight="1" x14ac:dyDescent="0.2"/>
    <row r="572" ht="40.5" hidden="1" customHeight="1" x14ac:dyDescent="0.2"/>
    <row r="573" ht="40.5" hidden="1" customHeight="1" x14ac:dyDescent="0.2"/>
    <row r="574" ht="40.5" hidden="1" customHeight="1" x14ac:dyDescent="0.2"/>
    <row r="575" ht="40.5" hidden="1" customHeight="1" x14ac:dyDescent="0.2"/>
    <row r="576" ht="40.5" hidden="1" customHeight="1" x14ac:dyDescent="0.2"/>
    <row r="577" ht="40.5" hidden="1" customHeight="1" x14ac:dyDescent="0.2"/>
    <row r="578" ht="40.5" hidden="1" customHeight="1" x14ac:dyDescent="0.2"/>
    <row r="579" ht="40.5" hidden="1" customHeight="1" x14ac:dyDescent="0.2"/>
    <row r="580" ht="40.5" hidden="1" customHeight="1" x14ac:dyDescent="0.2"/>
    <row r="581" ht="40.5" hidden="1" customHeight="1" x14ac:dyDescent="0.2"/>
    <row r="582" ht="40.5" hidden="1" customHeight="1" x14ac:dyDescent="0.2"/>
    <row r="583" ht="40.5" hidden="1" customHeight="1" x14ac:dyDescent="0.2"/>
    <row r="584" ht="40.5" hidden="1" customHeight="1" x14ac:dyDescent="0.2"/>
    <row r="585" ht="40.5" hidden="1" customHeight="1" x14ac:dyDescent="0.2"/>
    <row r="586" ht="40.5" hidden="1" customHeight="1" x14ac:dyDescent="0.2"/>
    <row r="587" ht="40.5" hidden="1" customHeight="1" x14ac:dyDescent="0.2"/>
    <row r="588" ht="40.5" hidden="1" customHeight="1" x14ac:dyDescent="0.2"/>
    <row r="589" ht="40.5" hidden="1" customHeight="1" x14ac:dyDescent="0.2"/>
    <row r="590" ht="40.5" hidden="1" customHeight="1" x14ac:dyDescent="0.2"/>
    <row r="591" ht="40.5" hidden="1" customHeight="1" x14ac:dyDescent="0.2"/>
    <row r="592" ht="40.5" hidden="1" customHeight="1" x14ac:dyDescent="0.2"/>
    <row r="593" ht="40.5" hidden="1" customHeight="1" x14ac:dyDescent="0.2"/>
    <row r="594" ht="40.5" hidden="1" customHeight="1" x14ac:dyDescent="0.2"/>
    <row r="595" ht="40.5" hidden="1" customHeight="1" x14ac:dyDescent="0.2"/>
    <row r="596" ht="40.5" hidden="1" customHeight="1" x14ac:dyDescent="0.2"/>
    <row r="597" ht="40.5" hidden="1" customHeight="1" x14ac:dyDescent="0.2"/>
    <row r="598" ht="40.5" hidden="1" customHeight="1" x14ac:dyDescent="0.2"/>
    <row r="599" ht="40.5" hidden="1" customHeight="1" x14ac:dyDescent="0.2"/>
    <row r="600" ht="40.5" hidden="1" customHeight="1" x14ac:dyDescent="0.2"/>
    <row r="601" ht="40.5" hidden="1" customHeight="1" x14ac:dyDescent="0.2"/>
    <row r="602" ht="40.5" hidden="1" customHeight="1" x14ac:dyDescent="0.2"/>
    <row r="603" ht="40.5" hidden="1" customHeight="1" x14ac:dyDescent="0.2"/>
    <row r="604" ht="40.5" hidden="1" customHeight="1" x14ac:dyDescent="0.2"/>
    <row r="605" ht="40.5" hidden="1" customHeight="1" x14ac:dyDescent="0.2"/>
    <row r="606" ht="40.5" hidden="1" customHeight="1" x14ac:dyDescent="0.2"/>
    <row r="607" ht="40.5" hidden="1" customHeight="1" x14ac:dyDescent="0.2"/>
    <row r="608" ht="40.5" hidden="1" customHeight="1" x14ac:dyDescent="0.2"/>
    <row r="609" ht="40.5" hidden="1" customHeight="1" x14ac:dyDescent="0.2"/>
    <row r="610" ht="40.5" hidden="1" customHeight="1" x14ac:dyDescent="0.2"/>
    <row r="611" ht="40.5" hidden="1" customHeight="1" x14ac:dyDescent="0.2"/>
    <row r="612" ht="40.5" hidden="1" customHeight="1" x14ac:dyDescent="0.2"/>
    <row r="613" ht="40.5" hidden="1" customHeight="1" x14ac:dyDescent="0.2"/>
    <row r="614" ht="40.5" hidden="1" customHeight="1" x14ac:dyDescent="0.2"/>
    <row r="615" ht="40.5" hidden="1" customHeight="1" x14ac:dyDescent="0.2"/>
    <row r="616" ht="40.5" hidden="1" customHeight="1" x14ac:dyDescent="0.2"/>
    <row r="617" ht="40.5" hidden="1" customHeight="1" x14ac:dyDescent="0.2"/>
    <row r="618" ht="40.5" hidden="1" customHeight="1" x14ac:dyDescent="0.2"/>
    <row r="619" ht="40.5" hidden="1" customHeight="1" x14ac:dyDescent="0.2"/>
    <row r="620" ht="40.5" hidden="1" customHeight="1" x14ac:dyDescent="0.2"/>
    <row r="621" ht="40.5" hidden="1" customHeight="1" x14ac:dyDescent="0.2"/>
    <row r="622" ht="40.5" hidden="1" customHeight="1" x14ac:dyDescent="0.2"/>
    <row r="623" ht="40.5" hidden="1" customHeight="1" x14ac:dyDescent="0.2"/>
    <row r="624" ht="40.5" hidden="1" customHeight="1" x14ac:dyDescent="0.2"/>
    <row r="625" ht="40.5" hidden="1" customHeight="1" x14ac:dyDescent="0.2"/>
    <row r="626" ht="40.5" hidden="1" customHeight="1" x14ac:dyDescent="0.2"/>
    <row r="627" ht="40.5" hidden="1" customHeight="1" x14ac:dyDescent="0.2"/>
    <row r="628" ht="40.5" hidden="1" customHeight="1" x14ac:dyDescent="0.2"/>
    <row r="629" ht="40.5" hidden="1" customHeight="1" x14ac:dyDescent="0.2"/>
    <row r="630" ht="40.5" hidden="1" customHeight="1" x14ac:dyDescent="0.2"/>
    <row r="631" ht="40.5" hidden="1" customHeight="1" x14ac:dyDescent="0.2"/>
    <row r="632" ht="40.5" hidden="1" customHeight="1" x14ac:dyDescent="0.2"/>
    <row r="633" ht="40.5" hidden="1" customHeight="1" x14ac:dyDescent="0.2"/>
    <row r="634" ht="40.5" hidden="1" customHeight="1" x14ac:dyDescent="0.2"/>
    <row r="635" ht="40.5" hidden="1" customHeight="1" x14ac:dyDescent="0.2"/>
    <row r="636" ht="40.5" hidden="1" customHeight="1" x14ac:dyDescent="0.2"/>
    <row r="637" ht="40.5" hidden="1" customHeight="1" x14ac:dyDescent="0.2"/>
    <row r="638" ht="40.5" hidden="1" customHeight="1" x14ac:dyDescent="0.2"/>
    <row r="639" ht="40.5" hidden="1" customHeight="1" x14ac:dyDescent="0.2"/>
    <row r="640" ht="40.5" hidden="1" customHeight="1" x14ac:dyDescent="0.2"/>
    <row r="641" ht="40.5" hidden="1" customHeight="1" x14ac:dyDescent="0.2"/>
    <row r="642" ht="40.5" hidden="1" customHeight="1" x14ac:dyDescent="0.2"/>
    <row r="643" ht="40.5" hidden="1" customHeight="1" x14ac:dyDescent="0.2"/>
    <row r="644" ht="40.5" hidden="1" customHeight="1" x14ac:dyDescent="0.2"/>
    <row r="645" ht="40.5" hidden="1" customHeight="1" x14ac:dyDescent="0.2"/>
    <row r="646" ht="40.5" hidden="1" customHeight="1" x14ac:dyDescent="0.2"/>
    <row r="647" ht="40.5" hidden="1" customHeight="1" x14ac:dyDescent="0.2"/>
    <row r="648" ht="40.5" hidden="1" customHeight="1" x14ac:dyDescent="0.2"/>
    <row r="649" ht="40.5" hidden="1" customHeight="1" x14ac:dyDescent="0.2"/>
    <row r="650" ht="40.5" hidden="1" customHeight="1" x14ac:dyDescent="0.2"/>
    <row r="651" ht="40.5" hidden="1" customHeight="1" x14ac:dyDescent="0.2"/>
    <row r="652" ht="40.5" hidden="1" customHeight="1" x14ac:dyDescent="0.2"/>
    <row r="653" ht="40.5" hidden="1" customHeight="1" x14ac:dyDescent="0.2"/>
    <row r="654" ht="40.5" hidden="1" customHeight="1" x14ac:dyDescent="0.2"/>
    <row r="655" ht="40.5" hidden="1" customHeight="1" x14ac:dyDescent="0.2"/>
    <row r="656" ht="40.5" hidden="1" customHeight="1" x14ac:dyDescent="0.2"/>
    <row r="657" ht="40.5" hidden="1" customHeight="1" x14ac:dyDescent="0.2"/>
    <row r="658" ht="40.5" hidden="1" customHeight="1" x14ac:dyDescent="0.2"/>
    <row r="659" ht="40.5" hidden="1" customHeight="1" x14ac:dyDescent="0.2"/>
    <row r="660" ht="40.5" hidden="1" customHeight="1" x14ac:dyDescent="0.2"/>
    <row r="661" ht="40.5" hidden="1" customHeight="1" x14ac:dyDescent="0.2"/>
    <row r="662" ht="40.5" hidden="1" customHeight="1" x14ac:dyDescent="0.2"/>
    <row r="663" ht="40.5" hidden="1" customHeight="1" x14ac:dyDescent="0.2"/>
    <row r="664" ht="40.5" hidden="1" customHeight="1" x14ac:dyDescent="0.2"/>
    <row r="665" ht="40.5" hidden="1" customHeight="1" x14ac:dyDescent="0.2"/>
    <row r="666" ht="40.5" hidden="1" customHeight="1" x14ac:dyDescent="0.2"/>
    <row r="667" ht="40.5" hidden="1" customHeight="1" x14ac:dyDescent="0.2"/>
    <row r="668" ht="40.5" hidden="1" customHeight="1" x14ac:dyDescent="0.2"/>
    <row r="669" ht="40.5" hidden="1" customHeight="1" x14ac:dyDescent="0.2"/>
    <row r="670" ht="40.5" hidden="1" customHeight="1" x14ac:dyDescent="0.2"/>
    <row r="671" ht="40.5" hidden="1" customHeight="1" x14ac:dyDescent="0.2"/>
    <row r="672" ht="40.5" hidden="1" customHeight="1" x14ac:dyDescent="0.2"/>
    <row r="673" ht="40.5" hidden="1" customHeight="1" x14ac:dyDescent="0.2"/>
    <row r="674" ht="40.5" hidden="1" customHeight="1" x14ac:dyDescent="0.2"/>
    <row r="675" ht="40.5" hidden="1" customHeight="1" x14ac:dyDescent="0.2"/>
    <row r="676" ht="40.5" hidden="1" customHeight="1" x14ac:dyDescent="0.2"/>
    <row r="677" ht="40.5" hidden="1" customHeight="1" x14ac:dyDescent="0.2"/>
    <row r="678" ht="40.5" hidden="1" customHeight="1" x14ac:dyDescent="0.2"/>
    <row r="679" ht="40.5" hidden="1" customHeight="1" x14ac:dyDescent="0.2"/>
    <row r="680" ht="40.5" hidden="1" customHeight="1" x14ac:dyDescent="0.2"/>
    <row r="681" ht="40.5" hidden="1" customHeight="1" x14ac:dyDescent="0.2"/>
    <row r="682" ht="40.5" hidden="1" customHeight="1" x14ac:dyDescent="0.2"/>
    <row r="683" ht="40.5" hidden="1" customHeight="1" x14ac:dyDescent="0.2"/>
    <row r="684" ht="40.5" hidden="1" customHeight="1" x14ac:dyDescent="0.2"/>
    <row r="685" ht="40.5" hidden="1" customHeight="1" x14ac:dyDescent="0.2"/>
    <row r="686" ht="40.5" hidden="1" customHeight="1" x14ac:dyDescent="0.2"/>
    <row r="687" ht="40.5" hidden="1" customHeight="1" x14ac:dyDescent="0.2"/>
    <row r="688" ht="40.5" hidden="1" customHeight="1" x14ac:dyDescent="0.2"/>
    <row r="689" ht="40.5" hidden="1" customHeight="1" x14ac:dyDescent="0.2"/>
    <row r="690" ht="40.5" hidden="1" customHeight="1" x14ac:dyDescent="0.2"/>
    <row r="691" ht="40.5" hidden="1" customHeight="1" x14ac:dyDescent="0.2"/>
    <row r="692" ht="40.5" hidden="1" customHeight="1" x14ac:dyDescent="0.2"/>
    <row r="693" ht="40.5" hidden="1" customHeight="1" x14ac:dyDescent="0.2"/>
    <row r="694" ht="40.5" hidden="1" customHeight="1" x14ac:dyDescent="0.2"/>
    <row r="695" ht="40.5" hidden="1" customHeight="1" x14ac:dyDescent="0.2"/>
    <row r="696" ht="40.5" hidden="1" customHeight="1" x14ac:dyDescent="0.2"/>
    <row r="697" ht="40.5" hidden="1" customHeight="1" x14ac:dyDescent="0.2"/>
    <row r="698" ht="40.5" hidden="1" customHeight="1" x14ac:dyDescent="0.2"/>
    <row r="699" ht="40.5" hidden="1" customHeight="1" x14ac:dyDescent="0.2"/>
    <row r="700" ht="40.5" hidden="1" customHeight="1" x14ac:dyDescent="0.2"/>
    <row r="701" ht="40.5" hidden="1" customHeight="1" x14ac:dyDescent="0.2"/>
    <row r="702" ht="40.5" hidden="1" customHeight="1" x14ac:dyDescent="0.2"/>
    <row r="703" ht="40.5" hidden="1" customHeight="1" x14ac:dyDescent="0.2"/>
    <row r="704" ht="40.5" hidden="1" customHeight="1" x14ac:dyDescent="0.2"/>
    <row r="705" ht="40.5" hidden="1" customHeight="1" x14ac:dyDescent="0.2"/>
    <row r="706" ht="40.5" hidden="1" customHeight="1" x14ac:dyDescent="0.2"/>
    <row r="707" ht="40.5" hidden="1" customHeight="1" x14ac:dyDescent="0.2"/>
    <row r="708" ht="40.5" hidden="1" customHeight="1" x14ac:dyDescent="0.2"/>
    <row r="709" ht="40.5" hidden="1" customHeight="1" x14ac:dyDescent="0.2"/>
    <row r="710" ht="40.5" hidden="1" customHeight="1" x14ac:dyDescent="0.2"/>
    <row r="711" ht="40.5" hidden="1" customHeight="1" x14ac:dyDescent="0.2"/>
    <row r="712" ht="40.5" hidden="1" customHeight="1" x14ac:dyDescent="0.2"/>
    <row r="713" ht="40.5" hidden="1" customHeight="1" x14ac:dyDescent="0.2"/>
    <row r="714" ht="40.5" hidden="1" customHeight="1" x14ac:dyDescent="0.2"/>
    <row r="715" ht="40.5" hidden="1" customHeight="1" x14ac:dyDescent="0.2"/>
    <row r="716" ht="40.5" hidden="1" customHeight="1" x14ac:dyDescent="0.2"/>
    <row r="717" ht="40.5" hidden="1" customHeight="1" x14ac:dyDescent="0.2"/>
    <row r="718" ht="40.5" hidden="1" customHeight="1" x14ac:dyDescent="0.2"/>
    <row r="719" ht="40.5" hidden="1" customHeight="1" x14ac:dyDescent="0.2"/>
    <row r="720" ht="40.5" hidden="1" customHeight="1" x14ac:dyDescent="0.2"/>
    <row r="721" ht="40.5" hidden="1" customHeight="1" x14ac:dyDescent="0.2"/>
    <row r="722" ht="40.5" hidden="1" customHeight="1" x14ac:dyDescent="0.2"/>
    <row r="723" ht="40.5" hidden="1" customHeight="1" x14ac:dyDescent="0.2"/>
    <row r="724" ht="40.5" hidden="1" customHeight="1" x14ac:dyDescent="0.2"/>
    <row r="725" ht="40.5" hidden="1" customHeight="1" x14ac:dyDescent="0.2"/>
    <row r="726" ht="40.5" hidden="1" customHeight="1" x14ac:dyDescent="0.2"/>
    <row r="727" ht="40.5" hidden="1" customHeight="1" x14ac:dyDescent="0.2"/>
    <row r="728" ht="40.5" hidden="1" customHeight="1" x14ac:dyDescent="0.2"/>
    <row r="729" ht="40.5" hidden="1" customHeight="1" x14ac:dyDescent="0.2"/>
    <row r="730" ht="40.5" hidden="1" customHeight="1" x14ac:dyDescent="0.2"/>
    <row r="731" ht="40.5" hidden="1" customHeight="1" x14ac:dyDescent="0.2"/>
    <row r="732" ht="40.5" hidden="1" customHeight="1" x14ac:dyDescent="0.2"/>
    <row r="733" ht="40.5" hidden="1" customHeight="1" x14ac:dyDescent="0.2"/>
    <row r="734" ht="40.5" hidden="1" customHeight="1" x14ac:dyDescent="0.2"/>
    <row r="735" ht="40.5" hidden="1" customHeight="1" x14ac:dyDescent="0.2"/>
    <row r="736" ht="40.5" hidden="1" customHeight="1" x14ac:dyDescent="0.2"/>
    <row r="737" ht="40.5" hidden="1" customHeight="1" x14ac:dyDescent="0.2"/>
    <row r="738" ht="40.5" hidden="1" customHeight="1" x14ac:dyDescent="0.2"/>
    <row r="739" ht="40.5" hidden="1" customHeight="1" x14ac:dyDescent="0.2"/>
    <row r="740" ht="40.5" hidden="1" customHeight="1" x14ac:dyDescent="0.2"/>
    <row r="741" ht="40.5" hidden="1" customHeight="1" x14ac:dyDescent="0.2"/>
    <row r="742" ht="40.5" hidden="1" customHeight="1" x14ac:dyDescent="0.2"/>
    <row r="743" ht="40.5" hidden="1" customHeight="1" x14ac:dyDescent="0.2"/>
    <row r="744" ht="40.5" hidden="1" customHeight="1" x14ac:dyDescent="0.2"/>
    <row r="745" ht="40.5" hidden="1" customHeight="1" x14ac:dyDescent="0.2"/>
    <row r="746" ht="40.5" hidden="1" customHeight="1" x14ac:dyDescent="0.2"/>
    <row r="747" ht="40.5" hidden="1" customHeight="1" x14ac:dyDescent="0.2"/>
    <row r="748" ht="40.5" hidden="1" customHeight="1" x14ac:dyDescent="0.2"/>
    <row r="749" ht="40.5" hidden="1" customHeight="1" x14ac:dyDescent="0.2"/>
    <row r="750" ht="40.5" hidden="1" customHeight="1" x14ac:dyDescent="0.2"/>
    <row r="751" ht="40.5" hidden="1" customHeight="1" x14ac:dyDescent="0.2"/>
    <row r="752" ht="40.5" hidden="1" customHeight="1" x14ac:dyDescent="0.2"/>
    <row r="753" ht="40.5" hidden="1" customHeight="1" x14ac:dyDescent="0.2"/>
    <row r="754" ht="40.5" hidden="1" customHeight="1" x14ac:dyDescent="0.2"/>
    <row r="755" ht="40.5" hidden="1" customHeight="1" x14ac:dyDescent="0.2"/>
    <row r="756" ht="40.5" hidden="1" customHeight="1" x14ac:dyDescent="0.2"/>
    <row r="757" ht="40.5" hidden="1" customHeight="1" x14ac:dyDescent="0.2"/>
    <row r="758" ht="40.5" hidden="1" customHeight="1" x14ac:dyDescent="0.2"/>
    <row r="759" ht="40.5" hidden="1" customHeight="1" x14ac:dyDescent="0.2"/>
    <row r="760" ht="40.5" hidden="1" customHeight="1" x14ac:dyDescent="0.2"/>
    <row r="761" ht="40.5" hidden="1" customHeight="1" x14ac:dyDescent="0.2"/>
    <row r="762" ht="40.5" hidden="1" customHeight="1" x14ac:dyDescent="0.2"/>
    <row r="763" ht="40.5" hidden="1" customHeight="1" x14ac:dyDescent="0.2"/>
    <row r="764" ht="40.5" hidden="1" customHeight="1" x14ac:dyDescent="0.2"/>
    <row r="765" ht="40.5" hidden="1" customHeight="1" x14ac:dyDescent="0.2"/>
    <row r="766" ht="40.5" hidden="1" customHeight="1" x14ac:dyDescent="0.2"/>
    <row r="767" ht="40.5" hidden="1" customHeight="1" x14ac:dyDescent="0.2"/>
    <row r="768" ht="40.5" hidden="1" customHeight="1" x14ac:dyDescent="0.2"/>
    <row r="769" ht="40.5" hidden="1" customHeight="1" x14ac:dyDescent="0.2"/>
    <row r="770" ht="40.5" hidden="1" customHeight="1" x14ac:dyDescent="0.2"/>
    <row r="771" ht="40.5" hidden="1" customHeight="1" x14ac:dyDescent="0.2"/>
    <row r="772" ht="40.5" hidden="1" customHeight="1" x14ac:dyDescent="0.2"/>
    <row r="773" ht="40.5" hidden="1" customHeight="1" x14ac:dyDescent="0.2"/>
    <row r="774" ht="40.5" hidden="1" customHeight="1" x14ac:dyDescent="0.2"/>
    <row r="775" ht="40.5" hidden="1" customHeight="1" x14ac:dyDescent="0.2"/>
    <row r="776" ht="40.5" hidden="1" customHeight="1" x14ac:dyDescent="0.2"/>
    <row r="777" ht="40.5" hidden="1" customHeight="1" x14ac:dyDescent="0.2"/>
    <row r="778" ht="40.5" hidden="1" customHeight="1" x14ac:dyDescent="0.2"/>
    <row r="779" ht="40.5" hidden="1" customHeight="1" x14ac:dyDescent="0.2"/>
    <row r="780" ht="40.5" hidden="1" customHeight="1" x14ac:dyDescent="0.2"/>
    <row r="781" ht="40.5" hidden="1" customHeight="1" x14ac:dyDescent="0.2"/>
    <row r="782" ht="40.5" hidden="1" customHeight="1" x14ac:dyDescent="0.2"/>
    <row r="783" ht="40.5" hidden="1" customHeight="1" x14ac:dyDescent="0.2"/>
    <row r="784" ht="40.5" hidden="1" customHeight="1" x14ac:dyDescent="0.2"/>
    <row r="785" ht="40.5" hidden="1" customHeight="1" x14ac:dyDescent="0.2"/>
    <row r="786" ht="40.5" hidden="1" customHeight="1" x14ac:dyDescent="0.2"/>
    <row r="787" ht="40.5" hidden="1" customHeight="1" x14ac:dyDescent="0.2"/>
    <row r="788" ht="40.5" hidden="1" customHeight="1" x14ac:dyDescent="0.2"/>
    <row r="789" ht="40.5" hidden="1" customHeight="1" x14ac:dyDescent="0.2"/>
    <row r="790" ht="40.5" hidden="1" customHeight="1" x14ac:dyDescent="0.2"/>
    <row r="791" ht="40.5" hidden="1" customHeight="1" x14ac:dyDescent="0.2"/>
    <row r="792" ht="40.5" hidden="1" customHeight="1" x14ac:dyDescent="0.2"/>
    <row r="793" ht="40.5" hidden="1" customHeight="1" x14ac:dyDescent="0.2"/>
    <row r="794" ht="40.5" hidden="1" customHeight="1" x14ac:dyDescent="0.2"/>
    <row r="795" ht="40.5" hidden="1" customHeight="1" x14ac:dyDescent="0.2"/>
    <row r="796" ht="40.5" hidden="1" customHeight="1" x14ac:dyDescent="0.2"/>
    <row r="797" ht="40.5" hidden="1" customHeight="1" x14ac:dyDescent="0.2"/>
    <row r="798" ht="40.5" hidden="1" customHeight="1" x14ac:dyDescent="0.2"/>
    <row r="799" ht="40.5" hidden="1" customHeight="1" x14ac:dyDescent="0.2"/>
    <row r="800" ht="40.5" hidden="1" customHeight="1" x14ac:dyDescent="0.2"/>
    <row r="801" ht="40.5" hidden="1" customHeight="1" x14ac:dyDescent="0.2"/>
    <row r="802" ht="40.5" hidden="1" customHeight="1" x14ac:dyDescent="0.2"/>
    <row r="803" ht="40.5" hidden="1" customHeight="1" x14ac:dyDescent="0.2"/>
    <row r="804" ht="40.5" hidden="1" customHeight="1" x14ac:dyDescent="0.2"/>
    <row r="805" ht="40.5" hidden="1" customHeight="1" x14ac:dyDescent="0.2"/>
    <row r="806" ht="40.5" hidden="1" customHeight="1" x14ac:dyDescent="0.2"/>
    <row r="807" ht="40.5" hidden="1" customHeight="1" x14ac:dyDescent="0.2"/>
    <row r="808" ht="40.5" hidden="1" customHeight="1" x14ac:dyDescent="0.2"/>
    <row r="809" ht="40.5" hidden="1" customHeight="1" x14ac:dyDescent="0.2"/>
    <row r="810" ht="40.5" hidden="1" customHeight="1" x14ac:dyDescent="0.2"/>
    <row r="811" ht="40.5" hidden="1" customHeight="1" x14ac:dyDescent="0.2"/>
    <row r="812" ht="40.5" hidden="1" customHeight="1" x14ac:dyDescent="0.2"/>
    <row r="813" ht="40.5" hidden="1" customHeight="1" x14ac:dyDescent="0.2"/>
    <row r="814" ht="40.5" hidden="1" customHeight="1" x14ac:dyDescent="0.2"/>
    <row r="815" ht="40.5" hidden="1" customHeight="1" x14ac:dyDescent="0.2"/>
    <row r="816" ht="40.5" hidden="1" customHeight="1" x14ac:dyDescent="0.2"/>
    <row r="817" ht="40.5" hidden="1" customHeight="1" x14ac:dyDescent="0.2"/>
    <row r="818" ht="40.5" hidden="1" customHeight="1" x14ac:dyDescent="0.2"/>
    <row r="819" ht="40.5" hidden="1" customHeight="1" x14ac:dyDescent="0.2"/>
    <row r="820" ht="40.5" hidden="1" customHeight="1" x14ac:dyDescent="0.2"/>
    <row r="821" ht="40.5" hidden="1" customHeight="1" x14ac:dyDescent="0.2"/>
    <row r="822" ht="40.5" hidden="1" customHeight="1" x14ac:dyDescent="0.2"/>
    <row r="823" ht="40.5" hidden="1" customHeight="1" x14ac:dyDescent="0.2"/>
    <row r="824" ht="40.5" hidden="1" customHeight="1" x14ac:dyDescent="0.2"/>
    <row r="825" ht="40.5" hidden="1" customHeight="1" x14ac:dyDescent="0.2"/>
    <row r="826" ht="40.5" hidden="1" customHeight="1" x14ac:dyDescent="0.2"/>
    <row r="827" ht="40.5" hidden="1" customHeight="1" x14ac:dyDescent="0.2"/>
    <row r="828" ht="40.5" hidden="1" customHeight="1" x14ac:dyDescent="0.2"/>
    <row r="829" ht="40.5" hidden="1" customHeight="1" x14ac:dyDescent="0.2"/>
    <row r="830" ht="40.5" hidden="1" customHeight="1" x14ac:dyDescent="0.2"/>
    <row r="831" ht="40.5" hidden="1" customHeight="1" x14ac:dyDescent="0.2"/>
    <row r="832" ht="40.5" hidden="1" customHeight="1" x14ac:dyDescent="0.2"/>
    <row r="833" ht="40.5" hidden="1" customHeight="1" x14ac:dyDescent="0.2"/>
    <row r="834" ht="40.5" hidden="1" customHeight="1" x14ac:dyDescent="0.2"/>
    <row r="835" ht="40.5" hidden="1" customHeight="1" x14ac:dyDescent="0.2"/>
    <row r="836" ht="40.5" hidden="1" customHeight="1" x14ac:dyDescent="0.2"/>
    <row r="837" ht="40.5" hidden="1" customHeight="1" x14ac:dyDescent="0.2"/>
    <row r="838" ht="40.5" hidden="1" customHeight="1" x14ac:dyDescent="0.2"/>
    <row r="839" ht="40.5" hidden="1" customHeight="1" x14ac:dyDescent="0.2"/>
    <row r="840" ht="40.5" hidden="1" customHeight="1" x14ac:dyDescent="0.2"/>
    <row r="841" ht="40.5" hidden="1" customHeight="1" x14ac:dyDescent="0.2"/>
    <row r="842" ht="40.5" hidden="1" customHeight="1" x14ac:dyDescent="0.2"/>
    <row r="843" ht="40.5" hidden="1" customHeight="1" x14ac:dyDescent="0.2"/>
    <row r="844" ht="40.5" hidden="1" customHeight="1" x14ac:dyDescent="0.2"/>
    <row r="845" ht="40.5" hidden="1" customHeight="1" x14ac:dyDescent="0.2"/>
    <row r="846" ht="40.5" hidden="1" customHeight="1" x14ac:dyDescent="0.2"/>
    <row r="847" ht="40.5" hidden="1" customHeight="1" x14ac:dyDescent="0.2"/>
    <row r="848" ht="40.5" hidden="1" customHeight="1" x14ac:dyDescent="0.2"/>
    <row r="849" ht="40.5" hidden="1" customHeight="1" x14ac:dyDescent="0.2"/>
    <row r="850" ht="40.5" hidden="1" customHeight="1" x14ac:dyDescent="0.2"/>
    <row r="851" ht="40.5" hidden="1" customHeight="1" x14ac:dyDescent="0.2"/>
    <row r="852" ht="40.5" hidden="1" customHeight="1" x14ac:dyDescent="0.2"/>
    <row r="853" ht="40.5" hidden="1" customHeight="1" x14ac:dyDescent="0.2"/>
    <row r="854" ht="40.5" hidden="1" customHeight="1" x14ac:dyDescent="0.2"/>
    <row r="855" ht="40.5" hidden="1" customHeight="1" x14ac:dyDescent="0.2"/>
    <row r="856" ht="40.5" hidden="1" customHeight="1" x14ac:dyDescent="0.2"/>
    <row r="857" ht="40.5" hidden="1" customHeight="1" x14ac:dyDescent="0.2"/>
    <row r="858" ht="40.5" hidden="1" customHeight="1" x14ac:dyDescent="0.2"/>
    <row r="859" ht="40.5" hidden="1" customHeight="1" x14ac:dyDescent="0.2"/>
    <row r="860" ht="40.5" hidden="1" customHeight="1" x14ac:dyDescent="0.2"/>
    <row r="861" ht="40.5" hidden="1" customHeight="1" x14ac:dyDescent="0.2"/>
    <row r="862" ht="40.5" hidden="1" customHeight="1" x14ac:dyDescent="0.2"/>
    <row r="863" ht="40.5" hidden="1" customHeight="1" x14ac:dyDescent="0.2"/>
    <row r="864" ht="40.5" hidden="1" customHeight="1" x14ac:dyDescent="0.2"/>
    <row r="865" ht="40.5" hidden="1" customHeight="1" x14ac:dyDescent="0.2"/>
    <row r="866" ht="40.5" hidden="1" customHeight="1" x14ac:dyDescent="0.2"/>
    <row r="867" ht="40.5" hidden="1" customHeight="1" x14ac:dyDescent="0.2"/>
    <row r="868" ht="40.5" hidden="1" customHeight="1" x14ac:dyDescent="0.2"/>
    <row r="869" ht="40.5" hidden="1" customHeight="1" x14ac:dyDescent="0.2"/>
    <row r="870" ht="40.5" hidden="1" customHeight="1" x14ac:dyDescent="0.2"/>
    <row r="871" ht="40.5" hidden="1" customHeight="1" x14ac:dyDescent="0.2"/>
    <row r="872" ht="40.5" hidden="1" customHeight="1" x14ac:dyDescent="0.2"/>
    <row r="873" ht="40.5" hidden="1" customHeight="1" x14ac:dyDescent="0.2"/>
    <row r="874" ht="40.5" hidden="1" customHeight="1" x14ac:dyDescent="0.2"/>
    <row r="875" ht="40.5" hidden="1" customHeight="1" x14ac:dyDescent="0.2"/>
    <row r="876" ht="40.5" hidden="1" customHeight="1" x14ac:dyDescent="0.2"/>
    <row r="877" ht="40.5" hidden="1" customHeight="1" x14ac:dyDescent="0.2"/>
    <row r="878" ht="40.5" hidden="1" customHeight="1" x14ac:dyDescent="0.2"/>
    <row r="879" ht="40.5" hidden="1" customHeight="1" x14ac:dyDescent="0.2"/>
    <row r="880" ht="40.5" hidden="1" customHeight="1" x14ac:dyDescent="0.2"/>
    <row r="881" ht="40.5" hidden="1" customHeight="1" x14ac:dyDescent="0.2"/>
    <row r="882" ht="40.5" hidden="1" customHeight="1" x14ac:dyDescent="0.2"/>
    <row r="883" ht="40.5" hidden="1" customHeight="1" x14ac:dyDescent="0.2"/>
    <row r="884" ht="40.5" hidden="1" customHeight="1" x14ac:dyDescent="0.2"/>
    <row r="885" ht="40.5" hidden="1" customHeight="1" x14ac:dyDescent="0.2"/>
    <row r="886" ht="40.5" hidden="1" customHeight="1" x14ac:dyDescent="0.2"/>
    <row r="887" ht="40.5" hidden="1" customHeight="1" x14ac:dyDescent="0.2"/>
    <row r="888" ht="40.5" hidden="1" customHeight="1" x14ac:dyDescent="0.2"/>
    <row r="889" ht="40.5" hidden="1" customHeight="1" x14ac:dyDescent="0.2"/>
    <row r="890" ht="40.5" hidden="1" customHeight="1" x14ac:dyDescent="0.2"/>
    <row r="891" ht="40.5" hidden="1" customHeight="1" x14ac:dyDescent="0.2"/>
    <row r="892" ht="40.5" hidden="1" customHeight="1" x14ac:dyDescent="0.2"/>
    <row r="893" ht="40.5" hidden="1" customHeight="1" x14ac:dyDescent="0.2"/>
    <row r="894" ht="40.5" hidden="1" customHeight="1" x14ac:dyDescent="0.2"/>
    <row r="895" ht="40.5" hidden="1" customHeight="1" x14ac:dyDescent="0.2"/>
    <row r="896" ht="40.5" hidden="1" customHeight="1" x14ac:dyDescent="0.2"/>
    <row r="897" ht="40.5" hidden="1" customHeight="1" x14ac:dyDescent="0.2"/>
    <row r="898" ht="40.5" hidden="1" customHeight="1" x14ac:dyDescent="0.2"/>
    <row r="899" ht="40.5" hidden="1" customHeight="1" x14ac:dyDescent="0.2"/>
    <row r="900" ht="40.5" hidden="1" customHeight="1" x14ac:dyDescent="0.2"/>
    <row r="901" ht="40.5" hidden="1" customHeight="1" x14ac:dyDescent="0.2"/>
    <row r="902" ht="40.5" hidden="1" customHeight="1" x14ac:dyDescent="0.2"/>
    <row r="903" ht="40.5" hidden="1" customHeight="1" x14ac:dyDescent="0.2"/>
    <row r="904" ht="40.5" hidden="1" customHeight="1" x14ac:dyDescent="0.2"/>
    <row r="905" ht="40.5" hidden="1" customHeight="1" x14ac:dyDescent="0.2"/>
    <row r="906" ht="40.5" hidden="1" customHeight="1" x14ac:dyDescent="0.2"/>
    <row r="907" ht="40.5" hidden="1" customHeight="1" x14ac:dyDescent="0.2"/>
    <row r="908" ht="40.5" hidden="1" customHeight="1" x14ac:dyDescent="0.2"/>
    <row r="909" ht="40.5" hidden="1" customHeight="1" x14ac:dyDescent="0.2"/>
    <row r="910" ht="40.5" hidden="1" customHeight="1" x14ac:dyDescent="0.2"/>
    <row r="911" ht="40.5" hidden="1" customHeight="1" x14ac:dyDescent="0.2"/>
    <row r="912" ht="40.5" hidden="1" customHeight="1" x14ac:dyDescent="0.2"/>
    <row r="913" ht="40.5" hidden="1" customHeight="1" x14ac:dyDescent="0.2"/>
    <row r="914" ht="40.5" hidden="1" customHeight="1" x14ac:dyDescent="0.2"/>
    <row r="915" ht="40.5" hidden="1" customHeight="1" x14ac:dyDescent="0.2"/>
    <row r="916" ht="40.5" hidden="1" customHeight="1" x14ac:dyDescent="0.2"/>
    <row r="917" ht="40.5" hidden="1" customHeight="1" x14ac:dyDescent="0.2"/>
    <row r="918" ht="40.5" hidden="1" customHeight="1" x14ac:dyDescent="0.2"/>
    <row r="919" ht="40.5" hidden="1" customHeight="1" x14ac:dyDescent="0.2"/>
    <row r="920" ht="40.5" hidden="1" customHeight="1" x14ac:dyDescent="0.2"/>
    <row r="921" ht="40.5" hidden="1" customHeight="1" x14ac:dyDescent="0.2"/>
    <row r="922" ht="40.5" hidden="1" customHeight="1" x14ac:dyDescent="0.2"/>
    <row r="923" ht="40.5" hidden="1" customHeight="1" x14ac:dyDescent="0.2"/>
    <row r="924" ht="40.5" hidden="1" customHeight="1" x14ac:dyDescent="0.2"/>
    <row r="925" ht="40.5" hidden="1" customHeight="1" x14ac:dyDescent="0.2"/>
    <row r="926" ht="40.5" hidden="1" customHeight="1" x14ac:dyDescent="0.2"/>
    <row r="927" ht="40.5" hidden="1" customHeight="1" x14ac:dyDescent="0.2"/>
    <row r="928" ht="40.5" hidden="1" customHeight="1" x14ac:dyDescent="0.2"/>
    <row r="929" ht="40.5" hidden="1" customHeight="1" x14ac:dyDescent="0.2"/>
    <row r="930" ht="40.5" hidden="1" customHeight="1" x14ac:dyDescent="0.2"/>
    <row r="931" ht="40.5" hidden="1" customHeight="1" x14ac:dyDescent="0.2"/>
    <row r="932" ht="40.5" hidden="1" customHeight="1" x14ac:dyDescent="0.2"/>
    <row r="933" ht="40.5" hidden="1" customHeight="1" x14ac:dyDescent="0.2"/>
    <row r="934" ht="40.5" hidden="1" customHeight="1" x14ac:dyDescent="0.2"/>
    <row r="935" ht="40.5" hidden="1" customHeight="1" x14ac:dyDescent="0.2"/>
    <row r="936" ht="40.5" hidden="1" customHeight="1" x14ac:dyDescent="0.2"/>
    <row r="937" ht="40.5" hidden="1" customHeight="1" x14ac:dyDescent="0.2"/>
    <row r="938" ht="40.5" hidden="1" customHeight="1" x14ac:dyDescent="0.2"/>
    <row r="939" ht="40.5" hidden="1" customHeight="1" x14ac:dyDescent="0.2"/>
    <row r="940" ht="40.5" hidden="1" customHeight="1" x14ac:dyDescent="0.2"/>
    <row r="941" ht="40.5" hidden="1" customHeight="1" x14ac:dyDescent="0.2"/>
    <row r="942" ht="40.5" hidden="1" customHeight="1" x14ac:dyDescent="0.2"/>
    <row r="943" ht="40.5" hidden="1" customHeight="1" x14ac:dyDescent="0.2"/>
    <row r="944" ht="40.5" hidden="1" customHeight="1" x14ac:dyDescent="0.2"/>
    <row r="945" ht="40.5" hidden="1" customHeight="1" x14ac:dyDescent="0.2"/>
    <row r="946" ht="40.5" hidden="1" customHeight="1" x14ac:dyDescent="0.2"/>
    <row r="947" ht="40.5" hidden="1" customHeight="1" x14ac:dyDescent="0.2"/>
    <row r="948" ht="40.5" hidden="1" customHeight="1" x14ac:dyDescent="0.2"/>
    <row r="949" ht="40.5" hidden="1" customHeight="1" x14ac:dyDescent="0.2"/>
    <row r="950" ht="40.5" hidden="1" customHeight="1" x14ac:dyDescent="0.2"/>
    <row r="951" ht="40.5" hidden="1" customHeight="1" x14ac:dyDescent="0.2"/>
    <row r="952" ht="40.5" hidden="1" customHeight="1" x14ac:dyDescent="0.2"/>
    <row r="953" ht="40.5" hidden="1" customHeight="1" x14ac:dyDescent="0.2"/>
    <row r="954" ht="40.5" hidden="1" customHeight="1" x14ac:dyDescent="0.2"/>
    <row r="955" ht="40.5" hidden="1" customHeight="1" x14ac:dyDescent="0.2"/>
    <row r="956" ht="40.5" hidden="1" customHeight="1" x14ac:dyDescent="0.2"/>
    <row r="957" ht="40.5" hidden="1" customHeight="1" x14ac:dyDescent="0.2"/>
    <row r="958" ht="40.5" hidden="1" customHeight="1" x14ac:dyDescent="0.2"/>
    <row r="959" ht="40.5" hidden="1" customHeight="1" x14ac:dyDescent="0.2"/>
    <row r="960" ht="40.5" hidden="1" customHeight="1" x14ac:dyDescent="0.2"/>
    <row r="961" ht="40.5" hidden="1" customHeight="1" x14ac:dyDescent="0.2"/>
    <row r="962" ht="40.5" hidden="1" customHeight="1" x14ac:dyDescent="0.2"/>
    <row r="963" ht="40.5" hidden="1" customHeight="1" x14ac:dyDescent="0.2"/>
    <row r="964" ht="40.5" hidden="1" customHeight="1" x14ac:dyDescent="0.2"/>
    <row r="965" ht="40.5" hidden="1" customHeight="1" x14ac:dyDescent="0.2"/>
    <row r="966" ht="40.5" hidden="1" customHeight="1" x14ac:dyDescent="0.2"/>
    <row r="967" ht="40.5" hidden="1" customHeight="1" x14ac:dyDescent="0.2"/>
    <row r="968" ht="40.5" hidden="1" customHeight="1" x14ac:dyDescent="0.2"/>
    <row r="969" ht="40.5" hidden="1" customHeight="1" x14ac:dyDescent="0.2"/>
    <row r="970" ht="40.5" hidden="1" customHeight="1" x14ac:dyDescent="0.2"/>
    <row r="971" ht="40.5" hidden="1" customHeight="1" x14ac:dyDescent="0.2"/>
    <row r="972" ht="40.5" hidden="1" customHeight="1" x14ac:dyDescent="0.2"/>
    <row r="973" ht="40.5" hidden="1" customHeight="1" x14ac:dyDescent="0.2"/>
    <row r="974" ht="40.5" hidden="1" customHeight="1" x14ac:dyDescent="0.2"/>
    <row r="975" ht="40.5" hidden="1" customHeight="1" x14ac:dyDescent="0.2"/>
    <row r="976" ht="40.5" hidden="1" customHeight="1" x14ac:dyDescent="0.2"/>
    <row r="977" ht="40.5" hidden="1" customHeight="1" x14ac:dyDescent="0.2"/>
    <row r="978" ht="40.5" hidden="1" customHeight="1" x14ac:dyDescent="0.2"/>
    <row r="979" ht="40.5" hidden="1" customHeight="1" x14ac:dyDescent="0.2"/>
    <row r="980" ht="40.5" hidden="1" customHeight="1" x14ac:dyDescent="0.2"/>
    <row r="981" ht="40.5" hidden="1" customHeight="1" x14ac:dyDescent="0.2"/>
    <row r="982" ht="40.5" hidden="1" customHeight="1" x14ac:dyDescent="0.2"/>
    <row r="983" ht="40.5" hidden="1" customHeight="1" x14ac:dyDescent="0.2"/>
    <row r="984" ht="40.5" hidden="1" customHeight="1" x14ac:dyDescent="0.2"/>
    <row r="985" ht="40.5" hidden="1" customHeight="1" x14ac:dyDescent="0.2"/>
    <row r="986" ht="40.5" hidden="1" customHeight="1" x14ac:dyDescent="0.2"/>
    <row r="987" ht="40.5" hidden="1" customHeight="1" x14ac:dyDescent="0.2"/>
    <row r="988" ht="40.5" hidden="1" customHeight="1" x14ac:dyDescent="0.2"/>
    <row r="989" ht="40.5" hidden="1" customHeight="1" x14ac:dyDescent="0.2"/>
    <row r="990" ht="40.5" hidden="1" customHeight="1" x14ac:dyDescent="0.2"/>
    <row r="991" ht="40.5" hidden="1" customHeight="1" x14ac:dyDescent="0.2"/>
    <row r="992" ht="40.5" hidden="1" customHeight="1" x14ac:dyDescent="0.2"/>
    <row r="993" ht="40.5" hidden="1" customHeight="1" x14ac:dyDescent="0.2"/>
    <row r="994" ht="40.5" hidden="1" customHeight="1" x14ac:dyDescent="0.2"/>
    <row r="995" ht="40.5" hidden="1" customHeight="1" x14ac:dyDescent="0.2"/>
    <row r="996" ht="40.5" hidden="1" customHeight="1" x14ac:dyDescent="0.2"/>
    <row r="997" ht="40.5" hidden="1" customHeight="1" x14ac:dyDescent="0.2"/>
    <row r="998" ht="40.5" hidden="1" customHeight="1" x14ac:dyDescent="0.2"/>
    <row r="999" ht="40.5" hidden="1" customHeight="1" x14ac:dyDescent="0.2"/>
    <row r="1000" ht="40.5" hidden="1" customHeight="1" x14ac:dyDescent="0.2"/>
    <row r="1001" ht="40.5" hidden="1" customHeight="1" x14ac:dyDescent="0.2"/>
  </sheetData>
  <sheetProtection algorithmName="SHA-512" hashValue="7apScWe68oSNwCSsgHzFKr33L/caSdUwB3BxzyNuXJmkL+J+h/r0p8R2T9S9HGt+Dycyyl9R2tZlRXs7Tg18WQ==" saltValue="tIjSoha9C+pRoao0s7I4kg==" spinCount="100000" sheet="1" objects="1" scenarios="1"/>
  <mergeCells count="85">
    <mergeCell ref="J62:K86"/>
    <mergeCell ref="F69:G69"/>
    <mergeCell ref="F67:G67"/>
    <mergeCell ref="F87:I87"/>
    <mergeCell ref="F81:G81"/>
    <mergeCell ref="F66:G66"/>
    <mergeCell ref="F80:G80"/>
    <mergeCell ref="F62:G62"/>
    <mergeCell ref="F98:G98"/>
    <mergeCell ref="F99:I99"/>
    <mergeCell ref="F94:I94"/>
    <mergeCell ref="F92:G92"/>
    <mergeCell ref="F63:G63"/>
    <mergeCell ref="F79:G79"/>
    <mergeCell ref="F64:G64"/>
    <mergeCell ref="F68:G68"/>
    <mergeCell ref="F65:G65"/>
    <mergeCell ref="F88:I88"/>
    <mergeCell ref="F61:H61"/>
    <mergeCell ref="G36:I36"/>
    <mergeCell ref="F41:I41"/>
    <mergeCell ref="F54:G54"/>
    <mergeCell ref="F44:I44"/>
    <mergeCell ref="F56:I56"/>
    <mergeCell ref="E57:E60"/>
    <mergeCell ref="F5:I5"/>
    <mergeCell ref="F3:K3"/>
    <mergeCell ref="G60:I60"/>
    <mergeCell ref="F45:I45"/>
    <mergeCell ref="E4:I4"/>
    <mergeCell ref="C3:E3"/>
    <mergeCell ref="F8:I8"/>
    <mergeCell ref="F6:G6"/>
    <mergeCell ref="F26:G26"/>
    <mergeCell ref="F57:I57"/>
    <mergeCell ref="F52:G52"/>
    <mergeCell ref="F53:G53"/>
    <mergeCell ref="C4:C36"/>
    <mergeCell ref="F55:I55"/>
    <mergeCell ref="F7:G7"/>
    <mergeCell ref="F17:G17"/>
    <mergeCell ref="F33:I33"/>
    <mergeCell ref="F90:G90"/>
    <mergeCell ref="E135:K135"/>
    <mergeCell ref="J89:K98"/>
    <mergeCell ref="F91:G91"/>
    <mergeCell ref="F89:G89"/>
    <mergeCell ref="F93:G93"/>
    <mergeCell ref="J115:K119"/>
    <mergeCell ref="F121:I121"/>
    <mergeCell ref="F100:I100"/>
    <mergeCell ref="F114:I114"/>
    <mergeCell ref="F115:G115"/>
    <mergeCell ref="F101:I101"/>
    <mergeCell ref="F102:I102"/>
    <mergeCell ref="G113:I113"/>
    <mergeCell ref="J103:K112"/>
    <mergeCell ref="F133:I133"/>
    <mergeCell ref="E122:E128"/>
    <mergeCell ref="F129:I129"/>
    <mergeCell ref="F122:I122"/>
    <mergeCell ref="F132:I132"/>
    <mergeCell ref="E130:I130"/>
    <mergeCell ref="F131:I131"/>
    <mergeCell ref="D162:K162"/>
    <mergeCell ref="D161:F161"/>
    <mergeCell ref="D160:F160"/>
    <mergeCell ref="D158:F158"/>
    <mergeCell ref="D157:F157"/>
    <mergeCell ref="F134:I134"/>
    <mergeCell ref="F137:I137"/>
    <mergeCell ref="D159:F159"/>
    <mergeCell ref="F143:I143"/>
    <mergeCell ref="G141:I141"/>
    <mergeCell ref="D156:F156"/>
    <mergeCell ref="E154:K154"/>
    <mergeCell ref="D149:K149"/>
    <mergeCell ref="E148:I148"/>
    <mergeCell ref="F144:K144"/>
    <mergeCell ref="F147:G147"/>
    <mergeCell ref="G142:I142"/>
    <mergeCell ref="F140:I140"/>
    <mergeCell ref="F136:I136"/>
    <mergeCell ref="F139:I139"/>
    <mergeCell ref="F138:I138"/>
  </mergeCells>
  <dataValidations count="17">
    <dataValidation type="textLength" operator="lessThanOrEqual" allowBlank="1" showErrorMessage="1" error="Characters Upto 50" sqref="G38:G40">
      <formula1>50</formula1>
    </dataValidation>
    <dataValidation type="whole" allowBlank="1" showErrorMessage="1" error="Non negative, No decimal, upto 99,999,999,999,999" sqref="I43 I46:I51">
      <formula1>0</formula1>
      <formula2>99999999999999</formula2>
    </dataValidation>
    <dataValidation type="whole" allowBlank="1" showErrorMessage="1" error="Amount entered should be Numeric, Non negative No decimal, upto 99,999,999,999,999" sqref="I34:I35">
      <formula1>0</formula1>
      <formula2>99999999999999</formula2>
    </dataValidation>
    <dataValidation type="whole" allowBlank="1" showErrorMessage="1" error="Non Negative, No decimal, should not exceed 14 digits." sqref="K137:K138">
      <formula1>0</formula1>
      <formula2>99999999999999</formula2>
    </dataValidation>
    <dataValidation type="whole" allowBlank="1" showErrorMessage="1" sqref="K139">
      <formula1>-99999999999999</formula1>
      <formula2>99999999999999</formula2>
    </dataValidation>
    <dataValidation type="whole" allowBlank="1" showErrorMessage="1" sqref="K140:K142">
      <formula1>0</formula1>
      <formula2>99999999999999</formula2>
    </dataValidation>
    <dataValidation type="whole" allowBlank="1" showErrorMessage="1" error="  No decimal, upto 99,999,999,999,999 " sqref="K122:K129 I128">
      <formula1>-99999999999999</formula1>
      <formula2>99999999999999</formula2>
    </dataValidation>
    <dataValidation type="whole" allowBlank="1" showErrorMessage="1" error="No decimal, upto 99,999,999,999,999" sqref="I87 K136 K134 I6:I7 K5 K60:K61 I116:I119 K113:K114 I97 I91:I93 K100:K101 K88 I62:I66 K120:K121 K131 K55 K44 K143 I28:I32 I26 K145:K148">
      <formula1>-99999999999999</formula1>
      <formula2>99999999999999</formula2>
    </dataValidation>
    <dataValidation type="whole" allowBlank="1" showErrorMessage="1" error="  Non negative, no decimal, upto 99,999,999,999,999" sqref="I67:I80 K56 K132:K133 I98:I99 I95:I96 I89:I90 I52:I54 I58:I59 I42 I38:I40 I103:I112">
      <formula1>0</formula1>
      <formula2>99999999999999</formula2>
    </dataValidation>
    <dataValidation type="whole" allowBlank="1" showErrorMessage="1" error="Numeric,Non negative,No decimal upto 99,999,999,999,999" sqref="I82:I86">
      <formula1>0</formula1>
      <formula2>99999999999999</formula2>
    </dataValidation>
    <dataValidation type="whole" allowBlank="1" showErrorMessage="1" error="No decimal, upto 99,999,999,999,999" sqref="I81">
      <formula1>0</formula1>
      <formula2>99999999999999</formula2>
    </dataValidation>
    <dataValidation allowBlank="1" showErrorMessage="1" sqref="I18 I27"/>
    <dataValidation type="whole" allowBlank="1" showErrorMessage="1" error="  No decimal, upto 99,999,999,999,999 " sqref="I123:I127">
      <formula1>0</formula1>
      <formula2>99999999999999</formula2>
    </dataValidation>
    <dataValidation type="whole" allowBlank="1" showErrorMessage="1" error="No decimal, Non Negative, upto 99,999,999,999,999" sqref="I19:I25">
      <formula1>0</formula1>
      <formula2>99999999999999</formula2>
    </dataValidation>
    <dataValidation type="whole" allowBlank="1" showErrorMessage="1" error="No decimal, Non Negative upto 99,999,999,999,999" sqref="I17">
      <formula1>0</formula1>
      <formula2>99999999999999</formula2>
    </dataValidation>
    <dataValidation type="whole" allowBlank="1" showErrorMessage="1" error="Amount entered should be Numeric,Non negative, No decimal, upto 99,999,999,999,999" sqref="I9:I16">
      <formula1>0</formula1>
      <formula2>99999999999999</formula2>
    </dataValidation>
    <dataValidation type="list" allowBlank="1" showInputMessage="1" showErrorMessage="1" errorTitle="35AD" error="Please select from list" sqref="G145:G146">
      <formula1>BP_Drp</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89089" r:id="rId5" name="Button 1">
              <controlPr defaultSize="0" print="0" autoFill="0" autoPict="0" macro="[0]!ValidateSheetBP">
                <anchor>
                  <from>
                    <xdr:col>12</xdr:col>
                    <xdr:colOff>114300</xdr:colOff>
                    <xdr:row>3</xdr:row>
                    <xdr:rowOff>38100</xdr:rowOff>
                  </from>
                  <to>
                    <xdr:col>12</xdr:col>
                    <xdr:colOff>1485900</xdr:colOff>
                    <xdr:row>4</xdr:row>
                    <xdr:rowOff>28575</xdr:rowOff>
                  </to>
                </anchor>
              </controlPr>
            </control>
          </mc:Choice>
        </mc:AlternateContent>
        <mc:AlternateContent xmlns:mc="http://schemas.openxmlformats.org/markup-compatibility/2006">
          <mc:Choice Requires="x14">
            <control shapeId="89091" r:id="rId6" name="Button 3">
              <controlPr defaultSize="0" print="0" autoFill="0" autoPict="0" macro="[0]!Prev_Sheet">
                <anchor>
                  <from>
                    <xdr:col>12</xdr:col>
                    <xdr:colOff>114300</xdr:colOff>
                    <xdr:row>5</xdr:row>
                    <xdr:rowOff>28575</xdr:rowOff>
                  </from>
                  <to>
                    <xdr:col>12</xdr:col>
                    <xdr:colOff>1485900</xdr:colOff>
                    <xdr:row>5</xdr:row>
                    <xdr:rowOff>304800</xdr:rowOff>
                  </to>
                </anchor>
              </controlPr>
            </control>
          </mc:Choice>
        </mc:AlternateContent>
        <mc:AlternateContent xmlns:mc="http://schemas.openxmlformats.org/markup-compatibility/2006">
          <mc:Choice Requires="x14">
            <control shapeId="89092" r:id="rId7" name="Button 4">
              <controlPr defaultSize="0" print="0" autoFill="0" autoPict="0" macro="[0]!Img_Home_Click">
                <anchor>
                  <from>
                    <xdr:col>12</xdr:col>
                    <xdr:colOff>114300</xdr:colOff>
                    <xdr:row>1</xdr:row>
                    <xdr:rowOff>66675</xdr:rowOff>
                  </from>
                  <to>
                    <xdr:col>12</xdr:col>
                    <xdr:colOff>1485900</xdr:colOff>
                    <xdr:row>3</xdr:row>
                    <xdr:rowOff>19050</xdr:rowOff>
                  </to>
                </anchor>
              </controlPr>
            </control>
          </mc:Choice>
        </mc:AlternateContent>
        <mc:AlternateContent xmlns:mc="http://schemas.openxmlformats.org/markup-compatibility/2006">
          <mc:Choice Requires="x14">
            <control shapeId="89094" r:id="rId8" name="Button 6">
              <controlPr defaultSize="0" print="0" autoFill="0" autoPict="0" macro="[0]!Next_Sheet">
                <anchor>
                  <from>
                    <xdr:col>12</xdr:col>
                    <xdr:colOff>114300</xdr:colOff>
                    <xdr:row>4</xdr:row>
                    <xdr:rowOff>57150</xdr:rowOff>
                  </from>
                  <to>
                    <xdr:col>12</xdr:col>
                    <xdr:colOff>1485900</xdr:colOff>
                    <xdr:row>5</xdr:row>
                    <xdr:rowOff>0</xdr:rowOff>
                  </to>
                </anchor>
              </controlPr>
            </control>
          </mc:Choice>
        </mc:AlternateContent>
        <mc:AlternateContent xmlns:mc="http://schemas.openxmlformats.org/markup-compatibility/2006">
          <mc:Choice Requires="x14">
            <control shapeId="89095" r:id="rId9" name="Button 7">
              <controlPr defaultSize="0" print="0" autoFill="0" autoPict="0" macro="[0]!Instruction_Sheet">
                <anchor>
                  <from>
                    <xdr:col>12</xdr:col>
                    <xdr:colOff>114300</xdr:colOff>
                    <xdr:row>7</xdr:row>
                    <xdr:rowOff>152400</xdr:rowOff>
                  </from>
                  <to>
                    <xdr:col>12</xdr:col>
                    <xdr:colOff>1485900</xdr:colOff>
                    <xdr:row>8</xdr:row>
                    <xdr:rowOff>114300</xdr:rowOff>
                  </to>
                </anchor>
              </controlPr>
            </control>
          </mc:Choice>
        </mc:AlternateContent>
        <mc:AlternateContent xmlns:mc="http://schemas.openxmlformats.org/markup-compatibility/2006">
          <mc:Choice Requires="x14">
            <control shapeId="89096" r:id="rId10" name="Button 8">
              <controlPr defaultSize="0" print="0" autoFill="0" autoPict="0" macro="[0]!WorksheetsPrint">
                <anchor>
                  <from>
                    <xdr:col>12</xdr:col>
                    <xdr:colOff>114300</xdr:colOff>
                    <xdr:row>6</xdr:row>
                    <xdr:rowOff>285750</xdr:rowOff>
                  </from>
                  <to>
                    <xdr:col>12</xdr:col>
                    <xdr:colOff>1485900</xdr:colOff>
                    <xdr:row>7</xdr:row>
                    <xdr:rowOff>133350</xdr:rowOff>
                  </to>
                </anchor>
              </controlPr>
            </control>
          </mc:Choice>
        </mc:AlternateContent>
        <mc:AlternateContent xmlns:mc="http://schemas.openxmlformats.org/markup-compatibility/2006">
          <mc:Choice Requires="x14">
            <control shapeId="89097" r:id="rId11" name="Button 9">
              <controlPr defaultSize="0" print="0" autoFill="0" autoPict="0" macro="[0]!GenerateJSON.GenerateJSON">
                <anchor>
                  <from>
                    <xdr:col>12</xdr:col>
                    <xdr:colOff>114300</xdr:colOff>
                    <xdr:row>5</xdr:row>
                    <xdr:rowOff>342900</xdr:rowOff>
                  </from>
                  <to>
                    <xdr:col>12</xdr:col>
                    <xdr:colOff>1485900</xdr:colOff>
                    <xdr:row>6</xdr:row>
                    <xdr:rowOff>247650</xdr:rowOff>
                  </to>
                </anchor>
              </controlPr>
            </control>
          </mc:Choice>
        </mc:AlternateContent>
        <mc:AlternateContent xmlns:mc="http://schemas.openxmlformats.org/markup-compatibility/2006">
          <mc:Choice Requires="x14">
            <control shapeId="89099" r:id="rId12" name="Button 11">
              <controlPr defaultSize="0" print="0" autoFill="0" autoPict="0" macro="[0]!Cmd_AddRows_BP_Click">
                <anchor moveWithCells="1">
                  <from>
                    <xdr:col>5</xdr:col>
                    <xdr:colOff>0</xdr:colOff>
                    <xdr:row>146</xdr:row>
                    <xdr:rowOff>38100</xdr:rowOff>
                  </from>
                  <to>
                    <xdr:col>6</xdr:col>
                    <xdr:colOff>981075</xdr:colOff>
                    <xdr:row>146</xdr:row>
                    <xdr:rowOff>323850</xdr:rowOff>
                  </to>
                </anchor>
              </controlPr>
            </control>
          </mc:Choice>
        </mc:AlternateContent>
        <mc:AlternateContent xmlns:mc="http://schemas.openxmlformats.org/markup-compatibility/2006">
          <mc:Choice Requires="x14">
            <control shapeId="89105" r:id="rId13" name="Button 17">
              <controlPr defaultSize="0" print="0" autoFill="0" autoPict="0" macro="[0]!AddRows_BPOE">
                <anchor moveWithCells="1">
                  <from>
                    <xdr:col>5</xdr:col>
                    <xdr:colOff>0</xdr:colOff>
                    <xdr:row>40</xdr:row>
                    <xdr:rowOff>38100</xdr:rowOff>
                  </from>
                  <to>
                    <xdr:col>6</xdr:col>
                    <xdr:colOff>981075</xdr:colOff>
                    <xdr:row>40</xdr:row>
                    <xdr:rowOff>323850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XFC1000"/>
  <sheetViews>
    <sheetView showGridLines="0" showRowColHeaders="0" zoomScaleNormal="100" workbookViewId="0">
      <selection activeCell="G7" sqref="G7"/>
    </sheetView>
  </sheetViews>
  <sheetFormatPr defaultColWidth="0" defaultRowHeight="12.75" zeroHeight="1" x14ac:dyDescent="0.2"/>
  <cols>
    <col min="1" max="1" width="3.85546875" style="113" customWidth="1"/>
    <col min="2" max="2" width="3.7109375" style="113" customWidth="1"/>
    <col min="3" max="3" width="4" style="113" customWidth="1"/>
    <col min="4" max="4" width="5.28515625" style="283" customWidth="1"/>
    <col min="5" max="5" width="35.42578125" style="283" customWidth="1"/>
    <col min="6" max="6" width="15.85546875" style="113" customWidth="1"/>
    <col min="7" max="7" width="14.85546875" style="113" customWidth="1"/>
    <col min="8" max="8" width="14.42578125" style="113" customWidth="1"/>
    <col min="9" max="9" width="14.7109375" style="113" customWidth="1"/>
    <col min="10" max="10" width="24" style="113" customWidth="1"/>
    <col min="11" max="11" width="13.5703125" style="113" customWidth="1"/>
    <col min="12" max="12" width="15.140625" style="113" customWidth="1"/>
    <col min="13" max="13" width="4.28515625" style="117" customWidth="1"/>
    <col min="14" max="14" width="9.140625" style="113" customWidth="1"/>
    <col min="15" max="15" width="9.140625" style="113" hidden="1"/>
    <col min="16" max="16383" width="2.85546875" style="113" hidden="1"/>
    <col min="16384" max="16384" width="4.140625" style="113" hidden="1"/>
  </cols>
  <sheetData>
    <row r="1" spans="2:48" ht="13.5" thickBot="1" x14ac:dyDescent="0.25"/>
    <row r="2" spans="2:48" x14ac:dyDescent="0.2">
      <c r="B2" s="1130"/>
      <c r="C2" s="1131"/>
      <c r="D2" s="1146"/>
      <c r="E2" s="1146"/>
      <c r="F2" s="1131"/>
      <c r="G2" s="1131"/>
      <c r="H2" s="1131"/>
      <c r="I2" s="1131"/>
      <c r="J2" s="1131"/>
      <c r="K2" s="1131"/>
      <c r="L2" s="1131"/>
      <c r="M2" s="1140"/>
      <c r="P2" s="294">
        <f>F12+F15-F10-F11-F14</f>
        <v>0</v>
      </c>
      <c r="Q2" s="294">
        <f>G12+G15-G10-G11-G14</f>
        <v>0</v>
      </c>
      <c r="R2" s="294">
        <f>H12+H15-H10-H11-H14</f>
        <v>0</v>
      </c>
      <c r="S2" s="294">
        <f>I12+I15-I10-I11-I14</f>
        <v>0</v>
      </c>
    </row>
    <row r="3" spans="2:48" ht="28.5" customHeight="1" x14ac:dyDescent="0.2">
      <c r="B3" s="1121"/>
      <c r="C3" s="3353" t="s">
        <v>827</v>
      </c>
      <c r="D3" s="3354"/>
      <c r="E3" s="3047" t="s">
        <v>7372</v>
      </c>
      <c r="F3" s="3335"/>
      <c r="G3" s="3335"/>
      <c r="H3" s="3335"/>
      <c r="I3" s="1765"/>
      <c r="J3" s="354"/>
      <c r="K3" s="354"/>
      <c r="L3" s="354"/>
      <c r="M3" s="1136"/>
      <c r="P3" s="294">
        <f t="shared" ref="P3:U3" si="0">G38+G41-G36-G37-G40</f>
        <v>0</v>
      </c>
      <c r="Q3" s="294">
        <f t="shared" si="0"/>
        <v>0</v>
      </c>
      <c r="R3" s="294">
        <f t="shared" si="0"/>
        <v>0</v>
      </c>
      <c r="S3" s="294">
        <f t="shared" si="0"/>
        <v>0</v>
      </c>
      <c r="T3" s="294">
        <f t="shared" si="0"/>
        <v>0</v>
      </c>
      <c r="U3" s="294">
        <f t="shared" si="0"/>
        <v>0</v>
      </c>
    </row>
    <row r="4" spans="2:48" ht="12.75" customHeight="1" x14ac:dyDescent="0.2">
      <c r="B4" s="1121"/>
      <c r="C4" s="3355" t="s">
        <v>828</v>
      </c>
      <c r="D4" s="465">
        <v>1</v>
      </c>
      <c r="E4" s="1966" t="s">
        <v>829</v>
      </c>
      <c r="F4" s="3356" t="s">
        <v>830</v>
      </c>
      <c r="G4" s="3113"/>
      <c r="H4" s="3113"/>
      <c r="I4" s="1765"/>
      <c r="J4" s="354"/>
      <c r="K4" s="354"/>
      <c r="L4" s="354"/>
      <c r="M4" s="1136"/>
    </row>
    <row r="5" spans="2:48" ht="12.75" customHeight="1" x14ac:dyDescent="0.2">
      <c r="B5" s="1121"/>
      <c r="C5" s="3355"/>
      <c r="D5" s="465">
        <v>2</v>
      </c>
      <c r="E5" s="1966" t="s">
        <v>831</v>
      </c>
      <c r="F5" s="22">
        <v>15</v>
      </c>
      <c r="G5" s="22">
        <v>30</v>
      </c>
      <c r="H5" s="1732">
        <v>40</v>
      </c>
      <c r="I5" s="1934">
        <v>45</v>
      </c>
      <c r="J5" s="354"/>
      <c r="K5" s="354"/>
      <c r="L5" s="354"/>
      <c r="M5" s="1136"/>
    </row>
    <row r="6" spans="2:48" ht="12.75" customHeight="1" x14ac:dyDescent="0.2">
      <c r="B6" s="1121"/>
      <c r="C6" s="3355"/>
      <c r="D6" s="2"/>
      <c r="E6" s="466"/>
      <c r="F6" s="23" t="s">
        <v>832</v>
      </c>
      <c r="G6" s="23" t="s">
        <v>833</v>
      </c>
      <c r="H6" s="1567" t="s">
        <v>834</v>
      </c>
      <c r="I6" s="1307" t="s">
        <v>7730</v>
      </c>
      <c r="J6" s="354"/>
      <c r="K6" s="354"/>
      <c r="L6" s="354"/>
      <c r="M6" s="1136"/>
      <c r="AS6" s="22">
        <v>50</v>
      </c>
      <c r="AT6" s="22">
        <v>60</v>
      </c>
      <c r="AU6" s="6">
        <v>80</v>
      </c>
      <c r="AV6" s="22">
        <v>100</v>
      </c>
    </row>
    <row r="7" spans="2:48" ht="27" customHeight="1" x14ac:dyDescent="0.2">
      <c r="B7" s="1121"/>
      <c r="C7" s="3355"/>
      <c r="D7" s="24">
        <v>3</v>
      </c>
      <c r="E7" s="1345" t="s">
        <v>839</v>
      </c>
      <c r="F7" s="801"/>
      <c r="G7" s="801"/>
      <c r="H7" s="1390"/>
      <c r="I7" s="2166"/>
      <c r="J7" s="717"/>
      <c r="K7" s="354"/>
      <c r="L7" s="354"/>
      <c r="M7" s="1136"/>
      <c r="Q7" s="467"/>
      <c r="R7" s="467"/>
      <c r="T7" s="113">
        <v>15</v>
      </c>
      <c r="U7" s="113">
        <v>30</v>
      </c>
      <c r="V7" s="113">
        <v>40</v>
      </c>
      <c r="W7" s="113">
        <v>50</v>
      </c>
      <c r="X7" s="113">
        <v>60</v>
      </c>
      <c r="Y7" s="113">
        <v>80</v>
      </c>
      <c r="Z7" s="113">
        <v>100</v>
      </c>
      <c r="AS7" s="23" t="s">
        <v>835</v>
      </c>
      <c r="AT7" s="23" t="s">
        <v>836</v>
      </c>
      <c r="AU7" s="23" t="s">
        <v>837</v>
      </c>
      <c r="AV7" s="23" t="s">
        <v>838</v>
      </c>
    </row>
    <row r="8" spans="2:48" ht="6.75" hidden="1" customHeight="1" x14ac:dyDescent="0.2">
      <c r="B8" s="1121"/>
      <c r="C8" s="3355"/>
      <c r="D8" s="24" t="s">
        <v>8295</v>
      </c>
      <c r="E8" s="1345" t="s">
        <v>8296</v>
      </c>
      <c r="F8" s="1907"/>
      <c r="G8" s="1907"/>
      <c r="H8" s="1907"/>
      <c r="I8" s="2166"/>
      <c r="J8" s="717"/>
      <c r="K8" s="354"/>
      <c r="L8" s="354"/>
      <c r="M8" s="1136"/>
      <c r="Q8" s="467"/>
      <c r="R8" s="467"/>
      <c r="AS8" s="23"/>
      <c r="AT8" s="23"/>
      <c r="AU8" s="23"/>
      <c r="AV8" s="23"/>
    </row>
    <row r="9" spans="2:48" ht="7.5" hidden="1" customHeight="1" x14ac:dyDescent="0.2">
      <c r="B9" s="1121"/>
      <c r="C9" s="3355"/>
      <c r="D9" s="2184" t="s">
        <v>768</v>
      </c>
      <c r="E9" s="2187" t="s">
        <v>12784</v>
      </c>
      <c r="F9" s="2666"/>
      <c r="G9" s="2666"/>
      <c r="H9" s="2666"/>
      <c r="I9" s="2194"/>
      <c r="J9" s="717"/>
      <c r="K9" s="354"/>
      <c r="L9" s="354"/>
      <c r="M9" s="1136"/>
      <c r="Q9" s="467"/>
      <c r="R9" s="467"/>
      <c r="AS9" s="2186"/>
      <c r="AT9" s="2186"/>
      <c r="AU9" s="2186"/>
      <c r="AV9" s="2186"/>
    </row>
    <row r="10" spans="2:48" ht="11.25" hidden="1" customHeight="1" x14ac:dyDescent="0.2">
      <c r="B10" s="1121"/>
      <c r="C10" s="3355"/>
      <c r="D10" s="2184" t="s">
        <v>769</v>
      </c>
      <c r="E10" s="2187" t="s">
        <v>12785</v>
      </c>
      <c r="F10" s="2190"/>
      <c r="G10" s="2269">
        <f>0+DPM30.WDVFirstDayBAC</f>
        <v>0</v>
      </c>
      <c r="H10" s="2269">
        <f>0+DPM40.WDVFirstDayBAC</f>
        <v>0</v>
      </c>
      <c r="I10" s="2403">
        <v>0</v>
      </c>
      <c r="J10" s="717"/>
      <c r="K10" s="354"/>
      <c r="L10" s="354"/>
      <c r="M10" s="1136"/>
      <c r="Q10" s="467"/>
      <c r="R10" s="467"/>
      <c r="AS10" s="2186"/>
      <c r="AT10" s="2186"/>
      <c r="AU10" s="2186"/>
      <c r="AV10" s="2186"/>
    </row>
    <row r="11" spans="2:48" ht="35.25" customHeight="1" x14ac:dyDescent="0.2">
      <c r="B11" s="1121"/>
      <c r="C11" s="3355"/>
      <c r="D11" s="24">
        <v>4</v>
      </c>
      <c r="E11" s="1345" t="s">
        <v>840</v>
      </c>
      <c r="F11" s="801"/>
      <c r="G11" s="801"/>
      <c r="H11" s="1390"/>
      <c r="I11" s="2088"/>
      <c r="J11" s="717"/>
      <c r="K11" s="354"/>
      <c r="L11" s="354"/>
      <c r="M11" s="1136"/>
      <c r="S11" s="113" t="s">
        <v>1343</v>
      </c>
      <c r="T11" s="294">
        <f>(F12+F15-F7-F11-F14-F26)</f>
        <v>0</v>
      </c>
      <c r="U11" s="294">
        <f>(G12+G15-G7-G11-G14-G26)</f>
        <v>0</v>
      </c>
      <c r="V11" s="294">
        <f>(H12+H15-H7-H11-H14-H26)</f>
        <v>0</v>
      </c>
      <c r="W11" s="294">
        <f>(AS13+AS16-AS11-AS12-AS15-AS27)</f>
        <v>0</v>
      </c>
      <c r="X11" s="294">
        <f>(AT13+AT16-AT11-AT12-AT15-AT27)</f>
        <v>0</v>
      </c>
      <c r="Y11" s="294">
        <f>(AU13+AU16-AU11-AU12-AU15-AU27)</f>
        <v>0</v>
      </c>
      <c r="Z11" s="294">
        <f>(AV13+AV16-AV11-AV12-AV15-AV27)</f>
        <v>0</v>
      </c>
      <c r="AS11" s="998"/>
      <c r="AT11" s="998"/>
      <c r="AU11" s="998"/>
      <c r="AV11" s="998"/>
    </row>
    <row r="12" spans="2:48" ht="33" customHeight="1" x14ac:dyDescent="0.2">
      <c r="B12" s="1121"/>
      <c r="C12" s="3355"/>
      <c r="D12" s="24">
        <v>5</v>
      </c>
      <c r="E12" s="1345" t="s">
        <v>841</v>
      </c>
      <c r="F12" s="801"/>
      <c r="G12" s="801"/>
      <c r="H12" s="1390"/>
      <c r="I12" s="2166"/>
      <c r="J12" s="717"/>
      <c r="K12" s="354"/>
      <c r="L12" s="354"/>
      <c r="M12" s="1136"/>
      <c r="AS12" s="998"/>
      <c r="AT12" s="998"/>
      <c r="AU12" s="998"/>
      <c r="AV12" s="998"/>
    </row>
    <row r="13" spans="2:48" ht="39" customHeight="1" x14ac:dyDescent="0.2">
      <c r="B13" s="1121"/>
      <c r="C13" s="3355"/>
      <c r="D13" s="1452">
        <v>6</v>
      </c>
      <c r="E13" s="477" t="s">
        <v>13069</v>
      </c>
      <c r="F13" s="2462">
        <f>MAX(0,DPM15.WDVFirstDay+DPM15.AdditionsGrThan180Days-DPM15.RealizationTotalPeriod)</f>
        <v>0</v>
      </c>
      <c r="G13" s="2397">
        <f>MAX(0,DPM30.WDVFirstDay+DPM30.AdditionsGrThan180Days-DPM30.RealizationTotalPeriod)</f>
        <v>0</v>
      </c>
      <c r="H13" s="2397">
        <f>MAX(0,DPM40.WDVFirstDay+DPM40.AdditionsGrThan180Days-DPM40.RealizationTotalPeriod)</f>
        <v>0</v>
      </c>
      <c r="I13" s="1019">
        <f>MAX(0,DPM45.WDVFirstDay3+DPM45.AdditionsGrThan180Days-DPM45.RealizationTotalPeriod)</f>
        <v>0</v>
      </c>
      <c r="J13" s="354"/>
      <c r="K13" s="354"/>
      <c r="L13" s="354"/>
      <c r="M13" s="1136"/>
      <c r="AS13" s="998"/>
      <c r="AT13" s="998"/>
      <c r="AU13" s="998"/>
      <c r="AV13" s="998"/>
    </row>
    <row r="14" spans="2:48" ht="33.75" customHeight="1" x14ac:dyDescent="0.2">
      <c r="B14" s="1121"/>
      <c r="C14" s="3355"/>
      <c r="D14" s="24">
        <v>7</v>
      </c>
      <c r="E14" s="1345" t="s">
        <v>842</v>
      </c>
      <c r="F14" s="801"/>
      <c r="G14" s="801"/>
      <c r="H14" s="1390"/>
      <c r="I14" s="2088"/>
      <c r="J14" s="717"/>
      <c r="K14" s="354"/>
      <c r="L14" s="354"/>
      <c r="M14" s="1136"/>
      <c r="AS14" s="210">
        <f>MAX(0,AS11+AS12-AS13)</f>
        <v>0</v>
      </c>
      <c r="AT14" s="210">
        <f>MAX(0,AT11+AT12-AT13)</f>
        <v>0</v>
      </c>
      <c r="AU14" s="210">
        <f>MAX(0,AU11+AU12-AU13)</f>
        <v>0</v>
      </c>
      <c r="AV14" s="210">
        <f>MAX(0,AV11+AV12-AV13)</f>
        <v>0</v>
      </c>
    </row>
    <row r="15" spans="2:48" ht="25.5" x14ac:dyDescent="0.2">
      <c r="B15" s="1121"/>
      <c r="C15" s="3355"/>
      <c r="D15" s="24">
        <v>8</v>
      </c>
      <c r="E15" s="1345" t="s">
        <v>843</v>
      </c>
      <c r="F15" s="801"/>
      <c r="G15" s="801"/>
      <c r="H15" s="1390"/>
      <c r="I15" s="2088"/>
      <c r="J15" s="717"/>
      <c r="K15" s="354"/>
      <c r="L15" s="354"/>
      <c r="M15" s="1136"/>
      <c r="T15" s="294" t="s">
        <v>1314</v>
      </c>
      <c r="U15" s="113" t="s">
        <v>1026</v>
      </c>
      <c r="V15" s="113" t="s">
        <v>1315</v>
      </c>
      <c r="W15" s="113" t="s">
        <v>1316</v>
      </c>
      <c r="X15" s="113" t="s">
        <v>1317</v>
      </c>
      <c r="Y15" s="113" t="s">
        <v>1318</v>
      </c>
      <c r="AS15" s="998"/>
      <c r="AT15" s="998"/>
      <c r="AU15" s="998"/>
      <c r="AV15" s="998"/>
    </row>
    <row r="16" spans="2:48" ht="38.25" customHeight="1" x14ac:dyDescent="0.2">
      <c r="B16" s="1121"/>
      <c r="C16" s="3355"/>
      <c r="D16" s="1452">
        <v>9</v>
      </c>
      <c r="E16" s="477" t="s">
        <v>844</v>
      </c>
      <c r="F16" s="2398">
        <f>MAX(0,F14-F15+MIN(0,F7+F11-F12))</f>
        <v>0</v>
      </c>
      <c r="G16" s="2398">
        <f>MAX(0,G14-G15+MIN(0,G7+G11-G12))</f>
        <v>0</v>
      </c>
      <c r="H16" s="2397">
        <f>MAX(0,H14-H15+MIN(0,H7+H11-H12))</f>
        <v>0</v>
      </c>
      <c r="I16" s="1019">
        <f>MAX(0,I14-I15+MIN(0,I7+I11-I12))</f>
        <v>0</v>
      </c>
      <c r="J16" s="354"/>
      <c r="K16" s="354"/>
      <c r="L16" s="354"/>
      <c r="M16" s="1136"/>
      <c r="S16" s="113" t="s">
        <v>1342</v>
      </c>
      <c r="T16" s="294">
        <f t="shared" ref="T16:Y16" si="1">(G38+G41-G36-G37-G40-G51)</f>
        <v>0</v>
      </c>
      <c r="U16" s="294">
        <f t="shared" si="1"/>
        <v>0</v>
      </c>
      <c r="V16" s="294">
        <f t="shared" si="1"/>
        <v>0</v>
      </c>
      <c r="W16" s="294">
        <f t="shared" si="1"/>
        <v>0</v>
      </c>
      <c r="X16" s="294">
        <f t="shared" si="1"/>
        <v>0</v>
      </c>
      <c r="Y16" s="294">
        <f t="shared" si="1"/>
        <v>0</v>
      </c>
      <c r="AS16" s="998"/>
      <c r="AT16" s="998"/>
      <c r="AU16" s="998"/>
      <c r="AV16" s="998"/>
    </row>
    <row r="17" spans="2:48" ht="12.75" customHeight="1" x14ac:dyDescent="0.2">
      <c r="B17" s="1121"/>
      <c r="C17" s="3355"/>
      <c r="D17" s="1452">
        <v>10</v>
      </c>
      <c r="E17" s="1968" t="s">
        <v>845</v>
      </c>
      <c r="F17" s="1019">
        <f>ROUND(DPM15.FullRateDeprAmt*DPM15.RATE/100,0)</f>
        <v>0</v>
      </c>
      <c r="G17" s="1019">
        <f>ROUND(DPM30.FullRateDeprAmt*DPM30.RATE/100,0)</f>
        <v>0</v>
      </c>
      <c r="H17" s="486">
        <f>ROUND(DPM40.FullRateDeprAmt*DPM40.RATE/100,0)</f>
        <v>0</v>
      </c>
      <c r="I17" s="1019">
        <f>ROUND(DPM45.FullRateDeprAmt*DPM45.RATE/100,0)</f>
        <v>0</v>
      </c>
      <c r="J17" s="354"/>
      <c r="K17" s="354"/>
      <c r="L17" s="354"/>
      <c r="M17" s="1136"/>
      <c r="AS17" s="210">
        <f>MAX(0,AS15-AS16+MIN(0,AS11+AS12-AS13))</f>
        <v>0</v>
      </c>
      <c r="AT17" s="210">
        <f>MAX(0,AT15-AT16+MIN(0,AT11+AT12-AT13))</f>
        <v>0</v>
      </c>
      <c r="AU17" s="210">
        <f>MAX(0,AU15-AU16+MIN(0,AU11+AU12-AU13))</f>
        <v>0</v>
      </c>
      <c r="AV17" s="210">
        <f>MAX(0,AV15-AV16+MIN(0,AV11+AV12-AV13))</f>
        <v>0</v>
      </c>
    </row>
    <row r="18" spans="2:48" ht="12.75" customHeight="1" x14ac:dyDescent="0.2">
      <c r="B18" s="1121"/>
      <c r="C18" s="3355"/>
      <c r="D18" s="1452">
        <v>11</v>
      </c>
      <c r="E18" s="1968" t="s">
        <v>846</v>
      </c>
      <c r="F18" s="1019">
        <f>ROUND(DPM15.HalfRateDeprAmt*DPM15.RATE/200,0)</f>
        <v>0</v>
      </c>
      <c r="G18" s="1019">
        <f>ROUND(DPM30.HalfRateDeprAmt*DPM30.RATE/200,0)</f>
        <v>0</v>
      </c>
      <c r="H18" s="486">
        <f>ROUND(DPM40.HalfRateDeprAmt*DPM40.RATE/200,0)</f>
        <v>0</v>
      </c>
      <c r="I18" s="1019">
        <f>ROUND(DPM45.HalfRateDeprAmt*DPM45.RATE/200,0)</f>
        <v>0</v>
      </c>
      <c r="J18" s="354"/>
      <c r="K18" s="354"/>
      <c r="L18" s="354"/>
      <c r="M18" s="1136"/>
      <c r="AS18" s="262">
        <f>ROUND(DPM50.FullRateDeprAmt*DPM50.RATE/100,0)</f>
        <v>0</v>
      </c>
      <c r="AT18" s="262">
        <f>ROUND(DPM60.FullRateDeprAmt*DPM60.RATE/100,0)</f>
        <v>0</v>
      </c>
      <c r="AU18" s="262">
        <f>ROUND(DPM80.FullRateDeprAmt*DPM80.RATE/100,0)</f>
        <v>0</v>
      </c>
      <c r="AV18" s="262">
        <f>ROUND(DPM100.FullRateDeprAmt*DPM100.RATE/100,0)</f>
        <v>0</v>
      </c>
    </row>
    <row r="19" spans="2:48" ht="12.75" customHeight="1" x14ac:dyDescent="0.2">
      <c r="B19" s="1121"/>
      <c r="C19" s="3355"/>
      <c r="D19" s="24">
        <v>12</v>
      </c>
      <c r="E19" s="1966" t="s">
        <v>847</v>
      </c>
      <c r="F19" s="2089"/>
      <c r="G19" s="2089"/>
      <c r="H19" s="2166"/>
      <c r="I19" s="2088"/>
      <c r="J19" s="717"/>
      <c r="K19" s="354"/>
      <c r="L19" s="354"/>
      <c r="M19" s="1136"/>
      <c r="AS19" s="262">
        <f>ROUND(DPM50.HalfRateDeprAmt*DPM50.RATE/200,0)</f>
        <v>0</v>
      </c>
      <c r="AT19" s="262">
        <f>ROUND(DPM60.HalfRateDeprAmt*DPM60.RATE/200,0)</f>
        <v>0</v>
      </c>
      <c r="AU19" s="262">
        <f>ROUND(DPM80.HalfRateDeprAmt*DPM80.RATE/200,0)</f>
        <v>0</v>
      </c>
      <c r="AV19" s="262">
        <f>ROUND(DPM100.HalfRateDeprAmt*DPM100.RATE/200,0)</f>
        <v>0</v>
      </c>
    </row>
    <row r="20" spans="2:48" ht="12.75" customHeight="1" x14ac:dyDescent="0.2">
      <c r="B20" s="1121"/>
      <c r="C20" s="3355"/>
      <c r="D20" s="24">
        <v>13</v>
      </c>
      <c r="E20" s="1966" t="s">
        <v>848</v>
      </c>
      <c r="F20" s="2089"/>
      <c r="G20" s="2089"/>
      <c r="H20" s="2166"/>
      <c r="I20" s="2088"/>
      <c r="J20" s="717"/>
      <c r="K20" s="354"/>
      <c r="L20" s="354"/>
      <c r="M20" s="1136"/>
      <c r="AS20" s="998"/>
      <c r="AT20" s="998"/>
      <c r="AU20" s="998"/>
      <c r="AV20" s="998"/>
    </row>
    <row r="21" spans="2:48" ht="40.5" customHeight="1" x14ac:dyDescent="0.2">
      <c r="B21" s="1121"/>
      <c r="C21" s="3355"/>
      <c r="D21" s="24">
        <v>14</v>
      </c>
      <c r="E21" s="477" t="s">
        <v>7696</v>
      </c>
      <c r="F21" s="2089"/>
      <c r="G21" s="2089"/>
      <c r="H21" s="2166"/>
      <c r="I21" s="2516"/>
      <c r="J21" s="354"/>
      <c r="K21" s="354"/>
      <c r="L21" s="354"/>
      <c r="M21" s="1136"/>
      <c r="AS21" s="998"/>
      <c r="AT21" s="998"/>
      <c r="AU21" s="998"/>
      <c r="AV21" s="998"/>
    </row>
    <row r="22" spans="2:48" ht="12.75" customHeight="1" x14ac:dyDescent="0.2">
      <c r="B22" s="1121"/>
      <c r="C22" s="3355"/>
      <c r="D22" s="1452">
        <v>15</v>
      </c>
      <c r="E22" s="1968" t="s">
        <v>7697</v>
      </c>
      <c r="F22" s="2398">
        <f>DPM15.DepreciationAtHalfRate + DPM15.DepreciationAtFullRate + DPM15.AddlnDeprDuringYearAdditions + DPM15.AddlnDeprOnGT180DayAdditions  + DPM15.AddlnDeprlessthan180days</f>
        <v>0</v>
      </c>
      <c r="G22" s="2398">
        <f>DPM30.DepreciationAtHalfRate + DPM30.DepreciationAtFullRate + DPM30.AddlnDeprDuringYearAdditions + DPM30.AddlnDeprOnGT180DayAdditions  + DPM30.AddlnDeprlessthan180days</f>
        <v>0</v>
      </c>
      <c r="H22" s="2397">
        <f>DPM40.DepreciationAtHalfRate + DPM40.DepreciationAtFullRate + DPM40.AddlnDeprDuringYearAdditions + DPM40.AddlnDeprOnGT180DayAdditions  + DPM40.AddlnDeprlessthan180days</f>
        <v>0</v>
      </c>
      <c r="I22" s="1019">
        <f>DPM45.DepreciationAtHalfRate + DPM45.DepreciationAtFullRate + DPM45.AddlnDeprDuringYearAdditions + DPM45.AddlnDeprOnGT180DayAdditions  + DPM45.AddlnDeprlessthan180days</f>
        <v>0</v>
      </c>
      <c r="J22" s="354"/>
      <c r="K22" s="354"/>
      <c r="L22" s="354"/>
      <c r="M22" s="1136"/>
      <c r="AS22" s="998"/>
      <c r="AT22" s="998"/>
      <c r="AU22" s="998"/>
      <c r="AV22" s="998"/>
    </row>
    <row r="23" spans="2:48" ht="27" customHeight="1" x14ac:dyDescent="0.2">
      <c r="B23" s="1121"/>
      <c r="C23" s="3355"/>
      <c r="D23" s="24">
        <v>16</v>
      </c>
      <c r="E23" s="1345" t="s">
        <v>8297</v>
      </c>
      <c r="F23" s="801"/>
      <c r="G23" s="801"/>
      <c r="H23" s="1390"/>
      <c r="I23" s="2089"/>
      <c r="J23" s="354"/>
      <c r="K23" s="354"/>
      <c r="L23" s="354"/>
      <c r="M23" s="1136"/>
      <c r="AS23" s="998"/>
      <c r="AT23" s="998"/>
      <c r="AU23" s="998"/>
      <c r="AV23" s="998"/>
    </row>
    <row r="24" spans="2:48" ht="12.75" customHeight="1" x14ac:dyDescent="0.2">
      <c r="B24" s="1121"/>
      <c r="C24" s="3355"/>
      <c r="D24" s="1452">
        <v>17</v>
      </c>
      <c r="E24" s="1968" t="s">
        <v>8299</v>
      </c>
      <c r="F24" s="2398">
        <f>MAX(0,F22-F23)</f>
        <v>0</v>
      </c>
      <c r="G24" s="2398">
        <f>MAX(0,G22-G23)</f>
        <v>0</v>
      </c>
      <c r="H24" s="2397">
        <f>MAX(0,H22-H23)</f>
        <v>0</v>
      </c>
      <c r="I24" s="1019">
        <f>MAX(0,I22-I23)</f>
        <v>0</v>
      </c>
      <c r="J24" s="354"/>
      <c r="K24" s="354"/>
      <c r="L24" s="354"/>
      <c r="M24" s="1136"/>
      <c r="AS24" s="998"/>
      <c r="AT24" s="998"/>
      <c r="AU24" s="998"/>
      <c r="AV24" s="998"/>
    </row>
    <row r="25" spans="2:48" ht="52.5" customHeight="1" x14ac:dyDescent="0.2">
      <c r="B25" s="1121"/>
      <c r="C25" s="3355"/>
      <c r="D25" s="24">
        <v>18</v>
      </c>
      <c r="E25" s="1345" t="s">
        <v>8298</v>
      </c>
      <c r="F25" s="801"/>
      <c r="G25" s="801"/>
      <c r="H25" s="1390"/>
      <c r="I25" s="2089"/>
      <c r="J25" s="354"/>
      <c r="K25" s="354"/>
      <c r="L25" s="354"/>
      <c r="M25" s="1136"/>
      <c r="AS25" s="998"/>
      <c r="AT25" s="998"/>
      <c r="AU25" s="998"/>
      <c r="AV25" s="998"/>
    </row>
    <row r="26" spans="2:48" ht="25.5" x14ac:dyDescent="0.2">
      <c r="B26" s="1121"/>
      <c r="C26" s="3355"/>
      <c r="D26" s="24">
        <v>19</v>
      </c>
      <c r="E26" s="1345" t="s">
        <v>849</v>
      </c>
      <c r="F26" s="801"/>
      <c r="G26" s="801"/>
      <c r="H26" s="1390"/>
      <c r="I26" s="2089"/>
      <c r="J26" s="354"/>
      <c r="K26" s="354"/>
      <c r="L26" s="354"/>
      <c r="M26" s="1136"/>
      <c r="T26" s="113">
        <v>15</v>
      </c>
      <c r="U26" s="113">
        <v>30</v>
      </c>
      <c r="V26" s="113">
        <v>40</v>
      </c>
      <c r="W26" s="113">
        <v>50</v>
      </c>
      <c r="X26" s="113">
        <v>60</v>
      </c>
      <c r="Y26" s="113">
        <v>80</v>
      </c>
      <c r="Z26" s="113">
        <v>100</v>
      </c>
      <c r="AS26" s="210">
        <f>DPM50.DepreciationAtHalfRate + DPM50.DepreciationAtFullRate + DPM50.AddlnDeprDuringYearAdditions + DPM50.AddlnDeprOnGT180DayAdditions+DPM50.AddlnDeprlessthan180days</f>
        <v>0</v>
      </c>
      <c r="AT26" s="210">
        <f>DPM60.DepreciationAtHalfRate + DPM60.DepreciationAtFullRate + DPM60.AddlnDeprDuringYearAdditions + DPM60.AddlnDeprOnGT180DayAdditions+DPM60.AddlnDeprlessthan180days</f>
        <v>0</v>
      </c>
      <c r="AU26" s="210">
        <f>DPM80.DepreciationAtHalfRate + DPM80.DepreciationAtFullRate + DPM80.AddlnDeprDuringYearAdditions + DPM80.AddlnDeprOnGT180DayAdditions+DPM80.AddlnDeprlessthan180days</f>
        <v>0</v>
      </c>
      <c r="AV26" s="210">
        <f>DPM100.DepreciationAtHalfRate + DPM100.DepreciationAtFullRate + DPM100.AddlnDeprDuringYearAdditions + DPM100.AddlnDeprOnGT180DayAdditions+DPM100.AddlnDeprlessthan180days</f>
        <v>0</v>
      </c>
    </row>
    <row r="27" spans="2:48" ht="38.25" x14ac:dyDescent="0.2">
      <c r="B27" s="1121"/>
      <c r="C27" s="3355"/>
      <c r="D27" s="24">
        <v>20</v>
      </c>
      <c r="E27" s="732" t="s">
        <v>13068</v>
      </c>
      <c r="F27" s="801"/>
      <c r="G27" s="801"/>
      <c r="H27" s="801"/>
      <c r="I27" s="2089"/>
      <c r="J27" s="354"/>
      <c r="K27" s="354"/>
      <c r="L27" s="354"/>
      <c r="M27" s="1136"/>
      <c r="S27" s="113" t="s">
        <v>1344</v>
      </c>
      <c r="T27" s="113">
        <v>123123</v>
      </c>
      <c r="U27" s="113">
        <v>1233</v>
      </c>
      <c r="V27" s="113">
        <v>13123</v>
      </c>
      <c r="AS27" s="998"/>
      <c r="AT27" s="998"/>
      <c r="AU27" s="998"/>
      <c r="AV27" s="998"/>
    </row>
    <row r="28" spans="2:48" ht="39.75" customHeight="1" x14ac:dyDescent="0.2">
      <c r="B28" s="1121"/>
      <c r="C28" s="3355"/>
      <c r="D28" s="468">
        <v>21</v>
      </c>
      <c r="E28" s="477" t="s">
        <v>8786</v>
      </c>
      <c r="F28" s="2398">
        <f>MAX(DPM15.WDVFirstDay+DPM15.AdditionsGrThan180Days -DPM15.RealizationTotalPeriod + DPM15.AdditionsLessThan180Days - DPM15.RealizationPeriodDuringYear - DPM15.TotalDepreciation,0)</f>
        <v>0</v>
      </c>
      <c r="G28" s="2398">
        <f>MAX(DPM30.WDVFirstDay+DPM30.AdditionsGrThan180Days -DPM30.RealizationTotalPeriod + DPM30.AdditionsLessThan180Days - DPM30.RealizationPeriodDuringYear - DPM30.TotalDepreciation,0)</f>
        <v>0</v>
      </c>
      <c r="H28" s="2397">
        <f>MAX(DPM40.WDVFirstDay+DPM40.AdditionsGrThan180Days -DPM40.RealizationTotalPeriod + DPM40.AdditionsLessThan180Days - DPM40.RealizationPeriodDuringYear - DPM40.TotalDepreciation,0)</f>
        <v>0</v>
      </c>
      <c r="I28" s="1019">
        <f>MAX(DPM45.WDVFirstDay+DPM45.AdditionsGrThan180Days -DPM45.RealizationTotalPeriod + DPM45.AdditionsLessThan180Days - DPM45.RealizationPeriodDuringYear - DPM45.TotalDepreciation,0)</f>
        <v>0</v>
      </c>
      <c r="J28" s="354"/>
      <c r="K28" s="354"/>
      <c r="L28" s="354"/>
      <c r="M28" s="1136"/>
      <c r="AS28" s="998"/>
      <c r="AT28" s="998"/>
      <c r="AU28" s="998"/>
      <c r="AV28" s="998"/>
    </row>
    <row r="29" spans="2:48" hidden="1" x14ac:dyDescent="0.2">
      <c r="B29" s="1121"/>
      <c r="C29" s="469"/>
      <c r="D29" s="470"/>
      <c r="E29" s="471" t="s">
        <v>850</v>
      </c>
      <c r="F29" s="472" t="s">
        <v>517</v>
      </c>
      <c r="G29" s="472" t="s">
        <v>851</v>
      </c>
      <c r="H29" s="472" t="s">
        <v>851</v>
      </c>
      <c r="I29" s="354" t="s">
        <v>851</v>
      </c>
      <c r="J29" s="354" t="s">
        <v>851</v>
      </c>
      <c r="K29" s="354" t="s">
        <v>851</v>
      </c>
      <c r="L29" s="354" t="s">
        <v>851</v>
      </c>
      <c r="M29" s="1136"/>
      <c r="AS29" s="210">
        <f>MAX(DPM50.WDVFirstDay+DPM50.AdditionsGrThan180Days -DPM50.RealizationTotalPeriod + DPM50.AdditionsLessThan180Days - DPM50.RealizationPeriodDuringYear - DPM50.TotalDepreciation,0)</f>
        <v>0</v>
      </c>
      <c r="AT29" s="210">
        <f>MAX(DPM60.WDVFirstDay+DPM60.AdditionsGrThan180Days -DPM60.RealizationTotalPeriod + DPM60.AdditionsLessThan180Days - DPM60.RealizationPeriodDuringYear - DPM60.TotalDepreciation,0)</f>
        <v>0</v>
      </c>
      <c r="AU29" s="210">
        <f>MAX(DPM80.WDVFirstDay+DPM80.AdditionsGrThan180Days -DPM80.RealizationTotalPeriod + DPM80.AdditionsLessThan180Days - DPM80.RealizationPeriodDuringYear - DPM80.TotalDepreciation,0)</f>
        <v>0</v>
      </c>
      <c r="AV29" s="210">
        <f>MAX(DPM100.WDVFirstDay+DPM100.AdditionsGrThan180Days -DPM100.RealizationTotalPeriod + DPM100.AdditionsLessThan180Days - DPM100.RealizationPeriodDuringYear - DPM100.TotalDepreciation,0)</f>
        <v>0</v>
      </c>
    </row>
    <row r="30" spans="2:48" x14ac:dyDescent="0.2">
      <c r="B30" s="1121"/>
      <c r="C30" s="392"/>
      <c r="D30" s="473"/>
      <c r="E30" s="474"/>
      <c r="F30" s="392"/>
      <c r="G30" s="392"/>
      <c r="H30" s="392"/>
      <c r="I30" s="354"/>
      <c r="J30" s="354"/>
      <c r="K30" s="354"/>
      <c r="L30" s="354"/>
      <c r="M30" s="1136"/>
    </row>
    <row r="31" spans="2:48" ht="30" customHeight="1" x14ac:dyDescent="0.2">
      <c r="B31" s="1121"/>
      <c r="C31" s="3353" t="s">
        <v>852</v>
      </c>
      <c r="D31" s="3354"/>
      <c r="E31" s="3063" t="s">
        <v>853</v>
      </c>
      <c r="F31" s="3091"/>
      <c r="G31" s="3091"/>
      <c r="H31" s="3091"/>
      <c r="I31" s="3091"/>
      <c r="J31" s="3091"/>
      <c r="K31" s="3091"/>
      <c r="L31" s="3092"/>
      <c r="M31" s="1136"/>
      <c r="T31" s="294" t="s">
        <v>1314</v>
      </c>
      <c r="U31" s="113" t="s">
        <v>1026</v>
      </c>
      <c r="V31" s="113" t="s">
        <v>1315</v>
      </c>
      <c r="W31" s="113" t="s">
        <v>1316</v>
      </c>
      <c r="X31" s="113" t="s">
        <v>1317</v>
      </c>
      <c r="Y31" s="113" t="s">
        <v>1318</v>
      </c>
    </row>
    <row r="32" spans="2:48" ht="12.75" customHeight="1" x14ac:dyDescent="0.2">
      <c r="B32" s="1121"/>
      <c r="C32" s="3042" t="s">
        <v>854</v>
      </c>
      <c r="D32" s="3352">
        <v>1</v>
      </c>
      <c r="E32" s="2678" t="s">
        <v>829</v>
      </c>
      <c r="F32" s="3364" t="s">
        <v>1296</v>
      </c>
      <c r="G32" s="3358" t="s">
        <v>8300</v>
      </c>
      <c r="H32" s="3359"/>
      <c r="I32" s="3360"/>
      <c r="J32" s="3357" t="s">
        <v>855</v>
      </c>
      <c r="K32" s="2678" t="s">
        <v>12866</v>
      </c>
      <c r="L32" s="2678" t="s">
        <v>856</v>
      </c>
      <c r="M32" s="1136"/>
      <c r="S32" s="113" t="s">
        <v>1345</v>
      </c>
      <c r="T32" s="113">
        <v>30282</v>
      </c>
      <c r="U32" s="113">
        <v>2323</v>
      </c>
      <c r="V32" s="113">
        <v>555</v>
      </c>
      <c r="W32" s="113">
        <v>12312313</v>
      </c>
      <c r="X32" s="113">
        <v>23232323</v>
      </c>
    </row>
    <row r="33" spans="2:14" ht="12.75" customHeight="1" x14ac:dyDescent="0.2">
      <c r="B33" s="1121"/>
      <c r="C33" s="3013"/>
      <c r="D33" s="3352"/>
      <c r="E33" s="2678"/>
      <c r="F33" s="3365"/>
      <c r="G33" s="3361"/>
      <c r="H33" s="3362"/>
      <c r="I33" s="3363"/>
      <c r="J33" s="3357"/>
      <c r="K33" s="2678"/>
      <c r="L33" s="2678"/>
      <c r="M33" s="1136"/>
    </row>
    <row r="34" spans="2:14" ht="12.75" customHeight="1" x14ac:dyDescent="0.2">
      <c r="B34" s="1121"/>
      <c r="C34" s="3013"/>
      <c r="D34" s="3352">
        <v>2</v>
      </c>
      <c r="E34" s="26" t="s">
        <v>831</v>
      </c>
      <c r="F34" s="26" t="s">
        <v>8304</v>
      </c>
      <c r="G34" s="24">
        <v>5</v>
      </c>
      <c r="H34" s="24">
        <v>10</v>
      </c>
      <c r="I34" s="24">
        <v>40</v>
      </c>
      <c r="J34" s="24">
        <v>10</v>
      </c>
      <c r="K34" s="24">
        <v>25</v>
      </c>
      <c r="L34" s="24">
        <v>20</v>
      </c>
      <c r="M34" s="1168"/>
      <c r="N34" s="117"/>
    </row>
    <row r="35" spans="2:14" ht="12.75" customHeight="1" x14ac:dyDescent="0.2">
      <c r="B35" s="1121"/>
      <c r="C35" s="3013"/>
      <c r="D35" s="3352"/>
      <c r="E35" s="466"/>
      <c r="F35" s="23" t="s">
        <v>7565</v>
      </c>
      <c r="G35" s="23" t="s">
        <v>833</v>
      </c>
      <c r="H35" s="23" t="s">
        <v>834</v>
      </c>
      <c r="I35" s="23" t="s">
        <v>835</v>
      </c>
      <c r="J35" s="23" t="s">
        <v>836</v>
      </c>
      <c r="K35" s="23" t="s">
        <v>837</v>
      </c>
      <c r="L35" s="23" t="s">
        <v>838</v>
      </c>
      <c r="M35" s="1168"/>
      <c r="N35" s="117"/>
    </row>
    <row r="36" spans="2:14" ht="28.5" customHeight="1" x14ac:dyDescent="0.2">
      <c r="B36" s="1121"/>
      <c r="C36" s="3013"/>
      <c r="D36" s="24">
        <v>3</v>
      </c>
      <c r="E36" s="1345" t="s">
        <v>857</v>
      </c>
      <c r="F36" s="801"/>
      <c r="G36" s="801"/>
      <c r="H36" s="801"/>
      <c r="I36" s="801"/>
      <c r="J36" s="801"/>
      <c r="K36" s="801"/>
      <c r="L36" s="801"/>
      <c r="M36" s="1169"/>
      <c r="N36" s="117"/>
    </row>
    <row r="37" spans="2:14" ht="25.5" x14ac:dyDescent="0.2">
      <c r="B37" s="1121"/>
      <c r="C37" s="3013"/>
      <c r="D37" s="24">
        <v>4</v>
      </c>
      <c r="E37" s="1345" t="s">
        <v>858</v>
      </c>
      <c r="F37" s="151"/>
      <c r="G37" s="801"/>
      <c r="H37" s="801"/>
      <c r="I37" s="801"/>
      <c r="J37" s="801"/>
      <c r="K37" s="801"/>
      <c r="L37" s="801"/>
      <c r="M37" s="1134"/>
      <c r="N37" s="117"/>
    </row>
    <row r="38" spans="2:14" ht="25.5" x14ac:dyDescent="0.2">
      <c r="B38" s="1121"/>
      <c r="C38" s="3013"/>
      <c r="D38" s="24">
        <v>5</v>
      </c>
      <c r="E38" s="1345" t="s">
        <v>859</v>
      </c>
      <c r="F38" s="151"/>
      <c r="G38" s="801"/>
      <c r="H38" s="801"/>
      <c r="I38" s="801"/>
      <c r="J38" s="801"/>
      <c r="K38" s="801"/>
      <c r="L38" s="801"/>
      <c r="M38" s="1134"/>
      <c r="N38" s="117"/>
    </row>
    <row r="39" spans="2:14" ht="38.25" x14ac:dyDescent="0.2">
      <c r="B39" s="1121"/>
      <c r="C39" s="3013"/>
      <c r="D39" s="1452">
        <v>6</v>
      </c>
      <c r="E39" s="477" t="s">
        <v>860</v>
      </c>
      <c r="F39" s="151"/>
      <c r="G39" s="1453">
        <f t="shared" ref="G39:L39" si="2">MAX(0,G36+G37-G38)</f>
        <v>0</v>
      </c>
      <c r="H39" s="1453">
        <f t="shared" si="2"/>
        <v>0</v>
      </c>
      <c r="I39" s="1453">
        <f t="shared" si="2"/>
        <v>0</v>
      </c>
      <c r="J39" s="1453">
        <f t="shared" si="2"/>
        <v>0</v>
      </c>
      <c r="K39" s="1453">
        <f t="shared" si="2"/>
        <v>0</v>
      </c>
      <c r="L39" s="1453">
        <f t="shared" si="2"/>
        <v>0</v>
      </c>
      <c r="M39" s="1134"/>
      <c r="N39" s="117"/>
    </row>
    <row r="40" spans="2:14" ht="25.5" x14ac:dyDescent="0.2">
      <c r="B40" s="1121"/>
      <c r="C40" s="3013"/>
      <c r="D40" s="24">
        <v>7</v>
      </c>
      <c r="E40" s="1345" t="s">
        <v>861</v>
      </c>
      <c r="F40" s="151"/>
      <c r="G40" s="801"/>
      <c r="H40" s="801"/>
      <c r="I40" s="801"/>
      <c r="J40" s="801"/>
      <c r="K40" s="801"/>
      <c r="L40" s="801"/>
      <c r="M40" s="1134"/>
      <c r="N40" s="117"/>
    </row>
    <row r="41" spans="2:14" ht="25.5" x14ac:dyDescent="0.2">
      <c r="B41" s="1121"/>
      <c r="C41" s="3013"/>
      <c r="D41" s="24">
        <v>8</v>
      </c>
      <c r="E41" s="1345" t="s">
        <v>843</v>
      </c>
      <c r="F41" s="151"/>
      <c r="G41" s="801"/>
      <c r="H41" s="801"/>
      <c r="I41" s="801"/>
      <c r="J41" s="801"/>
      <c r="K41" s="801"/>
      <c r="L41" s="801"/>
      <c r="M41" s="1134"/>
      <c r="N41" s="117"/>
    </row>
    <row r="42" spans="2:14" ht="38.25" x14ac:dyDescent="0.2">
      <c r="B42" s="1121"/>
      <c r="C42" s="3013"/>
      <c r="D42" s="1452">
        <v>9</v>
      </c>
      <c r="E42" s="477" t="s">
        <v>862</v>
      </c>
      <c r="F42" s="151"/>
      <c r="G42" s="1453">
        <f t="shared" ref="G42:L42" si="3">MAX(0,G40-G41+MIN(0,G36+G37-G38))</f>
        <v>0</v>
      </c>
      <c r="H42" s="1453">
        <f t="shared" si="3"/>
        <v>0</v>
      </c>
      <c r="I42" s="1453">
        <f t="shared" si="3"/>
        <v>0</v>
      </c>
      <c r="J42" s="1453">
        <f t="shared" si="3"/>
        <v>0</v>
      </c>
      <c r="K42" s="1453">
        <f t="shared" si="3"/>
        <v>0</v>
      </c>
      <c r="L42" s="1453">
        <f t="shared" si="3"/>
        <v>0</v>
      </c>
      <c r="M42" s="1134"/>
      <c r="N42" s="117"/>
    </row>
    <row r="43" spans="2:14" ht="12.75" customHeight="1" x14ac:dyDescent="0.2">
      <c r="B43" s="1121"/>
      <c r="C43" s="3013"/>
      <c r="D43" s="1452">
        <v>10</v>
      </c>
      <c r="E43" s="477" t="s">
        <v>845</v>
      </c>
      <c r="F43" s="151"/>
      <c r="G43" s="1019">
        <f>ROUND(DAOB5.FullRateDeprAmt*DAOB5.RATE/100,0)</f>
        <v>0</v>
      </c>
      <c r="H43" s="1019">
        <f>ROUND(DAOB10.FullRateDeprAmt*DAOB10.RATE/100,0)</f>
        <v>0</v>
      </c>
      <c r="I43" s="1019">
        <f>ROUND(DAOB100.FullRateDeprAmt*DAOB100.RATE/100,0)</f>
        <v>0</v>
      </c>
      <c r="J43" s="1019">
        <f>ROUND(DAOF10.FullRateDeprAmt*DAOF10.RATE/100,0)</f>
        <v>0</v>
      </c>
      <c r="K43" s="1019">
        <f>ROUND(DAOI25.FullRateDeprAmt*DAOI25.RATE/100,0)</f>
        <v>0</v>
      </c>
      <c r="L43" s="1019">
        <f>ROUND(DAOS20.FullRateDeprAmt*DAOS20.RATE/100,0)</f>
        <v>0</v>
      </c>
      <c r="M43" s="1134"/>
      <c r="N43" s="117"/>
    </row>
    <row r="44" spans="2:14" ht="12.75" customHeight="1" x14ac:dyDescent="0.2">
      <c r="B44" s="1121"/>
      <c r="C44" s="3013"/>
      <c r="D44" s="1452">
        <v>11</v>
      </c>
      <c r="E44" s="477" t="s">
        <v>846</v>
      </c>
      <c r="F44" s="151"/>
      <c r="G44" s="1019">
        <f>ROUND(DAOB5.HalfRateDeprAmt*DAOB5.RATE/200,0)</f>
        <v>0</v>
      </c>
      <c r="H44" s="1019">
        <f>ROUND(DAOB10.HalfRateDeprAmt*DAOB10.RATE/200,0)</f>
        <v>0</v>
      </c>
      <c r="I44" s="1019">
        <f>ROUND(DAOB100.HalfRateDeprAmt*DAOB100.RATE/200,0)</f>
        <v>0</v>
      </c>
      <c r="J44" s="1019">
        <f>ROUND(DAOF10.HalfRateDeprAmt*DAOF10.RATE/200,0)</f>
        <v>0</v>
      </c>
      <c r="K44" s="1019">
        <f>ROUND(DAOI25.HalfRateDeprAmt*DAOI25.RATE/200,0)</f>
        <v>0</v>
      </c>
      <c r="L44" s="1019">
        <f>ROUND(DAOS20.HalfRateDeprAmt*DAOS20.RATE/200,0)</f>
        <v>0</v>
      </c>
      <c r="M44" s="1134"/>
      <c r="N44" s="117"/>
    </row>
    <row r="45" spans="2:14" ht="12.75" hidden="1" customHeight="1" x14ac:dyDescent="0.2">
      <c r="B45" s="1121"/>
      <c r="C45" s="3013"/>
      <c r="D45" s="24">
        <v>12</v>
      </c>
      <c r="E45" s="1345" t="s">
        <v>847</v>
      </c>
      <c r="F45" s="151"/>
      <c r="G45" s="1503">
        <v>0</v>
      </c>
      <c r="H45" s="1503">
        <v>0</v>
      </c>
      <c r="I45" s="1503"/>
      <c r="J45" s="1503"/>
      <c r="K45" s="1503"/>
      <c r="L45" s="1503">
        <v>0</v>
      </c>
      <c r="M45" s="1134"/>
      <c r="N45" s="117"/>
    </row>
    <row r="46" spans="2:14" ht="12.75" hidden="1" customHeight="1" x14ac:dyDescent="0.2">
      <c r="B46" s="1121"/>
      <c r="C46" s="3013"/>
      <c r="D46" s="24">
        <v>13</v>
      </c>
      <c r="E46" s="1345" t="s">
        <v>848</v>
      </c>
      <c r="F46" s="151"/>
      <c r="G46" s="1503">
        <v>0</v>
      </c>
      <c r="H46" s="1503">
        <v>0</v>
      </c>
      <c r="I46" s="1503"/>
      <c r="J46" s="1503"/>
      <c r="K46" s="1503"/>
      <c r="L46" s="1503">
        <v>0</v>
      </c>
      <c r="M46" s="1134"/>
      <c r="N46" s="117"/>
    </row>
    <row r="47" spans="2:14" ht="12.75" customHeight="1" x14ac:dyDescent="0.2">
      <c r="B47" s="1121"/>
      <c r="C47" s="3013"/>
      <c r="D47" s="1452">
        <v>12</v>
      </c>
      <c r="E47" s="477" t="s">
        <v>7698</v>
      </c>
      <c r="F47" s="151"/>
      <c r="G47" s="2398">
        <f>DAOB5.DepreciationAtHalfRate + DAOB5.DepreciationAtFullRate + DAOB5.AddlnDeprDuringYearAdditions + DAOB5.AddlnDeprOnGT180DayAdditions</f>
        <v>0</v>
      </c>
      <c r="H47" s="2398">
        <f>DAOB10.DepreciationAtHalfRate + DAOB10.DepreciationAtFullRate + DAOB10.AddlnDeprDuringYearAdditions + DAOB10.AddlnDeprOnGT180DayAdditions</f>
        <v>0</v>
      </c>
      <c r="I47" s="2398">
        <f>DAOB100.DepreciationAtHalfRate + DAOB100.DepreciationAtFullRate + DAOB100.AddlnDeprDuringYearAdditions + DAOB100.AddlnDeprOnGT180DayAdditions</f>
        <v>0</v>
      </c>
      <c r="J47" s="2398">
        <f>DAOF10.DepreciationAtHalfRate + DAOF10.DepreciationAtFullRate + DAOF10.AddlnDeprDuringYearAdditions + DAOF10.AddlnDeprOnGT180DayAdditions</f>
        <v>0</v>
      </c>
      <c r="K47" s="2398">
        <f>DAOI25.DepreciationAtHalfRate + DAOI25.DepreciationAtFullRate + DAOI25.AddlnDeprDuringYearAdditions + DAOI25.AddlnDeprOnGT180DayAdditions</f>
        <v>0</v>
      </c>
      <c r="L47" s="2399">
        <f>DAOS20.DepreciationAtHalfRate + DAOS20.DepreciationAtFullRate + DAOS20.AddlnDeprDuringYearAdditions + DAOS20.AddlnDeprOnGT180DayAdditions</f>
        <v>0</v>
      </c>
      <c r="M47" s="1134"/>
      <c r="N47" s="117"/>
    </row>
    <row r="48" spans="2:14" ht="25.5" x14ac:dyDescent="0.2">
      <c r="B48" s="1121"/>
      <c r="C48" s="3013"/>
      <c r="D48" s="24">
        <v>13</v>
      </c>
      <c r="E48" s="1345" t="s">
        <v>8301</v>
      </c>
      <c r="F48" s="151"/>
      <c r="G48" s="801"/>
      <c r="H48" s="801"/>
      <c r="I48" s="801"/>
      <c r="J48" s="801"/>
      <c r="K48" s="801"/>
      <c r="L48" s="801"/>
      <c r="M48" s="1134"/>
      <c r="N48" s="117"/>
    </row>
    <row r="49" spans="2:14" ht="17.25" customHeight="1" x14ac:dyDescent="0.2">
      <c r="B49" s="1121"/>
      <c r="C49" s="3013"/>
      <c r="D49" s="254">
        <v>14</v>
      </c>
      <c r="E49" s="477" t="s">
        <v>8302</v>
      </c>
      <c r="F49" s="151"/>
      <c r="G49" s="1391">
        <f>MAX(0,DAOB5.TotalDepreciation-DAOB5.DepUnderSec38)</f>
        <v>0</v>
      </c>
      <c r="H49" s="1391">
        <f>MAX(0,DAOB10.TotalDepreciation-DAOB10.DepUnderSec38)</f>
        <v>0</v>
      </c>
      <c r="I49" s="1391">
        <f>MAX(0,DAOB100.TotalDepreciation-DAOB100.DepUnderSec38)</f>
        <v>0</v>
      </c>
      <c r="J49" s="1391">
        <f>MAX(0,DAOF10.TotalDepreciation-DAOF10.DepUnderSec38)</f>
        <v>0</v>
      </c>
      <c r="K49" s="1391">
        <f>MAX(0,DAOI25.TotalDepreciation-DAOI25.DepUnderSec38)</f>
        <v>0</v>
      </c>
      <c r="L49" s="1391">
        <f>MAX(0,DAOS20.TotalDepreciation-DAOS20.DepUnderSec38)</f>
        <v>0</v>
      </c>
      <c r="M49" s="1134"/>
      <c r="N49" s="117"/>
    </row>
    <row r="50" spans="2:14" ht="53.25" customHeight="1" x14ac:dyDescent="0.2">
      <c r="B50" s="1121"/>
      <c r="C50" s="3013"/>
      <c r="D50" s="24">
        <v>15</v>
      </c>
      <c r="E50" s="1345" t="s">
        <v>8303</v>
      </c>
      <c r="F50" s="151"/>
      <c r="G50" s="801"/>
      <c r="H50" s="801"/>
      <c r="I50" s="801"/>
      <c r="J50" s="801"/>
      <c r="K50" s="801"/>
      <c r="L50" s="801"/>
      <c r="M50" s="1170" t="s">
        <v>8</v>
      </c>
      <c r="N50" s="117"/>
    </row>
    <row r="51" spans="2:14" ht="25.5" x14ac:dyDescent="0.2">
      <c r="B51" s="1121"/>
      <c r="C51" s="3013"/>
      <c r="D51" s="24">
        <v>16</v>
      </c>
      <c r="E51" s="1345" t="s">
        <v>849</v>
      </c>
      <c r="F51" s="151"/>
      <c r="G51" s="801"/>
      <c r="H51" s="801"/>
      <c r="I51" s="801"/>
      <c r="J51" s="801"/>
      <c r="K51" s="801"/>
      <c r="L51" s="801"/>
      <c r="M51" s="1136"/>
      <c r="N51" s="117"/>
    </row>
    <row r="52" spans="2:14" ht="38.25" x14ac:dyDescent="0.2">
      <c r="B52" s="1121"/>
      <c r="C52" s="3013"/>
      <c r="D52" s="24">
        <v>17</v>
      </c>
      <c r="E52" s="732" t="s">
        <v>8305</v>
      </c>
      <c r="F52" s="151"/>
      <c r="G52" s="801"/>
      <c r="H52" s="801"/>
      <c r="I52" s="801"/>
      <c r="J52" s="801"/>
      <c r="K52" s="801"/>
      <c r="L52" s="801"/>
      <c r="M52" s="1136"/>
      <c r="N52" s="117"/>
    </row>
    <row r="53" spans="2:14" ht="38.25" x14ac:dyDescent="0.2">
      <c r="B53" s="1121"/>
      <c r="C53" s="3014"/>
      <c r="D53" s="27">
        <v>18</v>
      </c>
      <c r="E53" s="477" t="s">
        <v>8800</v>
      </c>
      <c r="F53" s="1391">
        <f>MAX(0,F36)</f>
        <v>0</v>
      </c>
      <c r="G53" s="2398">
        <f>MAX(DAOB5.WDVFirstDay+DAOB5.AdditionsGrThan180Days -DAOB5.RealizationTotalPeriod + DAOB5.AdditionsLessThan180Days - DAOB5.RealizationPeriodDuringYear - DAOB5.TotalDepreciation,0)</f>
        <v>0</v>
      </c>
      <c r="H53" s="2398">
        <f>MAX(DAOB10.WDVFirstDay+DAOB10.AdditionsGrThan180Days -DAOB10.RealizationTotalPeriod + DAOB10.AdditionsLessThan180Days - DAOB10.RealizationPeriodDuringYear - DAOB10.TotalDepreciation,0)</f>
        <v>0</v>
      </c>
      <c r="I53" s="2398">
        <f>MAX(DAOB100.WDVFirstDay+DAOB100.AdditionsGrThan180Days -DAOB100.RealizationTotalPeriod + DAOB100.AdditionsLessThan180Days - DAOB100.RealizationPeriodDuringYear - DAOB100.TotalDepreciation,0)</f>
        <v>0</v>
      </c>
      <c r="J53" s="2398">
        <f>MAX(DAOF10.WDVFirstDay+DAOF10.AdditionsGrThan180Days -DAOF10.RealizationTotalPeriod + DAOF10.AdditionsLessThan180Days - DAOF10.RealizationPeriodDuringYear - DAOF10.TotalDepreciation,0)</f>
        <v>0</v>
      </c>
      <c r="K53" s="2398">
        <f>MAX(DAOI25.WDVFirstDay+DAOI25.AdditionsGrThan180Days -DAOI25.RealizationTotalPeriod + DAOI25.AdditionsLessThan180Days - DAOI25.RealizationPeriodDuringYear - DAOI25.TotalDepreciation,0)</f>
        <v>0</v>
      </c>
      <c r="L53" s="2399">
        <f>MAX(DAOS20.WDVFirstDay+DAOS20.AdditionsGrThan180Days -DAOS20.RealizationTotalPeriod + DAOS20.AdditionsLessThan180Days - DAOS20.RealizationPeriodDuringYear - DAOS20.TotalDepreciation,0)</f>
        <v>0</v>
      </c>
      <c r="M53" s="1136"/>
      <c r="N53" s="117"/>
    </row>
    <row r="54" spans="2:14" x14ac:dyDescent="0.2">
      <c r="B54" s="1121"/>
      <c r="C54" s="354"/>
      <c r="D54" s="1171"/>
      <c r="E54" s="1171"/>
      <c r="F54" s="1171"/>
      <c r="G54" s="354"/>
      <c r="H54" s="354"/>
      <c r="I54" s="354"/>
      <c r="J54" s="354"/>
      <c r="K54" s="354"/>
      <c r="L54" s="354"/>
      <c r="M54" s="1136"/>
      <c r="N54" s="117"/>
    </row>
    <row r="55" spans="2:14" ht="13.5" thickBot="1" x14ac:dyDescent="0.25">
      <c r="B55" s="1141"/>
      <c r="C55" s="1138"/>
      <c r="D55" s="1172"/>
      <c r="E55" s="1172"/>
      <c r="F55" s="1172"/>
      <c r="G55" s="1138"/>
      <c r="H55" s="1138"/>
      <c r="I55" s="1138"/>
      <c r="J55" s="1138"/>
      <c r="K55" s="1138"/>
      <c r="L55" s="1138"/>
      <c r="M55" s="1139"/>
      <c r="N55" s="117"/>
    </row>
    <row r="56" spans="2:14" ht="15.75" customHeight="1" x14ac:dyDescent="0.2">
      <c r="C56" s="117"/>
      <c r="D56" s="999"/>
      <c r="E56" s="999"/>
      <c r="F56" s="999"/>
      <c r="G56" s="117"/>
      <c r="H56" s="117"/>
      <c r="I56" s="117"/>
      <c r="J56" s="117"/>
      <c r="K56" s="117"/>
      <c r="L56" s="117"/>
      <c r="N56" s="117"/>
    </row>
    <row r="57" spans="2:14" hidden="1" x14ac:dyDescent="0.2">
      <c r="C57" s="117"/>
      <c r="D57" s="999"/>
      <c r="E57" s="999"/>
      <c r="F57" s="999"/>
      <c r="G57" s="117"/>
      <c r="H57" s="117"/>
      <c r="I57" s="117"/>
      <c r="J57" s="117"/>
      <c r="K57" s="117"/>
      <c r="L57" s="117"/>
      <c r="N57" s="117"/>
    </row>
    <row r="58" spans="2:14" hidden="1" x14ac:dyDescent="0.2">
      <c r="C58" s="117"/>
      <c r="D58" s="999"/>
      <c r="E58" s="999"/>
      <c r="F58" s="999"/>
      <c r="G58" s="117"/>
      <c r="H58" s="117"/>
      <c r="I58" s="117"/>
      <c r="J58" s="117"/>
      <c r="K58" s="117"/>
      <c r="L58" s="117"/>
      <c r="N58" s="117"/>
    </row>
    <row r="59" spans="2:14" hidden="1" x14ac:dyDescent="0.2">
      <c r="C59" s="117"/>
      <c r="D59" s="999"/>
      <c r="E59" s="999"/>
      <c r="F59" s="999"/>
      <c r="G59" s="117"/>
      <c r="H59" s="117"/>
      <c r="I59" s="117"/>
      <c r="J59" s="117"/>
      <c r="K59" s="117"/>
      <c r="L59" s="117"/>
      <c r="N59" s="117"/>
    </row>
    <row r="60" spans="2:14" hidden="1" x14ac:dyDescent="0.2">
      <c r="F60" s="283"/>
      <c r="M60" s="113"/>
      <c r="N60" s="117"/>
    </row>
    <row r="61" spans="2:14" hidden="1" x14ac:dyDescent="0.2">
      <c r="F61" s="283"/>
      <c r="M61" s="113"/>
      <c r="N61" s="117"/>
    </row>
    <row r="62" spans="2:14" hidden="1" x14ac:dyDescent="0.2">
      <c r="F62" s="283"/>
      <c r="M62" s="113"/>
      <c r="N62" s="117"/>
    </row>
    <row r="63" spans="2:14" hidden="1" x14ac:dyDescent="0.2">
      <c r="F63" s="283"/>
      <c r="M63" s="113"/>
      <c r="N63" s="117"/>
    </row>
    <row r="64" spans="2:14" hidden="1" x14ac:dyDescent="0.2">
      <c r="F64" s="283"/>
      <c r="M64" s="113"/>
      <c r="N64" s="117"/>
    </row>
    <row r="65" spans="6:14" hidden="1" x14ac:dyDescent="0.2">
      <c r="F65" s="283"/>
      <c r="M65" s="113"/>
      <c r="N65" s="117"/>
    </row>
    <row r="66" spans="6:14" hidden="1" x14ac:dyDescent="0.2">
      <c r="F66" s="283"/>
      <c r="M66" s="113"/>
      <c r="N66" s="117"/>
    </row>
    <row r="67" spans="6:14" hidden="1" x14ac:dyDescent="0.2">
      <c r="F67" s="283"/>
      <c r="M67" s="113"/>
      <c r="N67" s="117"/>
    </row>
    <row r="68" spans="6:14" hidden="1" x14ac:dyDescent="0.2">
      <c r="F68" s="283"/>
      <c r="M68" s="113"/>
      <c r="N68" s="117"/>
    </row>
    <row r="69" spans="6:14" hidden="1" x14ac:dyDescent="0.2">
      <c r="F69" s="283"/>
      <c r="M69" s="113"/>
      <c r="N69" s="117"/>
    </row>
    <row r="70" spans="6:14" hidden="1" x14ac:dyDescent="0.2">
      <c r="F70" s="283"/>
      <c r="M70" s="113"/>
      <c r="N70" s="117"/>
    </row>
    <row r="71" spans="6:14" hidden="1" x14ac:dyDescent="0.2">
      <c r="F71" s="283"/>
      <c r="M71" s="113"/>
      <c r="N71" s="117"/>
    </row>
    <row r="72" spans="6:14" hidden="1" x14ac:dyDescent="0.2">
      <c r="F72" s="283"/>
      <c r="M72" s="113"/>
      <c r="N72" s="117"/>
    </row>
    <row r="73" spans="6:14" hidden="1" x14ac:dyDescent="0.2">
      <c r="F73" s="283"/>
      <c r="M73" s="113"/>
      <c r="N73" s="117"/>
    </row>
    <row r="74" spans="6:14" hidden="1" x14ac:dyDescent="0.2">
      <c r="F74" s="283"/>
      <c r="M74" s="113"/>
      <c r="N74" s="117"/>
    </row>
    <row r="75" spans="6:14" hidden="1" x14ac:dyDescent="0.2">
      <c r="F75" s="283"/>
      <c r="M75" s="113"/>
      <c r="N75" s="117"/>
    </row>
    <row r="76" spans="6:14" hidden="1" x14ac:dyDescent="0.2">
      <c r="F76" s="283"/>
      <c r="M76" s="113"/>
      <c r="N76" s="117"/>
    </row>
    <row r="77" spans="6:14" hidden="1" x14ac:dyDescent="0.2">
      <c r="F77" s="283"/>
      <c r="M77" s="113"/>
      <c r="N77" s="117"/>
    </row>
    <row r="78" spans="6:14" hidden="1" x14ac:dyDescent="0.2">
      <c r="F78" s="283"/>
      <c r="M78" s="113"/>
      <c r="N78" s="117"/>
    </row>
    <row r="79" spans="6:14" hidden="1" x14ac:dyDescent="0.2">
      <c r="F79" s="283"/>
      <c r="M79" s="113"/>
      <c r="N79" s="117"/>
    </row>
    <row r="80" spans="6:14" hidden="1" x14ac:dyDescent="0.2">
      <c r="F80" s="283"/>
      <c r="M80" s="113"/>
      <c r="N80" s="117"/>
    </row>
    <row r="81" spans="6:14" hidden="1" x14ac:dyDescent="0.2">
      <c r="F81" s="283"/>
      <c r="M81" s="113"/>
      <c r="N81" s="117"/>
    </row>
    <row r="82" spans="6:14" hidden="1" x14ac:dyDescent="0.2">
      <c r="F82" s="283"/>
      <c r="M82" s="113"/>
      <c r="N82" s="117"/>
    </row>
    <row r="83" spans="6:14" hidden="1" x14ac:dyDescent="0.2">
      <c r="F83" s="283"/>
      <c r="M83" s="113"/>
      <c r="N83" s="117"/>
    </row>
    <row r="84" spans="6:14" hidden="1" x14ac:dyDescent="0.2">
      <c r="F84" s="283"/>
      <c r="M84" s="113"/>
      <c r="N84" s="117"/>
    </row>
    <row r="85" spans="6:14" hidden="1" x14ac:dyDescent="0.2">
      <c r="F85" s="283"/>
      <c r="M85" s="113"/>
      <c r="N85" s="117"/>
    </row>
    <row r="86" spans="6:14" hidden="1" x14ac:dyDescent="0.2">
      <c r="F86" s="283"/>
      <c r="M86" s="113"/>
      <c r="N86" s="117"/>
    </row>
    <row r="87" spans="6:14" hidden="1" x14ac:dyDescent="0.2">
      <c r="F87" s="283"/>
      <c r="M87" s="113"/>
      <c r="N87" s="117"/>
    </row>
    <row r="88" spans="6:14" hidden="1" x14ac:dyDescent="0.2">
      <c r="F88" s="283"/>
      <c r="M88" s="113"/>
      <c r="N88" s="117"/>
    </row>
    <row r="89" spans="6:14" hidden="1" x14ac:dyDescent="0.2">
      <c r="F89" s="283"/>
      <c r="M89" s="113"/>
      <c r="N89" s="117"/>
    </row>
    <row r="90" spans="6:14" hidden="1" x14ac:dyDescent="0.2">
      <c r="F90" s="283"/>
      <c r="M90" s="113"/>
      <c r="N90" s="117"/>
    </row>
    <row r="91" spans="6:14" hidden="1" x14ac:dyDescent="0.2">
      <c r="F91" s="283"/>
      <c r="M91" s="113"/>
      <c r="N91" s="117"/>
    </row>
    <row r="92" spans="6:14" hidden="1" x14ac:dyDescent="0.2">
      <c r="F92" s="283"/>
      <c r="M92" s="113"/>
      <c r="N92" s="117"/>
    </row>
    <row r="93" spans="6:14" hidden="1" x14ac:dyDescent="0.2">
      <c r="F93" s="283"/>
      <c r="M93" s="113"/>
      <c r="N93" s="117"/>
    </row>
    <row r="94" spans="6:14" hidden="1" x14ac:dyDescent="0.2">
      <c r="F94" s="283"/>
      <c r="M94" s="113"/>
      <c r="N94" s="117"/>
    </row>
    <row r="95" spans="6:14" hidden="1" x14ac:dyDescent="0.2">
      <c r="F95" s="283"/>
      <c r="M95" s="113"/>
      <c r="N95" s="117"/>
    </row>
    <row r="96" spans="6:14" hidden="1" x14ac:dyDescent="0.2">
      <c r="F96" s="283"/>
      <c r="M96" s="113"/>
      <c r="N96" s="117"/>
    </row>
    <row r="97" spans="6:14" hidden="1" x14ac:dyDescent="0.2">
      <c r="F97" s="283"/>
      <c r="M97" s="113"/>
      <c r="N97" s="117"/>
    </row>
    <row r="98" spans="6:14" hidden="1" x14ac:dyDescent="0.2">
      <c r="F98" s="283"/>
      <c r="M98" s="113"/>
      <c r="N98" s="117"/>
    </row>
    <row r="99" spans="6:14" hidden="1" x14ac:dyDescent="0.2">
      <c r="F99" s="283"/>
      <c r="M99" s="113"/>
      <c r="N99" s="117"/>
    </row>
    <row r="100" spans="6:14" hidden="1" x14ac:dyDescent="0.2">
      <c r="F100" s="283"/>
      <c r="M100" s="113"/>
      <c r="N100" s="117"/>
    </row>
    <row r="101" spans="6:14" hidden="1" x14ac:dyDescent="0.2">
      <c r="F101" s="283"/>
      <c r="M101" s="113"/>
      <c r="N101" s="117"/>
    </row>
    <row r="102" spans="6:14" hidden="1" x14ac:dyDescent="0.2">
      <c r="F102" s="283"/>
      <c r="M102" s="113"/>
      <c r="N102" s="117"/>
    </row>
    <row r="103" spans="6:14" hidden="1" x14ac:dyDescent="0.2">
      <c r="F103" s="283"/>
      <c r="M103" s="113"/>
      <c r="N103" s="117"/>
    </row>
    <row r="104" spans="6:14" hidden="1" x14ac:dyDescent="0.2">
      <c r="F104" s="283"/>
      <c r="M104" s="113"/>
      <c r="N104" s="117"/>
    </row>
    <row r="105" spans="6:14" hidden="1" x14ac:dyDescent="0.2">
      <c r="F105" s="283"/>
      <c r="M105" s="113"/>
      <c r="N105" s="117"/>
    </row>
    <row r="106" spans="6:14" hidden="1" x14ac:dyDescent="0.2">
      <c r="F106" s="283"/>
      <c r="M106" s="113"/>
      <c r="N106" s="117"/>
    </row>
    <row r="107" spans="6:14" hidden="1" x14ac:dyDescent="0.2">
      <c r="F107" s="283"/>
      <c r="M107" s="113"/>
      <c r="N107" s="117"/>
    </row>
    <row r="108" spans="6:14" hidden="1" x14ac:dyDescent="0.2">
      <c r="F108" s="283"/>
      <c r="M108" s="113"/>
      <c r="N108" s="117"/>
    </row>
    <row r="109" spans="6:14" hidden="1" x14ac:dyDescent="0.2">
      <c r="F109" s="283"/>
      <c r="M109" s="113"/>
      <c r="N109" s="117"/>
    </row>
    <row r="110" spans="6:14" hidden="1" x14ac:dyDescent="0.2">
      <c r="F110" s="283"/>
      <c r="M110" s="113"/>
      <c r="N110" s="117"/>
    </row>
    <row r="111" spans="6:14" hidden="1" x14ac:dyDescent="0.2">
      <c r="F111" s="283"/>
      <c r="M111" s="113"/>
      <c r="N111" s="117"/>
    </row>
    <row r="112" spans="6:14" hidden="1" x14ac:dyDescent="0.2">
      <c r="F112" s="283"/>
      <c r="M112" s="113"/>
      <c r="N112" s="117"/>
    </row>
    <row r="113" spans="6:14" hidden="1" x14ac:dyDescent="0.2">
      <c r="F113" s="283"/>
      <c r="M113" s="113"/>
      <c r="N113" s="117"/>
    </row>
    <row r="114" spans="6:14" hidden="1" x14ac:dyDescent="0.2">
      <c r="F114" s="283"/>
      <c r="M114" s="113"/>
      <c r="N114" s="117"/>
    </row>
    <row r="115" spans="6:14" hidden="1" x14ac:dyDescent="0.2">
      <c r="F115" s="283"/>
      <c r="M115" s="113"/>
      <c r="N115" s="117"/>
    </row>
    <row r="116" spans="6:14" hidden="1" x14ac:dyDescent="0.2">
      <c r="F116" s="283"/>
      <c r="M116" s="113"/>
      <c r="N116" s="117"/>
    </row>
    <row r="117" spans="6:14" hidden="1" x14ac:dyDescent="0.2">
      <c r="F117" s="283"/>
      <c r="M117" s="113"/>
      <c r="N117" s="117"/>
    </row>
    <row r="118" spans="6:14" hidden="1" x14ac:dyDescent="0.2">
      <c r="F118" s="283"/>
      <c r="M118" s="113"/>
      <c r="N118" s="117"/>
    </row>
    <row r="119" spans="6:14" hidden="1" x14ac:dyDescent="0.2">
      <c r="F119" s="283"/>
      <c r="M119" s="113"/>
      <c r="N119" s="117"/>
    </row>
    <row r="120" spans="6:14" hidden="1" x14ac:dyDescent="0.2">
      <c r="F120" s="283"/>
      <c r="M120" s="113"/>
      <c r="N120" s="117"/>
    </row>
    <row r="121" spans="6:14" hidden="1" x14ac:dyDescent="0.2">
      <c r="F121" s="283"/>
      <c r="M121" s="113"/>
      <c r="N121" s="117"/>
    </row>
    <row r="122" spans="6:14" hidden="1" x14ac:dyDescent="0.2">
      <c r="F122" s="283"/>
      <c r="M122" s="113"/>
      <c r="N122" s="117"/>
    </row>
    <row r="123" spans="6:14" hidden="1" x14ac:dyDescent="0.2">
      <c r="F123" s="283"/>
      <c r="M123" s="113"/>
      <c r="N123" s="117"/>
    </row>
    <row r="124" spans="6:14" hidden="1" x14ac:dyDescent="0.2">
      <c r="F124" s="283"/>
      <c r="M124" s="113"/>
      <c r="N124" s="117"/>
    </row>
    <row r="125" spans="6:14" hidden="1" x14ac:dyDescent="0.2">
      <c r="F125" s="283"/>
      <c r="M125" s="113"/>
      <c r="N125" s="117"/>
    </row>
    <row r="126" spans="6:14" hidden="1" x14ac:dyDescent="0.2">
      <c r="F126" s="283"/>
      <c r="M126" s="113"/>
      <c r="N126" s="117"/>
    </row>
    <row r="127" spans="6:14" hidden="1" x14ac:dyDescent="0.2">
      <c r="F127" s="283"/>
      <c r="M127" s="113"/>
      <c r="N127" s="117"/>
    </row>
    <row r="128" spans="6:14" hidden="1" x14ac:dyDescent="0.2">
      <c r="F128" s="283"/>
      <c r="M128" s="113"/>
      <c r="N128" s="117"/>
    </row>
    <row r="129" spans="6:14" hidden="1" x14ac:dyDescent="0.2">
      <c r="F129" s="283"/>
      <c r="M129" s="113"/>
      <c r="N129" s="117"/>
    </row>
    <row r="130" spans="6:14" hidden="1" x14ac:dyDescent="0.2">
      <c r="F130" s="283"/>
      <c r="M130" s="113"/>
      <c r="N130" s="117"/>
    </row>
    <row r="131" spans="6:14" hidden="1" x14ac:dyDescent="0.2">
      <c r="F131" s="283"/>
      <c r="M131" s="113"/>
      <c r="N131" s="117"/>
    </row>
    <row r="132" spans="6:14" hidden="1" x14ac:dyDescent="0.2">
      <c r="F132" s="283"/>
      <c r="M132" s="113"/>
      <c r="N132" s="117"/>
    </row>
    <row r="133" spans="6:14" hidden="1" x14ac:dyDescent="0.2">
      <c r="F133" s="283"/>
      <c r="M133" s="113"/>
      <c r="N133" s="117"/>
    </row>
    <row r="134" spans="6:14" hidden="1" x14ac:dyDescent="0.2">
      <c r="F134" s="283"/>
      <c r="M134" s="113"/>
      <c r="N134" s="117"/>
    </row>
    <row r="135" spans="6:14" hidden="1" x14ac:dyDescent="0.2">
      <c r="F135" s="283"/>
      <c r="M135" s="113"/>
      <c r="N135" s="117"/>
    </row>
    <row r="136" spans="6:14" hidden="1" x14ac:dyDescent="0.2">
      <c r="F136" s="283"/>
      <c r="M136" s="113"/>
      <c r="N136" s="117"/>
    </row>
    <row r="137" spans="6:14" hidden="1" x14ac:dyDescent="0.2">
      <c r="F137" s="283"/>
      <c r="M137" s="113"/>
      <c r="N137" s="117"/>
    </row>
    <row r="138" spans="6:14" hidden="1" x14ac:dyDescent="0.2">
      <c r="F138" s="283"/>
      <c r="M138" s="113"/>
      <c r="N138" s="117"/>
    </row>
    <row r="139" spans="6:14" hidden="1" x14ac:dyDescent="0.2">
      <c r="F139" s="283"/>
      <c r="M139" s="113"/>
      <c r="N139" s="117"/>
    </row>
    <row r="140" spans="6:14" hidden="1" x14ac:dyDescent="0.2">
      <c r="F140" s="283"/>
      <c r="M140" s="113"/>
      <c r="N140" s="117"/>
    </row>
    <row r="141" spans="6:14" hidden="1" x14ac:dyDescent="0.2">
      <c r="F141" s="283"/>
      <c r="M141" s="113"/>
      <c r="N141" s="117"/>
    </row>
    <row r="142" spans="6:14" hidden="1" x14ac:dyDescent="0.2">
      <c r="F142" s="283"/>
      <c r="M142" s="113"/>
      <c r="N142" s="117"/>
    </row>
    <row r="143" spans="6:14" hidden="1" x14ac:dyDescent="0.2">
      <c r="F143" s="283"/>
      <c r="M143" s="113"/>
      <c r="N143" s="117"/>
    </row>
    <row r="144" spans="6:14" hidden="1" x14ac:dyDescent="0.2">
      <c r="F144" s="283"/>
      <c r="M144" s="113"/>
      <c r="N144" s="117"/>
    </row>
    <row r="145" spans="6:14" hidden="1" x14ac:dyDescent="0.2">
      <c r="F145" s="283"/>
      <c r="M145" s="113"/>
      <c r="N145" s="117"/>
    </row>
    <row r="146" spans="6:14" hidden="1" x14ac:dyDescent="0.2">
      <c r="F146" s="283"/>
      <c r="M146" s="113"/>
      <c r="N146" s="117"/>
    </row>
    <row r="147" spans="6:14" hidden="1" x14ac:dyDescent="0.2">
      <c r="F147" s="283"/>
      <c r="M147" s="113"/>
      <c r="N147" s="117"/>
    </row>
    <row r="148" spans="6:14" hidden="1" x14ac:dyDescent="0.2">
      <c r="F148" s="283"/>
      <c r="M148" s="113"/>
      <c r="N148" s="117"/>
    </row>
    <row r="149" spans="6:14" hidden="1" x14ac:dyDescent="0.2">
      <c r="F149" s="283"/>
      <c r="M149" s="113"/>
      <c r="N149" s="117"/>
    </row>
    <row r="150" spans="6:14" hidden="1" x14ac:dyDescent="0.2">
      <c r="F150" s="283"/>
      <c r="M150" s="113"/>
      <c r="N150" s="117"/>
    </row>
    <row r="151" spans="6:14" hidden="1" x14ac:dyDescent="0.2">
      <c r="F151" s="283"/>
      <c r="M151" s="113"/>
      <c r="N151" s="117"/>
    </row>
    <row r="152" spans="6:14" hidden="1" x14ac:dyDescent="0.2">
      <c r="F152" s="283"/>
      <c r="M152" s="113"/>
      <c r="N152" s="117"/>
    </row>
    <row r="153" spans="6:14" hidden="1" x14ac:dyDescent="0.2">
      <c r="F153" s="283"/>
      <c r="M153" s="113"/>
      <c r="N153" s="117"/>
    </row>
    <row r="154" spans="6:14" hidden="1" x14ac:dyDescent="0.2">
      <c r="F154" s="283"/>
      <c r="M154" s="113"/>
      <c r="N154" s="117"/>
    </row>
    <row r="155" spans="6:14" hidden="1" x14ac:dyDescent="0.2">
      <c r="F155" s="283"/>
      <c r="M155" s="113"/>
      <c r="N155" s="117"/>
    </row>
    <row r="156" spans="6:14" hidden="1" x14ac:dyDescent="0.2">
      <c r="F156" s="283"/>
      <c r="M156" s="113"/>
      <c r="N156" s="117"/>
    </row>
    <row r="157" spans="6:14" hidden="1" x14ac:dyDescent="0.2">
      <c r="F157" s="283"/>
      <c r="M157" s="113"/>
      <c r="N157" s="117"/>
    </row>
    <row r="158" spans="6:14" hidden="1" x14ac:dyDescent="0.2">
      <c r="F158" s="283"/>
      <c r="M158" s="113"/>
      <c r="N158" s="117"/>
    </row>
    <row r="159" spans="6:14" hidden="1" x14ac:dyDescent="0.2">
      <c r="F159" s="283"/>
      <c r="M159" s="113"/>
      <c r="N159" s="117"/>
    </row>
    <row r="160" spans="6:14" hidden="1" x14ac:dyDescent="0.2">
      <c r="F160" s="283"/>
      <c r="M160" s="113"/>
      <c r="N160" s="117"/>
    </row>
    <row r="161" spans="6:14" hidden="1" x14ac:dyDescent="0.2">
      <c r="F161" s="283"/>
      <c r="M161" s="113"/>
      <c r="N161" s="117"/>
    </row>
    <row r="162" spans="6:14" hidden="1" x14ac:dyDescent="0.2">
      <c r="F162" s="283"/>
      <c r="M162" s="113"/>
      <c r="N162" s="117"/>
    </row>
    <row r="163" spans="6:14" hidden="1" x14ac:dyDescent="0.2">
      <c r="F163" s="283"/>
      <c r="M163" s="113"/>
      <c r="N163" s="117"/>
    </row>
    <row r="164" spans="6:14" hidden="1" x14ac:dyDescent="0.2">
      <c r="F164" s="283"/>
      <c r="M164" s="113"/>
      <c r="N164" s="117"/>
    </row>
    <row r="165" spans="6:14" hidden="1" x14ac:dyDescent="0.2">
      <c r="F165" s="283"/>
      <c r="M165" s="113"/>
      <c r="N165" s="117"/>
    </row>
    <row r="166" spans="6:14" hidden="1" x14ac:dyDescent="0.2">
      <c r="F166" s="283"/>
      <c r="M166" s="113"/>
      <c r="N166" s="117"/>
    </row>
    <row r="167" spans="6:14" hidden="1" x14ac:dyDescent="0.2">
      <c r="F167" s="283"/>
      <c r="M167" s="113"/>
      <c r="N167" s="117"/>
    </row>
    <row r="168" spans="6:14" hidden="1" x14ac:dyDescent="0.2">
      <c r="F168" s="283"/>
      <c r="M168" s="113"/>
      <c r="N168" s="117"/>
    </row>
    <row r="169" spans="6:14" hidden="1" x14ac:dyDescent="0.2">
      <c r="F169" s="283"/>
      <c r="M169" s="113"/>
      <c r="N169" s="117"/>
    </row>
    <row r="170" spans="6:14" hidden="1" x14ac:dyDescent="0.2">
      <c r="F170" s="283"/>
      <c r="M170" s="113"/>
      <c r="N170" s="117"/>
    </row>
    <row r="171" spans="6:14" hidden="1" x14ac:dyDescent="0.2">
      <c r="F171" s="283"/>
      <c r="M171" s="113"/>
      <c r="N171" s="117"/>
    </row>
    <row r="172" spans="6:14" hidden="1" x14ac:dyDescent="0.2">
      <c r="F172" s="283"/>
      <c r="M172" s="113"/>
      <c r="N172" s="117"/>
    </row>
    <row r="173" spans="6:14" hidden="1" x14ac:dyDescent="0.2">
      <c r="F173" s="283"/>
      <c r="M173" s="113"/>
      <c r="N173" s="117"/>
    </row>
    <row r="174" spans="6:14" hidden="1" x14ac:dyDescent="0.2">
      <c r="F174" s="283"/>
      <c r="M174" s="113"/>
      <c r="N174" s="117"/>
    </row>
    <row r="175" spans="6:14" hidden="1" x14ac:dyDescent="0.2">
      <c r="F175" s="283"/>
      <c r="M175" s="113"/>
      <c r="N175" s="117"/>
    </row>
    <row r="176" spans="6:14" hidden="1" x14ac:dyDescent="0.2">
      <c r="F176" s="283"/>
      <c r="M176" s="113"/>
      <c r="N176" s="117"/>
    </row>
    <row r="177" spans="6:14" hidden="1" x14ac:dyDescent="0.2">
      <c r="F177" s="283"/>
      <c r="M177" s="113"/>
      <c r="N177" s="117"/>
    </row>
    <row r="178" spans="6:14" hidden="1" x14ac:dyDescent="0.2">
      <c r="F178" s="283"/>
      <c r="M178" s="113"/>
      <c r="N178" s="117"/>
    </row>
    <row r="179" spans="6:14" hidden="1" x14ac:dyDescent="0.2">
      <c r="F179" s="283"/>
      <c r="M179" s="113"/>
      <c r="N179" s="117"/>
    </row>
    <row r="180" spans="6:14" hidden="1" x14ac:dyDescent="0.2">
      <c r="F180" s="283"/>
      <c r="M180" s="113"/>
      <c r="N180" s="117"/>
    </row>
    <row r="181" spans="6:14" hidden="1" x14ac:dyDescent="0.2">
      <c r="F181" s="283"/>
      <c r="M181" s="113"/>
      <c r="N181" s="117"/>
    </row>
    <row r="182" spans="6:14" hidden="1" x14ac:dyDescent="0.2">
      <c r="F182" s="283"/>
      <c r="M182" s="113"/>
      <c r="N182" s="117"/>
    </row>
    <row r="183" spans="6:14" hidden="1" x14ac:dyDescent="0.2">
      <c r="F183" s="283"/>
      <c r="M183" s="113"/>
      <c r="N183" s="117"/>
    </row>
    <row r="184" spans="6:14" hidden="1" x14ac:dyDescent="0.2">
      <c r="F184" s="283"/>
      <c r="M184" s="113"/>
      <c r="N184" s="117"/>
    </row>
    <row r="185" spans="6:14" hidden="1" x14ac:dyDescent="0.2">
      <c r="F185" s="283"/>
      <c r="M185" s="113"/>
      <c r="N185" s="117"/>
    </row>
    <row r="186" spans="6:14" hidden="1" x14ac:dyDescent="0.2">
      <c r="F186" s="283"/>
      <c r="M186" s="113"/>
      <c r="N186" s="117"/>
    </row>
    <row r="187" spans="6:14" hidden="1" x14ac:dyDescent="0.2">
      <c r="F187" s="283"/>
      <c r="M187" s="113"/>
      <c r="N187" s="117"/>
    </row>
    <row r="188" spans="6:14" hidden="1" x14ac:dyDescent="0.2">
      <c r="F188" s="283"/>
      <c r="M188" s="113"/>
      <c r="N188" s="117"/>
    </row>
    <row r="189" spans="6:14" hidden="1" x14ac:dyDescent="0.2">
      <c r="F189" s="283"/>
      <c r="M189" s="113"/>
      <c r="N189" s="117"/>
    </row>
    <row r="190" spans="6:14" hidden="1" x14ac:dyDescent="0.2">
      <c r="F190" s="283"/>
      <c r="M190" s="113"/>
      <c r="N190" s="117"/>
    </row>
    <row r="191" spans="6:14" hidden="1" x14ac:dyDescent="0.2">
      <c r="F191" s="283"/>
      <c r="M191" s="113"/>
      <c r="N191" s="117"/>
    </row>
    <row r="192" spans="6:14" hidden="1" x14ac:dyDescent="0.2">
      <c r="F192" s="283"/>
      <c r="M192" s="113"/>
      <c r="N192" s="117"/>
    </row>
    <row r="193" spans="6:14" hidden="1" x14ac:dyDescent="0.2">
      <c r="F193" s="283"/>
      <c r="M193" s="113"/>
      <c r="N193" s="117"/>
    </row>
    <row r="194" spans="6:14" hidden="1" x14ac:dyDescent="0.2">
      <c r="F194" s="283"/>
      <c r="M194" s="113"/>
      <c r="N194" s="117"/>
    </row>
    <row r="195" spans="6:14" hidden="1" x14ac:dyDescent="0.2">
      <c r="F195" s="283"/>
      <c r="M195" s="113"/>
      <c r="N195" s="117"/>
    </row>
    <row r="196" spans="6:14" hidden="1" x14ac:dyDescent="0.2">
      <c r="F196" s="283"/>
      <c r="M196" s="113"/>
      <c r="N196" s="117"/>
    </row>
    <row r="197" spans="6:14" hidden="1" x14ac:dyDescent="0.2">
      <c r="F197" s="283"/>
      <c r="M197" s="113"/>
      <c r="N197" s="117"/>
    </row>
    <row r="198" spans="6:14" hidden="1" x14ac:dyDescent="0.2">
      <c r="F198" s="283"/>
      <c r="M198" s="113"/>
      <c r="N198" s="117"/>
    </row>
    <row r="199" spans="6:14" hidden="1" x14ac:dyDescent="0.2">
      <c r="F199" s="283"/>
      <c r="M199" s="113"/>
      <c r="N199" s="117"/>
    </row>
    <row r="200" spans="6:14" hidden="1" x14ac:dyDescent="0.2">
      <c r="F200" s="283"/>
      <c r="M200" s="113"/>
      <c r="N200" s="117"/>
    </row>
    <row r="201" spans="6:14" hidden="1" x14ac:dyDescent="0.2">
      <c r="F201" s="283"/>
      <c r="M201" s="113"/>
      <c r="N201" s="117"/>
    </row>
    <row r="202" spans="6:14" hidden="1" x14ac:dyDescent="0.2">
      <c r="F202" s="283"/>
      <c r="M202" s="113"/>
      <c r="N202" s="117"/>
    </row>
    <row r="203" spans="6:14" hidden="1" x14ac:dyDescent="0.2">
      <c r="F203" s="283"/>
      <c r="M203" s="113"/>
      <c r="N203" s="117"/>
    </row>
    <row r="204" spans="6:14" hidden="1" x14ac:dyDescent="0.2">
      <c r="F204" s="283"/>
      <c r="M204" s="113"/>
      <c r="N204" s="117"/>
    </row>
    <row r="205" spans="6:14" hidden="1" x14ac:dyDescent="0.2">
      <c r="F205" s="283"/>
      <c r="M205" s="113"/>
      <c r="N205" s="117"/>
    </row>
    <row r="206" spans="6:14" hidden="1" x14ac:dyDescent="0.2">
      <c r="F206" s="283"/>
      <c r="M206" s="113"/>
      <c r="N206" s="117"/>
    </row>
    <row r="207" spans="6:14" hidden="1" x14ac:dyDescent="0.2">
      <c r="F207" s="283"/>
      <c r="M207" s="113"/>
      <c r="N207" s="117"/>
    </row>
    <row r="208" spans="6:14" hidden="1" x14ac:dyDescent="0.2">
      <c r="F208" s="283"/>
      <c r="M208" s="113"/>
      <c r="N208" s="117"/>
    </row>
    <row r="209" spans="6:14" hidden="1" x14ac:dyDescent="0.2">
      <c r="F209" s="283"/>
      <c r="M209" s="113"/>
      <c r="N209" s="117"/>
    </row>
    <row r="210" spans="6:14" hidden="1" x14ac:dyDescent="0.2">
      <c r="F210" s="283"/>
      <c r="M210" s="113"/>
      <c r="N210" s="117"/>
    </row>
    <row r="211" spans="6:14" hidden="1" x14ac:dyDescent="0.2">
      <c r="F211" s="283"/>
      <c r="M211" s="113"/>
      <c r="N211" s="117"/>
    </row>
    <row r="212" spans="6:14" hidden="1" x14ac:dyDescent="0.2">
      <c r="F212" s="283"/>
      <c r="M212" s="113"/>
      <c r="N212" s="117"/>
    </row>
    <row r="213" spans="6:14" hidden="1" x14ac:dyDescent="0.2">
      <c r="F213" s="283"/>
      <c r="M213" s="113"/>
      <c r="N213" s="117"/>
    </row>
    <row r="214" spans="6:14" hidden="1" x14ac:dyDescent="0.2">
      <c r="F214" s="283"/>
      <c r="M214" s="113"/>
      <c r="N214" s="117"/>
    </row>
    <row r="215" spans="6:14" hidden="1" x14ac:dyDescent="0.2">
      <c r="F215" s="283"/>
      <c r="M215" s="113"/>
      <c r="N215" s="117"/>
    </row>
    <row r="216" spans="6:14" hidden="1" x14ac:dyDescent="0.2">
      <c r="F216" s="283"/>
      <c r="M216" s="113"/>
      <c r="N216" s="117"/>
    </row>
    <row r="217" spans="6:14" hidden="1" x14ac:dyDescent="0.2">
      <c r="F217" s="283"/>
      <c r="M217" s="113"/>
      <c r="N217" s="117"/>
    </row>
    <row r="218" spans="6:14" hidden="1" x14ac:dyDescent="0.2">
      <c r="F218" s="283"/>
      <c r="M218" s="113"/>
      <c r="N218" s="117"/>
    </row>
    <row r="219" spans="6:14" hidden="1" x14ac:dyDescent="0.2">
      <c r="F219" s="283"/>
      <c r="M219" s="113"/>
      <c r="N219" s="117"/>
    </row>
    <row r="220" spans="6:14" hidden="1" x14ac:dyDescent="0.2">
      <c r="F220" s="283"/>
      <c r="M220" s="113"/>
      <c r="N220" s="117"/>
    </row>
    <row r="221" spans="6:14" hidden="1" x14ac:dyDescent="0.2">
      <c r="F221" s="283"/>
      <c r="M221" s="113"/>
      <c r="N221" s="117"/>
    </row>
    <row r="222" spans="6:14" hidden="1" x14ac:dyDescent="0.2">
      <c r="F222" s="283"/>
      <c r="M222" s="113"/>
      <c r="N222" s="117"/>
    </row>
    <row r="223" spans="6:14" hidden="1" x14ac:dyDescent="0.2">
      <c r="F223" s="283"/>
      <c r="M223" s="113"/>
      <c r="N223" s="117"/>
    </row>
    <row r="224" spans="6:14" hidden="1" x14ac:dyDescent="0.2">
      <c r="F224" s="283"/>
      <c r="M224" s="113"/>
      <c r="N224" s="117"/>
    </row>
    <row r="225" spans="6:14" hidden="1" x14ac:dyDescent="0.2">
      <c r="F225" s="283"/>
      <c r="M225" s="113"/>
      <c r="N225" s="117"/>
    </row>
    <row r="226" spans="6:14" hidden="1" x14ac:dyDescent="0.2">
      <c r="F226" s="283"/>
      <c r="M226" s="113"/>
      <c r="N226" s="117"/>
    </row>
    <row r="227" spans="6:14" hidden="1" x14ac:dyDescent="0.2">
      <c r="F227" s="283"/>
      <c r="M227" s="113"/>
      <c r="N227" s="117"/>
    </row>
    <row r="228" spans="6:14" hidden="1" x14ac:dyDescent="0.2">
      <c r="F228" s="283"/>
      <c r="M228" s="113"/>
      <c r="N228" s="117"/>
    </row>
    <row r="229" spans="6:14" hidden="1" x14ac:dyDescent="0.2">
      <c r="F229" s="283"/>
      <c r="M229" s="113"/>
      <c r="N229" s="117"/>
    </row>
    <row r="230" spans="6:14" hidden="1" x14ac:dyDescent="0.2">
      <c r="F230" s="283"/>
      <c r="M230" s="113"/>
      <c r="N230" s="117"/>
    </row>
    <row r="231" spans="6:14" hidden="1" x14ac:dyDescent="0.2">
      <c r="F231" s="283"/>
      <c r="M231" s="113"/>
      <c r="N231" s="117"/>
    </row>
    <row r="232" spans="6:14" hidden="1" x14ac:dyDescent="0.2">
      <c r="F232" s="283"/>
      <c r="M232" s="113"/>
      <c r="N232" s="117"/>
    </row>
    <row r="233" spans="6:14" hidden="1" x14ac:dyDescent="0.2">
      <c r="F233" s="283"/>
      <c r="M233" s="113"/>
      <c r="N233" s="117"/>
    </row>
    <row r="234" spans="6:14" hidden="1" x14ac:dyDescent="0.2">
      <c r="F234" s="283"/>
      <c r="M234" s="113"/>
      <c r="N234" s="117"/>
    </row>
    <row r="235" spans="6:14" hidden="1" x14ac:dyDescent="0.2">
      <c r="F235" s="283"/>
      <c r="M235" s="113"/>
      <c r="N235" s="117"/>
    </row>
    <row r="236" spans="6:14" hidden="1" x14ac:dyDescent="0.2">
      <c r="F236" s="283"/>
      <c r="M236" s="113"/>
      <c r="N236" s="117"/>
    </row>
    <row r="237" spans="6:14" hidden="1" x14ac:dyDescent="0.2">
      <c r="F237" s="283"/>
      <c r="M237" s="113"/>
      <c r="N237" s="117"/>
    </row>
    <row r="238" spans="6:14" hidden="1" x14ac:dyDescent="0.2">
      <c r="F238" s="283"/>
      <c r="M238" s="113"/>
      <c r="N238" s="117"/>
    </row>
    <row r="239" spans="6:14" hidden="1" x14ac:dyDescent="0.2">
      <c r="F239" s="283"/>
      <c r="M239" s="113"/>
      <c r="N239" s="117"/>
    </row>
    <row r="240" spans="6:14" hidden="1" x14ac:dyDescent="0.2">
      <c r="F240" s="283"/>
      <c r="M240" s="113"/>
      <c r="N240" s="117"/>
    </row>
    <row r="241" spans="6:14" hidden="1" x14ac:dyDescent="0.2">
      <c r="F241" s="283"/>
      <c r="M241" s="113"/>
      <c r="N241" s="117"/>
    </row>
    <row r="242" spans="6:14" hidden="1" x14ac:dyDescent="0.2">
      <c r="F242" s="283"/>
      <c r="M242" s="113"/>
      <c r="N242" s="117"/>
    </row>
    <row r="243" spans="6:14" hidden="1" x14ac:dyDescent="0.2">
      <c r="F243" s="283"/>
      <c r="M243" s="113"/>
      <c r="N243" s="117"/>
    </row>
    <row r="244" spans="6:14" hidden="1" x14ac:dyDescent="0.2">
      <c r="F244" s="283"/>
      <c r="M244" s="113"/>
      <c r="N244" s="117"/>
    </row>
    <row r="245" spans="6:14" hidden="1" x14ac:dyDescent="0.2">
      <c r="F245" s="283"/>
      <c r="M245" s="113"/>
      <c r="N245" s="117"/>
    </row>
    <row r="246" spans="6:14" hidden="1" x14ac:dyDescent="0.2">
      <c r="F246" s="283"/>
      <c r="M246" s="113"/>
      <c r="N246" s="117"/>
    </row>
    <row r="247" spans="6:14" hidden="1" x14ac:dyDescent="0.2">
      <c r="F247" s="283"/>
      <c r="M247" s="113"/>
      <c r="N247" s="117"/>
    </row>
    <row r="248" spans="6:14" hidden="1" x14ac:dyDescent="0.2">
      <c r="F248" s="283"/>
      <c r="M248" s="113"/>
      <c r="N248" s="117"/>
    </row>
    <row r="249" spans="6:14" hidden="1" x14ac:dyDescent="0.2">
      <c r="F249" s="283"/>
      <c r="M249" s="113"/>
      <c r="N249" s="117"/>
    </row>
    <row r="250" spans="6:14" hidden="1" x14ac:dyDescent="0.2">
      <c r="F250" s="283"/>
      <c r="M250" s="113"/>
      <c r="N250" s="117"/>
    </row>
    <row r="251" spans="6:14" hidden="1" x14ac:dyDescent="0.2">
      <c r="F251" s="283"/>
      <c r="M251" s="113"/>
      <c r="N251" s="117"/>
    </row>
    <row r="252" spans="6:14" hidden="1" x14ac:dyDescent="0.2">
      <c r="F252" s="283"/>
      <c r="M252" s="113"/>
      <c r="N252" s="117"/>
    </row>
    <row r="253" spans="6:14" hidden="1" x14ac:dyDescent="0.2">
      <c r="F253" s="283"/>
      <c r="M253" s="113"/>
      <c r="N253" s="117"/>
    </row>
    <row r="254" spans="6:14" hidden="1" x14ac:dyDescent="0.2">
      <c r="F254" s="283"/>
      <c r="M254" s="113"/>
      <c r="N254" s="117"/>
    </row>
    <row r="255" spans="6:14" hidden="1" x14ac:dyDescent="0.2">
      <c r="F255" s="283"/>
      <c r="M255" s="113"/>
      <c r="N255" s="117"/>
    </row>
    <row r="256" spans="6:14" hidden="1" x14ac:dyDescent="0.2">
      <c r="F256" s="283"/>
      <c r="M256" s="113"/>
      <c r="N256" s="117"/>
    </row>
    <row r="257" spans="6:14" hidden="1" x14ac:dyDescent="0.2">
      <c r="F257" s="283"/>
      <c r="M257" s="113"/>
      <c r="N257" s="117"/>
    </row>
    <row r="258" spans="6:14" hidden="1" x14ac:dyDescent="0.2">
      <c r="F258" s="283"/>
      <c r="M258" s="113"/>
      <c r="N258" s="117"/>
    </row>
    <row r="259" spans="6:14" hidden="1" x14ac:dyDescent="0.2">
      <c r="F259" s="283"/>
      <c r="M259" s="113"/>
      <c r="N259" s="117"/>
    </row>
    <row r="260" spans="6:14" hidden="1" x14ac:dyDescent="0.2">
      <c r="F260" s="283"/>
      <c r="M260" s="113"/>
      <c r="N260" s="117"/>
    </row>
    <row r="261" spans="6:14" hidden="1" x14ac:dyDescent="0.2">
      <c r="F261" s="283"/>
      <c r="M261" s="113"/>
      <c r="N261" s="117"/>
    </row>
    <row r="262" spans="6:14" hidden="1" x14ac:dyDescent="0.2">
      <c r="F262" s="283"/>
      <c r="M262" s="113"/>
      <c r="N262" s="117"/>
    </row>
    <row r="263" spans="6:14" hidden="1" x14ac:dyDescent="0.2">
      <c r="F263" s="283"/>
      <c r="M263" s="113"/>
      <c r="N263" s="117"/>
    </row>
    <row r="264" spans="6:14" hidden="1" x14ac:dyDescent="0.2">
      <c r="F264" s="283"/>
      <c r="M264" s="113"/>
      <c r="N264" s="117"/>
    </row>
    <row r="265" spans="6:14" hidden="1" x14ac:dyDescent="0.2">
      <c r="F265" s="283"/>
      <c r="M265" s="113"/>
      <c r="N265" s="117"/>
    </row>
    <row r="266" spans="6:14" hidden="1" x14ac:dyDescent="0.2">
      <c r="F266" s="283"/>
      <c r="M266" s="113"/>
      <c r="N266" s="117"/>
    </row>
    <row r="267" spans="6:14" hidden="1" x14ac:dyDescent="0.2">
      <c r="F267" s="283"/>
      <c r="M267" s="113"/>
      <c r="N267" s="117"/>
    </row>
    <row r="268" spans="6:14" hidden="1" x14ac:dyDescent="0.2">
      <c r="F268" s="283"/>
      <c r="M268" s="113"/>
      <c r="N268" s="117"/>
    </row>
    <row r="269" spans="6:14" hidden="1" x14ac:dyDescent="0.2">
      <c r="F269" s="283"/>
      <c r="M269" s="113"/>
      <c r="N269" s="117"/>
    </row>
    <row r="270" spans="6:14" hidden="1" x14ac:dyDescent="0.2">
      <c r="F270" s="283"/>
      <c r="M270" s="113"/>
      <c r="N270" s="117"/>
    </row>
    <row r="271" spans="6:14" hidden="1" x14ac:dyDescent="0.2">
      <c r="F271" s="283"/>
      <c r="M271" s="113"/>
      <c r="N271" s="117"/>
    </row>
    <row r="272" spans="6:14" hidden="1" x14ac:dyDescent="0.2">
      <c r="F272" s="283"/>
      <c r="M272" s="113"/>
      <c r="N272" s="117"/>
    </row>
    <row r="273" spans="6:14" hidden="1" x14ac:dyDescent="0.2">
      <c r="F273" s="283"/>
      <c r="M273" s="113"/>
      <c r="N273" s="117"/>
    </row>
    <row r="274" spans="6:14" hidden="1" x14ac:dyDescent="0.2">
      <c r="F274" s="283"/>
      <c r="M274" s="113"/>
      <c r="N274" s="117"/>
    </row>
    <row r="275" spans="6:14" hidden="1" x14ac:dyDescent="0.2">
      <c r="F275" s="283"/>
      <c r="M275" s="113"/>
      <c r="N275" s="117"/>
    </row>
    <row r="276" spans="6:14" hidden="1" x14ac:dyDescent="0.2">
      <c r="F276" s="283"/>
      <c r="M276" s="113"/>
      <c r="N276" s="117"/>
    </row>
    <row r="277" spans="6:14" hidden="1" x14ac:dyDescent="0.2">
      <c r="F277" s="283"/>
      <c r="M277" s="113"/>
      <c r="N277" s="117"/>
    </row>
    <row r="278" spans="6:14" hidden="1" x14ac:dyDescent="0.2">
      <c r="F278" s="283"/>
      <c r="M278" s="113"/>
      <c r="N278" s="117"/>
    </row>
    <row r="279" spans="6:14" hidden="1" x14ac:dyDescent="0.2">
      <c r="F279" s="283"/>
      <c r="M279" s="113"/>
      <c r="N279" s="117"/>
    </row>
    <row r="280" spans="6:14" hidden="1" x14ac:dyDescent="0.2">
      <c r="F280" s="283"/>
      <c r="M280" s="113"/>
      <c r="N280" s="117"/>
    </row>
    <row r="281" spans="6:14" hidden="1" x14ac:dyDescent="0.2">
      <c r="F281" s="283"/>
      <c r="M281" s="113"/>
      <c r="N281" s="117"/>
    </row>
    <row r="282" spans="6:14" hidden="1" x14ac:dyDescent="0.2">
      <c r="F282" s="283"/>
      <c r="M282" s="113"/>
      <c r="N282" s="117"/>
    </row>
    <row r="283" spans="6:14" hidden="1" x14ac:dyDescent="0.2">
      <c r="F283" s="283"/>
      <c r="M283" s="113"/>
      <c r="N283" s="117"/>
    </row>
    <row r="284" spans="6:14" hidden="1" x14ac:dyDescent="0.2">
      <c r="F284" s="283"/>
      <c r="M284" s="113"/>
      <c r="N284" s="117"/>
    </row>
    <row r="285" spans="6:14" hidden="1" x14ac:dyDescent="0.2">
      <c r="F285" s="283"/>
      <c r="M285" s="113"/>
      <c r="N285" s="117"/>
    </row>
    <row r="286" spans="6:14" hidden="1" x14ac:dyDescent="0.2">
      <c r="F286" s="283"/>
      <c r="M286" s="113"/>
      <c r="N286" s="117"/>
    </row>
    <row r="287" spans="6:14" hidden="1" x14ac:dyDescent="0.2">
      <c r="F287" s="283"/>
      <c r="M287" s="113"/>
      <c r="N287" s="117"/>
    </row>
    <row r="288" spans="6:14" hidden="1" x14ac:dyDescent="0.2">
      <c r="F288" s="283"/>
      <c r="M288" s="113"/>
      <c r="N288" s="117"/>
    </row>
    <row r="289" spans="6:14" hidden="1" x14ac:dyDescent="0.2">
      <c r="F289" s="283"/>
      <c r="M289" s="113"/>
      <c r="N289" s="117"/>
    </row>
    <row r="290" spans="6:14" hidden="1" x14ac:dyDescent="0.2">
      <c r="F290" s="283"/>
      <c r="M290" s="113"/>
      <c r="N290" s="117"/>
    </row>
    <row r="291" spans="6:14" hidden="1" x14ac:dyDescent="0.2">
      <c r="F291" s="283"/>
      <c r="M291" s="113"/>
      <c r="N291" s="117"/>
    </row>
    <row r="292" spans="6:14" hidden="1" x14ac:dyDescent="0.2">
      <c r="F292" s="283"/>
      <c r="M292" s="113"/>
      <c r="N292" s="117"/>
    </row>
    <row r="293" spans="6:14" hidden="1" x14ac:dyDescent="0.2">
      <c r="F293" s="283"/>
      <c r="M293" s="113"/>
      <c r="N293" s="117"/>
    </row>
    <row r="294" spans="6:14" hidden="1" x14ac:dyDescent="0.2">
      <c r="F294" s="283"/>
      <c r="M294" s="113"/>
      <c r="N294" s="117"/>
    </row>
    <row r="295" spans="6:14" hidden="1" x14ac:dyDescent="0.2">
      <c r="F295" s="283"/>
      <c r="M295" s="113"/>
      <c r="N295" s="117"/>
    </row>
    <row r="296" spans="6:14" hidden="1" x14ac:dyDescent="0.2">
      <c r="F296" s="283"/>
      <c r="M296" s="113"/>
      <c r="N296" s="117"/>
    </row>
    <row r="297" spans="6:14" hidden="1" x14ac:dyDescent="0.2">
      <c r="F297" s="283"/>
      <c r="M297" s="113"/>
      <c r="N297" s="117"/>
    </row>
    <row r="298" spans="6:14" hidden="1" x14ac:dyDescent="0.2">
      <c r="F298" s="283"/>
      <c r="M298" s="113"/>
      <c r="N298" s="117"/>
    </row>
    <row r="299" spans="6:14" hidden="1" x14ac:dyDescent="0.2">
      <c r="F299" s="283"/>
      <c r="M299" s="113"/>
      <c r="N299" s="117"/>
    </row>
    <row r="300" spans="6:14" hidden="1" x14ac:dyDescent="0.2">
      <c r="F300" s="283"/>
      <c r="M300" s="113"/>
      <c r="N300" s="117"/>
    </row>
    <row r="301" spans="6:14" hidden="1" x14ac:dyDescent="0.2">
      <c r="F301" s="283"/>
      <c r="M301" s="113"/>
      <c r="N301" s="117"/>
    </row>
    <row r="302" spans="6:14" hidden="1" x14ac:dyDescent="0.2">
      <c r="F302" s="283"/>
      <c r="M302" s="113"/>
      <c r="N302" s="117"/>
    </row>
    <row r="303" spans="6:14" hidden="1" x14ac:dyDescent="0.2">
      <c r="F303" s="283"/>
      <c r="M303" s="113"/>
      <c r="N303" s="117"/>
    </row>
    <row r="304" spans="6:14" hidden="1" x14ac:dyDescent="0.2">
      <c r="F304" s="283"/>
      <c r="M304" s="113"/>
      <c r="N304" s="117"/>
    </row>
    <row r="305" spans="6:14" hidden="1" x14ac:dyDescent="0.2">
      <c r="F305" s="283"/>
      <c r="M305" s="113"/>
      <c r="N305" s="117"/>
    </row>
    <row r="306" spans="6:14" hidden="1" x14ac:dyDescent="0.2">
      <c r="F306" s="283"/>
      <c r="M306" s="113"/>
      <c r="N306" s="117"/>
    </row>
    <row r="307" spans="6:14" hidden="1" x14ac:dyDescent="0.2">
      <c r="F307" s="283"/>
      <c r="M307" s="113"/>
      <c r="N307" s="117"/>
    </row>
    <row r="308" spans="6:14" hidden="1" x14ac:dyDescent="0.2">
      <c r="F308" s="283"/>
      <c r="M308" s="113"/>
      <c r="N308" s="117"/>
    </row>
    <row r="309" spans="6:14" hidden="1" x14ac:dyDescent="0.2">
      <c r="F309" s="283"/>
      <c r="M309" s="113"/>
      <c r="N309" s="117"/>
    </row>
    <row r="310" spans="6:14" hidden="1" x14ac:dyDescent="0.2">
      <c r="F310" s="283"/>
      <c r="M310" s="113"/>
      <c r="N310" s="117"/>
    </row>
    <row r="311" spans="6:14" hidden="1" x14ac:dyDescent="0.2">
      <c r="F311" s="283"/>
      <c r="M311" s="113"/>
      <c r="N311" s="117"/>
    </row>
    <row r="312" spans="6:14" hidden="1" x14ac:dyDescent="0.2">
      <c r="F312" s="283"/>
      <c r="M312" s="113"/>
      <c r="N312" s="117"/>
    </row>
    <row r="313" spans="6:14" hidden="1" x14ac:dyDescent="0.2">
      <c r="F313" s="283"/>
      <c r="M313" s="113"/>
      <c r="N313" s="117"/>
    </row>
    <row r="314" spans="6:14" hidden="1" x14ac:dyDescent="0.2">
      <c r="F314" s="283"/>
      <c r="M314" s="113"/>
      <c r="N314" s="117"/>
    </row>
    <row r="315" spans="6:14" hidden="1" x14ac:dyDescent="0.2">
      <c r="F315" s="283"/>
      <c r="M315" s="113"/>
      <c r="N315" s="117"/>
    </row>
    <row r="316" spans="6:14" hidden="1" x14ac:dyDescent="0.2">
      <c r="F316" s="283"/>
      <c r="M316" s="113"/>
      <c r="N316" s="117"/>
    </row>
    <row r="317" spans="6:14" hidden="1" x14ac:dyDescent="0.2">
      <c r="F317" s="283"/>
      <c r="M317" s="113"/>
      <c r="N317" s="117"/>
    </row>
    <row r="318" spans="6:14" hidden="1" x14ac:dyDescent="0.2">
      <c r="F318" s="283"/>
      <c r="M318" s="113"/>
      <c r="N318" s="117"/>
    </row>
    <row r="319" spans="6:14" hidden="1" x14ac:dyDescent="0.2">
      <c r="F319" s="283"/>
      <c r="M319" s="113"/>
      <c r="N319" s="117"/>
    </row>
    <row r="320" spans="6:14" hidden="1" x14ac:dyDescent="0.2">
      <c r="F320" s="283"/>
      <c r="M320" s="113"/>
      <c r="N320" s="117"/>
    </row>
    <row r="321" spans="6:14" hidden="1" x14ac:dyDescent="0.2">
      <c r="F321" s="283"/>
      <c r="M321" s="113"/>
      <c r="N321" s="117"/>
    </row>
    <row r="322" spans="6:14" hidden="1" x14ac:dyDescent="0.2">
      <c r="F322" s="283"/>
      <c r="M322" s="113"/>
      <c r="N322" s="117"/>
    </row>
    <row r="323" spans="6:14" hidden="1" x14ac:dyDescent="0.2">
      <c r="F323" s="283"/>
      <c r="M323" s="113"/>
      <c r="N323" s="117"/>
    </row>
    <row r="324" spans="6:14" hidden="1" x14ac:dyDescent="0.2">
      <c r="F324" s="283"/>
      <c r="M324" s="113"/>
      <c r="N324" s="117"/>
    </row>
    <row r="325" spans="6:14" hidden="1" x14ac:dyDescent="0.2">
      <c r="F325" s="283"/>
      <c r="M325" s="113"/>
      <c r="N325" s="117"/>
    </row>
    <row r="326" spans="6:14" hidden="1" x14ac:dyDescent="0.2">
      <c r="F326" s="283"/>
      <c r="M326" s="113"/>
      <c r="N326" s="117"/>
    </row>
    <row r="327" spans="6:14" hidden="1" x14ac:dyDescent="0.2">
      <c r="F327" s="283"/>
      <c r="M327" s="113"/>
      <c r="N327" s="117"/>
    </row>
    <row r="328" spans="6:14" hidden="1" x14ac:dyDescent="0.2">
      <c r="F328" s="283"/>
      <c r="M328" s="113"/>
      <c r="N328" s="117"/>
    </row>
    <row r="329" spans="6:14" hidden="1" x14ac:dyDescent="0.2">
      <c r="F329" s="283"/>
      <c r="M329" s="113"/>
      <c r="N329" s="117"/>
    </row>
    <row r="330" spans="6:14" hidden="1" x14ac:dyDescent="0.2">
      <c r="F330" s="283"/>
      <c r="M330" s="113"/>
      <c r="N330" s="117"/>
    </row>
    <row r="331" spans="6:14" hidden="1" x14ac:dyDescent="0.2">
      <c r="F331" s="283"/>
      <c r="M331" s="113"/>
      <c r="N331" s="117"/>
    </row>
    <row r="332" spans="6:14" hidden="1" x14ac:dyDescent="0.2">
      <c r="F332" s="283"/>
      <c r="M332" s="113"/>
      <c r="N332" s="117"/>
    </row>
    <row r="333" spans="6:14" hidden="1" x14ac:dyDescent="0.2">
      <c r="F333" s="283"/>
      <c r="M333" s="113"/>
      <c r="N333" s="117"/>
    </row>
    <row r="334" spans="6:14" hidden="1" x14ac:dyDescent="0.2">
      <c r="F334" s="283"/>
      <c r="M334" s="113"/>
      <c r="N334" s="117"/>
    </row>
    <row r="335" spans="6:14" hidden="1" x14ac:dyDescent="0.2">
      <c r="F335" s="283"/>
      <c r="M335" s="113"/>
      <c r="N335" s="117"/>
    </row>
    <row r="336" spans="6:14" hidden="1" x14ac:dyDescent="0.2">
      <c r="F336" s="283"/>
      <c r="M336" s="113"/>
      <c r="N336" s="117"/>
    </row>
    <row r="337" spans="6:14" hidden="1" x14ac:dyDescent="0.2">
      <c r="F337" s="283"/>
      <c r="M337" s="113"/>
      <c r="N337" s="117"/>
    </row>
    <row r="338" spans="6:14" hidden="1" x14ac:dyDescent="0.2">
      <c r="F338" s="283"/>
      <c r="M338" s="113"/>
      <c r="N338" s="117"/>
    </row>
    <row r="339" spans="6:14" hidden="1" x14ac:dyDescent="0.2">
      <c r="F339" s="283"/>
      <c r="M339" s="113"/>
      <c r="N339" s="117"/>
    </row>
    <row r="340" spans="6:14" hidden="1" x14ac:dyDescent="0.2">
      <c r="F340" s="283"/>
      <c r="M340" s="113"/>
      <c r="N340" s="117"/>
    </row>
    <row r="341" spans="6:14" hidden="1" x14ac:dyDescent="0.2">
      <c r="F341" s="283"/>
      <c r="M341" s="113"/>
      <c r="N341" s="117"/>
    </row>
    <row r="342" spans="6:14" hidden="1" x14ac:dyDescent="0.2">
      <c r="F342" s="283"/>
      <c r="M342" s="113"/>
      <c r="N342" s="117"/>
    </row>
    <row r="343" spans="6:14" hidden="1" x14ac:dyDescent="0.2">
      <c r="F343" s="283"/>
      <c r="M343" s="113"/>
      <c r="N343" s="117"/>
    </row>
    <row r="344" spans="6:14" hidden="1" x14ac:dyDescent="0.2">
      <c r="F344" s="283"/>
      <c r="M344" s="113"/>
      <c r="N344" s="117"/>
    </row>
    <row r="345" spans="6:14" hidden="1" x14ac:dyDescent="0.2">
      <c r="F345" s="283"/>
      <c r="M345" s="113"/>
      <c r="N345" s="117"/>
    </row>
    <row r="346" spans="6:14" hidden="1" x14ac:dyDescent="0.2">
      <c r="F346" s="283"/>
      <c r="M346" s="113"/>
      <c r="N346" s="117"/>
    </row>
    <row r="347" spans="6:14" hidden="1" x14ac:dyDescent="0.2">
      <c r="F347" s="283"/>
      <c r="M347" s="113"/>
      <c r="N347" s="117"/>
    </row>
    <row r="348" spans="6:14" hidden="1" x14ac:dyDescent="0.2">
      <c r="F348" s="283"/>
      <c r="M348" s="113"/>
      <c r="N348" s="117"/>
    </row>
    <row r="349" spans="6:14" hidden="1" x14ac:dyDescent="0.2">
      <c r="F349" s="283"/>
      <c r="M349" s="113"/>
      <c r="N349" s="117"/>
    </row>
    <row r="350" spans="6:14" hidden="1" x14ac:dyDescent="0.2">
      <c r="F350" s="283"/>
      <c r="M350" s="113"/>
      <c r="N350" s="117"/>
    </row>
    <row r="351" spans="6:14" hidden="1" x14ac:dyDescent="0.2">
      <c r="F351" s="283"/>
      <c r="M351" s="113"/>
      <c r="N351" s="117"/>
    </row>
    <row r="352" spans="6:14" hidden="1" x14ac:dyDescent="0.2">
      <c r="F352" s="283"/>
      <c r="M352" s="113"/>
      <c r="N352" s="117"/>
    </row>
    <row r="353" spans="6:14" hidden="1" x14ac:dyDescent="0.2">
      <c r="F353" s="283"/>
      <c r="M353" s="113"/>
      <c r="N353" s="117"/>
    </row>
    <row r="354" spans="6:14" hidden="1" x14ac:dyDescent="0.2">
      <c r="F354" s="283"/>
      <c r="M354" s="113"/>
      <c r="N354" s="117"/>
    </row>
    <row r="355" spans="6:14" hidden="1" x14ac:dyDescent="0.2">
      <c r="F355" s="283"/>
      <c r="M355" s="113"/>
      <c r="N355" s="117"/>
    </row>
    <row r="356" spans="6:14" hidden="1" x14ac:dyDescent="0.2">
      <c r="F356" s="283"/>
      <c r="M356" s="113"/>
      <c r="N356" s="117"/>
    </row>
    <row r="357" spans="6:14" hidden="1" x14ac:dyDescent="0.2">
      <c r="F357" s="283"/>
      <c r="M357" s="113"/>
      <c r="N357" s="117"/>
    </row>
    <row r="358" spans="6:14" hidden="1" x14ac:dyDescent="0.2">
      <c r="F358" s="283"/>
      <c r="M358" s="113"/>
      <c r="N358" s="117"/>
    </row>
    <row r="359" spans="6:14" hidden="1" x14ac:dyDescent="0.2">
      <c r="F359" s="283"/>
      <c r="M359" s="113"/>
      <c r="N359" s="117"/>
    </row>
    <row r="360" spans="6:14" hidden="1" x14ac:dyDescent="0.2">
      <c r="F360" s="283"/>
      <c r="M360" s="113"/>
      <c r="N360" s="117"/>
    </row>
    <row r="361" spans="6:14" hidden="1" x14ac:dyDescent="0.2">
      <c r="F361" s="283"/>
      <c r="M361" s="113"/>
      <c r="N361" s="117"/>
    </row>
    <row r="362" spans="6:14" hidden="1" x14ac:dyDescent="0.2">
      <c r="F362" s="283"/>
      <c r="M362" s="113"/>
      <c r="N362" s="117"/>
    </row>
    <row r="363" spans="6:14" hidden="1" x14ac:dyDescent="0.2">
      <c r="F363" s="283"/>
      <c r="M363" s="113"/>
      <c r="N363" s="117"/>
    </row>
    <row r="364" spans="6:14" hidden="1" x14ac:dyDescent="0.2">
      <c r="F364" s="283"/>
      <c r="M364" s="113"/>
      <c r="N364" s="117"/>
    </row>
    <row r="365" spans="6:14" hidden="1" x14ac:dyDescent="0.2">
      <c r="F365" s="283"/>
      <c r="M365" s="113"/>
      <c r="N365" s="117"/>
    </row>
    <row r="366" spans="6:14" hidden="1" x14ac:dyDescent="0.2">
      <c r="F366" s="283"/>
      <c r="M366" s="113"/>
      <c r="N366" s="117"/>
    </row>
    <row r="367" spans="6:14" hidden="1" x14ac:dyDescent="0.2">
      <c r="F367" s="283"/>
      <c r="M367" s="113"/>
      <c r="N367" s="117"/>
    </row>
    <row r="368" spans="6:14" hidden="1" x14ac:dyDescent="0.2">
      <c r="F368" s="283"/>
      <c r="M368" s="113"/>
      <c r="N368" s="117"/>
    </row>
    <row r="369" spans="6:14" hidden="1" x14ac:dyDescent="0.2">
      <c r="F369" s="283"/>
      <c r="M369" s="113"/>
      <c r="N369" s="117"/>
    </row>
    <row r="370" spans="6:14" hidden="1" x14ac:dyDescent="0.2">
      <c r="F370" s="283"/>
      <c r="M370" s="113"/>
      <c r="N370" s="117"/>
    </row>
    <row r="371" spans="6:14" hidden="1" x14ac:dyDescent="0.2">
      <c r="F371" s="283"/>
      <c r="M371" s="113"/>
      <c r="N371" s="117"/>
    </row>
    <row r="372" spans="6:14" hidden="1" x14ac:dyDescent="0.2">
      <c r="F372" s="283"/>
      <c r="M372" s="113"/>
      <c r="N372" s="117"/>
    </row>
    <row r="373" spans="6:14" hidden="1" x14ac:dyDescent="0.2">
      <c r="F373" s="283"/>
      <c r="M373" s="113"/>
      <c r="N373" s="117"/>
    </row>
    <row r="374" spans="6:14" hidden="1" x14ac:dyDescent="0.2">
      <c r="F374" s="283"/>
      <c r="M374" s="113"/>
      <c r="N374" s="117"/>
    </row>
    <row r="375" spans="6:14" hidden="1" x14ac:dyDescent="0.2">
      <c r="F375" s="283"/>
      <c r="M375" s="113"/>
      <c r="N375" s="117"/>
    </row>
    <row r="376" spans="6:14" hidden="1" x14ac:dyDescent="0.2">
      <c r="F376" s="283"/>
      <c r="M376" s="113"/>
      <c r="N376" s="117"/>
    </row>
    <row r="377" spans="6:14" hidden="1" x14ac:dyDescent="0.2">
      <c r="F377" s="283"/>
      <c r="M377" s="113"/>
      <c r="N377" s="117"/>
    </row>
    <row r="378" spans="6:14" hidden="1" x14ac:dyDescent="0.2">
      <c r="F378" s="283"/>
      <c r="M378" s="113"/>
      <c r="N378" s="117"/>
    </row>
    <row r="379" spans="6:14" hidden="1" x14ac:dyDescent="0.2">
      <c r="F379" s="283"/>
      <c r="M379" s="113"/>
      <c r="N379" s="117"/>
    </row>
    <row r="380" spans="6:14" hidden="1" x14ac:dyDescent="0.2">
      <c r="F380" s="283"/>
      <c r="M380" s="113"/>
      <c r="N380" s="117"/>
    </row>
    <row r="381" spans="6:14" hidden="1" x14ac:dyDescent="0.2">
      <c r="F381" s="283"/>
      <c r="M381" s="113"/>
      <c r="N381" s="117"/>
    </row>
    <row r="382" spans="6:14" hidden="1" x14ac:dyDescent="0.2">
      <c r="F382" s="283"/>
      <c r="M382" s="113"/>
      <c r="N382" s="117"/>
    </row>
    <row r="383" spans="6:14" hidden="1" x14ac:dyDescent="0.2">
      <c r="F383" s="283"/>
      <c r="M383" s="113"/>
      <c r="N383" s="117"/>
    </row>
    <row r="384" spans="6:14" hidden="1" x14ac:dyDescent="0.2">
      <c r="F384" s="283"/>
      <c r="M384" s="113"/>
      <c r="N384" s="117"/>
    </row>
    <row r="385" spans="6:14" hidden="1" x14ac:dyDescent="0.2">
      <c r="F385" s="283"/>
      <c r="M385" s="113"/>
      <c r="N385" s="117"/>
    </row>
    <row r="386" spans="6:14" hidden="1" x14ac:dyDescent="0.2">
      <c r="F386" s="283"/>
      <c r="M386" s="113"/>
      <c r="N386" s="117"/>
    </row>
    <row r="387" spans="6:14" hidden="1" x14ac:dyDescent="0.2">
      <c r="F387" s="283"/>
      <c r="M387" s="113"/>
      <c r="N387" s="117"/>
    </row>
    <row r="388" spans="6:14" hidden="1" x14ac:dyDescent="0.2">
      <c r="F388" s="283"/>
      <c r="M388" s="113"/>
      <c r="N388" s="117"/>
    </row>
    <row r="389" spans="6:14" hidden="1" x14ac:dyDescent="0.2">
      <c r="F389" s="283"/>
      <c r="M389" s="113"/>
      <c r="N389" s="117"/>
    </row>
    <row r="390" spans="6:14" hidden="1" x14ac:dyDescent="0.2">
      <c r="F390" s="283"/>
      <c r="M390" s="113"/>
      <c r="N390" s="117"/>
    </row>
    <row r="391" spans="6:14" hidden="1" x14ac:dyDescent="0.2">
      <c r="F391" s="283"/>
      <c r="M391" s="113"/>
      <c r="N391" s="117"/>
    </row>
    <row r="392" spans="6:14" hidden="1" x14ac:dyDescent="0.2">
      <c r="F392" s="283"/>
      <c r="M392" s="113"/>
      <c r="N392" s="117"/>
    </row>
    <row r="393" spans="6:14" hidden="1" x14ac:dyDescent="0.2">
      <c r="F393" s="283"/>
      <c r="M393" s="113"/>
      <c r="N393" s="117"/>
    </row>
    <row r="394" spans="6:14" hidden="1" x14ac:dyDescent="0.2">
      <c r="F394" s="283"/>
      <c r="M394" s="113"/>
      <c r="N394" s="117"/>
    </row>
    <row r="395" spans="6:14" hidden="1" x14ac:dyDescent="0.2">
      <c r="F395" s="283"/>
      <c r="M395" s="113"/>
      <c r="N395" s="117"/>
    </row>
    <row r="396" spans="6:14" hidden="1" x14ac:dyDescent="0.2">
      <c r="F396" s="283"/>
      <c r="M396" s="113"/>
      <c r="N396" s="117"/>
    </row>
    <row r="397" spans="6:14" hidden="1" x14ac:dyDescent="0.2">
      <c r="F397" s="283"/>
      <c r="M397" s="113"/>
      <c r="N397" s="117"/>
    </row>
    <row r="398" spans="6:14" hidden="1" x14ac:dyDescent="0.2">
      <c r="F398" s="283"/>
      <c r="M398" s="113"/>
      <c r="N398" s="117"/>
    </row>
    <row r="399" spans="6:14" hidden="1" x14ac:dyDescent="0.2">
      <c r="F399" s="283"/>
      <c r="M399" s="113"/>
      <c r="N399" s="117"/>
    </row>
    <row r="400" spans="6:14" hidden="1" x14ac:dyDescent="0.2">
      <c r="F400" s="283"/>
      <c r="M400" s="113"/>
      <c r="N400" s="117"/>
    </row>
    <row r="401" spans="6:14" hidden="1" x14ac:dyDescent="0.2">
      <c r="F401" s="283"/>
      <c r="M401" s="113"/>
      <c r="N401" s="117"/>
    </row>
    <row r="402" spans="6:14" hidden="1" x14ac:dyDescent="0.2">
      <c r="F402" s="283"/>
      <c r="M402" s="113"/>
      <c r="N402" s="117"/>
    </row>
    <row r="403" spans="6:14" hidden="1" x14ac:dyDescent="0.2">
      <c r="F403" s="283"/>
      <c r="M403" s="113"/>
      <c r="N403" s="117"/>
    </row>
    <row r="404" spans="6:14" hidden="1" x14ac:dyDescent="0.2">
      <c r="F404" s="283"/>
      <c r="M404" s="113"/>
      <c r="N404" s="117"/>
    </row>
    <row r="405" spans="6:14" hidden="1" x14ac:dyDescent="0.2">
      <c r="F405" s="283"/>
      <c r="M405" s="113"/>
      <c r="N405" s="117"/>
    </row>
    <row r="406" spans="6:14" hidden="1" x14ac:dyDescent="0.2">
      <c r="F406" s="283"/>
      <c r="M406" s="113"/>
      <c r="N406" s="117"/>
    </row>
    <row r="407" spans="6:14" hidden="1" x14ac:dyDescent="0.2">
      <c r="F407" s="283"/>
      <c r="M407" s="113"/>
      <c r="N407" s="117"/>
    </row>
    <row r="408" spans="6:14" hidden="1" x14ac:dyDescent="0.2">
      <c r="F408" s="283"/>
      <c r="M408" s="113"/>
      <c r="N408" s="117"/>
    </row>
    <row r="409" spans="6:14" hidden="1" x14ac:dyDescent="0.2">
      <c r="F409" s="283"/>
      <c r="M409" s="113"/>
      <c r="N409" s="117"/>
    </row>
    <row r="410" spans="6:14" hidden="1" x14ac:dyDescent="0.2">
      <c r="F410" s="283"/>
      <c r="M410" s="113"/>
      <c r="N410" s="117"/>
    </row>
    <row r="411" spans="6:14" hidden="1" x14ac:dyDescent="0.2">
      <c r="F411" s="283"/>
      <c r="M411" s="113"/>
      <c r="N411" s="117"/>
    </row>
    <row r="412" spans="6:14" hidden="1" x14ac:dyDescent="0.2">
      <c r="F412" s="283"/>
      <c r="M412" s="113"/>
      <c r="N412" s="117"/>
    </row>
    <row r="413" spans="6:14" hidden="1" x14ac:dyDescent="0.2">
      <c r="F413" s="283"/>
      <c r="M413" s="113"/>
      <c r="N413" s="117"/>
    </row>
    <row r="414" spans="6:14" hidden="1" x14ac:dyDescent="0.2">
      <c r="F414" s="283"/>
      <c r="M414" s="113"/>
      <c r="N414" s="117"/>
    </row>
    <row r="415" spans="6:14" hidden="1" x14ac:dyDescent="0.2">
      <c r="F415" s="283"/>
      <c r="M415" s="113"/>
      <c r="N415" s="117"/>
    </row>
    <row r="416" spans="6:14" hidden="1" x14ac:dyDescent="0.2">
      <c r="F416" s="283"/>
      <c r="M416" s="113"/>
      <c r="N416" s="117"/>
    </row>
    <row r="417" spans="6:14" hidden="1" x14ac:dyDescent="0.2">
      <c r="F417" s="283"/>
      <c r="M417" s="113"/>
      <c r="N417" s="117"/>
    </row>
    <row r="418" spans="6:14" hidden="1" x14ac:dyDescent="0.2">
      <c r="F418" s="283"/>
      <c r="M418" s="113"/>
      <c r="N418" s="117"/>
    </row>
    <row r="419" spans="6:14" hidden="1" x14ac:dyDescent="0.2">
      <c r="F419" s="283"/>
      <c r="M419" s="113"/>
      <c r="N419" s="117"/>
    </row>
    <row r="420" spans="6:14" hidden="1" x14ac:dyDescent="0.2">
      <c r="F420" s="283"/>
      <c r="M420" s="113"/>
      <c r="N420" s="117"/>
    </row>
    <row r="421" spans="6:14" hidden="1" x14ac:dyDescent="0.2">
      <c r="F421" s="283"/>
      <c r="M421" s="113"/>
      <c r="N421" s="117"/>
    </row>
    <row r="422" spans="6:14" hidden="1" x14ac:dyDescent="0.2">
      <c r="F422" s="283"/>
      <c r="M422" s="113"/>
      <c r="N422" s="117"/>
    </row>
    <row r="423" spans="6:14" hidden="1" x14ac:dyDescent="0.2">
      <c r="F423" s="283"/>
      <c r="M423" s="113"/>
      <c r="N423" s="117"/>
    </row>
    <row r="424" spans="6:14" hidden="1" x14ac:dyDescent="0.2">
      <c r="F424" s="283"/>
      <c r="M424" s="113"/>
      <c r="N424" s="117"/>
    </row>
    <row r="425" spans="6:14" hidden="1" x14ac:dyDescent="0.2">
      <c r="F425" s="283"/>
      <c r="M425" s="113"/>
      <c r="N425" s="117"/>
    </row>
    <row r="426" spans="6:14" hidden="1" x14ac:dyDescent="0.2">
      <c r="F426" s="283"/>
      <c r="M426" s="113"/>
      <c r="N426" s="117"/>
    </row>
    <row r="427" spans="6:14" hidden="1" x14ac:dyDescent="0.2">
      <c r="F427" s="283"/>
      <c r="M427" s="113"/>
      <c r="N427" s="117"/>
    </row>
    <row r="428" spans="6:14" hidden="1" x14ac:dyDescent="0.2">
      <c r="F428" s="283"/>
      <c r="M428" s="113"/>
      <c r="N428" s="117"/>
    </row>
    <row r="429" spans="6:14" hidden="1" x14ac:dyDescent="0.2">
      <c r="F429" s="283"/>
      <c r="M429" s="113"/>
      <c r="N429" s="117"/>
    </row>
    <row r="430" spans="6:14" hidden="1" x14ac:dyDescent="0.2">
      <c r="F430" s="283"/>
      <c r="M430" s="113"/>
      <c r="N430" s="117"/>
    </row>
    <row r="431" spans="6:14" hidden="1" x14ac:dyDescent="0.2">
      <c r="F431" s="283"/>
      <c r="M431" s="113"/>
      <c r="N431" s="117"/>
    </row>
    <row r="432" spans="6:14" hidden="1" x14ac:dyDescent="0.2">
      <c r="F432" s="283"/>
      <c r="M432" s="113"/>
      <c r="N432" s="117"/>
    </row>
    <row r="433" spans="6:14" hidden="1" x14ac:dyDescent="0.2">
      <c r="F433" s="283"/>
      <c r="M433" s="113"/>
      <c r="N433" s="117"/>
    </row>
    <row r="434" spans="6:14" hidden="1" x14ac:dyDescent="0.2">
      <c r="F434" s="283"/>
      <c r="M434" s="113"/>
      <c r="N434" s="117"/>
    </row>
    <row r="435" spans="6:14" hidden="1" x14ac:dyDescent="0.2">
      <c r="F435" s="283"/>
      <c r="M435" s="113"/>
      <c r="N435" s="117"/>
    </row>
    <row r="436" spans="6:14" hidden="1" x14ac:dyDescent="0.2">
      <c r="F436" s="283"/>
      <c r="M436" s="113"/>
      <c r="N436" s="117"/>
    </row>
    <row r="437" spans="6:14" hidden="1" x14ac:dyDescent="0.2">
      <c r="F437" s="283"/>
      <c r="M437" s="113"/>
      <c r="N437" s="117"/>
    </row>
    <row r="438" spans="6:14" hidden="1" x14ac:dyDescent="0.2">
      <c r="F438" s="283"/>
      <c r="M438" s="113"/>
      <c r="N438" s="117"/>
    </row>
    <row r="439" spans="6:14" hidden="1" x14ac:dyDescent="0.2">
      <c r="F439" s="283"/>
      <c r="M439" s="113"/>
      <c r="N439" s="117"/>
    </row>
    <row r="440" spans="6:14" hidden="1" x14ac:dyDescent="0.2">
      <c r="F440" s="283"/>
      <c r="M440" s="113"/>
      <c r="N440" s="117"/>
    </row>
    <row r="441" spans="6:14" hidden="1" x14ac:dyDescent="0.2">
      <c r="F441" s="283"/>
      <c r="M441" s="113"/>
      <c r="N441" s="117"/>
    </row>
    <row r="442" spans="6:14" hidden="1" x14ac:dyDescent="0.2">
      <c r="F442" s="283"/>
      <c r="M442" s="113"/>
      <c r="N442" s="117"/>
    </row>
    <row r="443" spans="6:14" hidden="1" x14ac:dyDescent="0.2">
      <c r="F443" s="283"/>
      <c r="M443" s="113"/>
      <c r="N443" s="117"/>
    </row>
    <row r="444" spans="6:14" hidden="1" x14ac:dyDescent="0.2">
      <c r="F444" s="283"/>
      <c r="M444" s="113"/>
      <c r="N444" s="117"/>
    </row>
    <row r="445" spans="6:14" hidden="1" x14ac:dyDescent="0.2">
      <c r="F445" s="283"/>
      <c r="M445" s="113"/>
      <c r="N445" s="117"/>
    </row>
    <row r="446" spans="6:14" hidden="1" x14ac:dyDescent="0.2">
      <c r="F446" s="283"/>
      <c r="M446" s="113"/>
      <c r="N446" s="117"/>
    </row>
    <row r="447" spans="6:14" hidden="1" x14ac:dyDescent="0.2">
      <c r="F447" s="283"/>
      <c r="M447" s="113"/>
      <c r="N447" s="117"/>
    </row>
    <row r="448" spans="6:14" hidden="1" x14ac:dyDescent="0.2">
      <c r="F448" s="283"/>
      <c r="M448" s="113"/>
      <c r="N448" s="117"/>
    </row>
    <row r="449" spans="6:14" hidden="1" x14ac:dyDescent="0.2">
      <c r="F449" s="283"/>
      <c r="M449" s="113"/>
      <c r="N449" s="117"/>
    </row>
    <row r="450" spans="6:14" hidden="1" x14ac:dyDescent="0.2">
      <c r="F450" s="283"/>
      <c r="M450" s="113"/>
      <c r="N450" s="117"/>
    </row>
    <row r="451" spans="6:14" hidden="1" x14ac:dyDescent="0.2">
      <c r="F451" s="283"/>
      <c r="M451" s="113"/>
      <c r="N451" s="117"/>
    </row>
    <row r="452" spans="6:14" hidden="1" x14ac:dyDescent="0.2">
      <c r="F452" s="283"/>
      <c r="M452" s="113"/>
      <c r="N452" s="117"/>
    </row>
    <row r="453" spans="6:14" hidden="1" x14ac:dyDescent="0.2">
      <c r="F453" s="283"/>
      <c r="M453" s="113"/>
      <c r="N453" s="117"/>
    </row>
    <row r="454" spans="6:14" hidden="1" x14ac:dyDescent="0.2">
      <c r="F454" s="283"/>
      <c r="M454" s="113"/>
      <c r="N454" s="117"/>
    </row>
    <row r="455" spans="6:14" hidden="1" x14ac:dyDescent="0.2">
      <c r="F455" s="283"/>
      <c r="M455" s="113"/>
      <c r="N455" s="117"/>
    </row>
    <row r="456" spans="6:14" hidden="1" x14ac:dyDescent="0.2">
      <c r="F456" s="283"/>
      <c r="M456" s="113"/>
      <c r="N456" s="117"/>
    </row>
    <row r="457" spans="6:14" hidden="1" x14ac:dyDescent="0.2">
      <c r="F457" s="283"/>
      <c r="M457" s="113"/>
      <c r="N457" s="117"/>
    </row>
    <row r="458" spans="6:14" hidden="1" x14ac:dyDescent="0.2">
      <c r="F458" s="283"/>
      <c r="M458" s="113"/>
      <c r="N458" s="117"/>
    </row>
    <row r="459" spans="6:14" hidden="1" x14ac:dyDescent="0.2">
      <c r="F459" s="283"/>
      <c r="M459" s="113"/>
      <c r="N459" s="117"/>
    </row>
    <row r="460" spans="6:14" hidden="1" x14ac:dyDescent="0.2">
      <c r="F460" s="283"/>
      <c r="M460" s="113"/>
      <c r="N460" s="117"/>
    </row>
    <row r="461" spans="6:14" hidden="1" x14ac:dyDescent="0.2">
      <c r="F461" s="283"/>
      <c r="M461" s="113"/>
      <c r="N461" s="117"/>
    </row>
    <row r="462" spans="6:14" hidden="1" x14ac:dyDescent="0.2">
      <c r="F462" s="283"/>
      <c r="M462" s="113"/>
      <c r="N462" s="117"/>
    </row>
    <row r="463" spans="6:14" hidden="1" x14ac:dyDescent="0.2">
      <c r="F463" s="283"/>
      <c r="M463" s="113"/>
      <c r="N463" s="117"/>
    </row>
    <row r="464" spans="6:14" hidden="1" x14ac:dyDescent="0.2">
      <c r="F464" s="283"/>
      <c r="M464" s="113"/>
      <c r="N464" s="117"/>
    </row>
    <row r="465" spans="6:14" hidden="1" x14ac:dyDescent="0.2">
      <c r="F465" s="283"/>
      <c r="M465" s="113"/>
      <c r="N465" s="117"/>
    </row>
    <row r="466" spans="6:14" hidden="1" x14ac:dyDescent="0.2">
      <c r="F466" s="283"/>
      <c r="M466" s="113"/>
      <c r="N466" s="117"/>
    </row>
    <row r="467" spans="6:14" hidden="1" x14ac:dyDescent="0.2">
      <c r="F467" s="283"/>
      <c r="M467" s="113"/>
      <c r="N467" s="117"/>
    </row>
    <row r="468" spans="6:14" hidden="1" x14ac:dyDescent="0.2">
      <c r="F468" s="283"/>
      <c r="M468" s="113"/>
      <c r="N468" s="117"/>
    </row>
    <row r="469" spans="6:14" hidden="1" x14ac:dyDescent="0.2">
      <c r="F469" s="283"/>
      <c r="M469" s="113"/>
      <c r="N469" s="117"/>
    </row>
    <row r="470" spans="6:14" hidden="1" x14ac:dyDescent="0.2">
      <c r="F470" s="283"/>
      <c r="M470" s="113"/>
      <c r="N470" s="117"/>
    </row>
    <row r="471" spans="6:14" hidden="1" x14ac:dyDescent="0.2">
      <c r="F471" s="283"/>
      <c r="M471" s="113"/>
      <c r="N471" s="117"/>
    </row>
    <row r="472" spans="6:14" hidden="1" x14ac:dyDescent="0.2">
      <c r="F472" s="283"/>
      <c r="M472" s="113"/>
      <c r="N472" s="117"/>
    </row>
    <row r="473" spans="6:14" hidden="1" x14ac:dyDescent="0.2">
      <c r="F473" s="283"/>
      <c r="M473" s="113"/>
      <c r="N473" s="117"/>
    </row>
    <row r="474" spans="6:14" hidden="1" x14ac:dyDescent="0.2">
      <c r="F474" s="283"/>
      <c r="M474" s="113"/>
      <c r="N474" s="117"/>
    </row>
    <row r="475" spans="6:14" hidden="1" x14ac:dyDescent="0.2">
      <c r="F475" s="283"/>
      <c r="M475" s="113"/>
      <c r="N475" s="117"/>
    </row>
    <row r="476" spans="6:14" hidden="1" x14ac:dyDescent="0.2">
      <c r="F476" s="283"/>
      <c r="M476" s="113"/>
      <c r="N476" s="117"/>
    </row>
    <row r="477" spans="6:14" hidden="1" x14ac:dyDescent="0.2">
      <c r="F477" s="283"/>
      <c r="M477" s="113"/>
      <c r="N477" s="117"/>
    </row>
    <row r="478" spans="6:14" hidden="1" x14ac:dyDescent="0.2">
      <c r="F478" s="283"/>
      <c r="M478" s="113"/>
      <c r="N478" s="117"/>
    </row>
    <row r="479" spans="6:14" hidden="1" x14ac:dyDescent="0.2">
      <c r="F479" s="283"/>
      <c r="M479" s="113"/>
      <c r="N479" s="117"/>
    </row>
    <row r="480" spans="6:14" hidden="1" x14ac:dyDescent="0.2">
      <c r="F480" s="283"/>
      <c r="M480" s="113"/>
      <c r="N480" s="117"/>
    </row>
    <row r="481" spans="6:14" hidden="1" x14ac:dyDescent="0.2">
      <c r="F481" s="283"/>
      <c r="M481" s="113"/>
      <c r="N481" s="117"/>
    </row>
    <row r="482" spans="6:14" hidden="1" x14ac:dyDescent="0.2">
      <c r="F482" s="283"/>
      <c r="M482" s="113"/>
      <c r="N482" s="117"/>
    </row>
    <row r="483" spans="6:14" hidden="1" x14ac:dyDescent="0.2">
      <c r="F483" s="283"/>
      <c r="M483" s="113"/>
      <c r="N483" s="117"/>
    </row>
    <row r="484" spans="6:14" hidden="1" x14ac:dyDescent="0.2">
      <c r="F484" s="283"/>
      <c r="M484" s="113"/>
      <c r="N484" s="117"/>
    </row>
    <row r="485" spans="6:14" hidden="1" x14ac:dyDescent="0.2">
      <c r="F485" s="283"/>
      <c r="M485" s="113"/>
      <c r="N485" s="117"/>
    </row>
    <row r="486" spans="6:14" hidden="1" x14ac:dyDescent="0.2">
      <c r="F486" s="283"/>
      <c r="M486" s="113"/>
      <c r="N486" s="117"/>
    </row>
    <row r="487" spans="6:14" hidden="1" x14ac:dyDescent="0.2">
      <c r="F487" s="283"/>
      <c r="M487" s="113"/>
      <c r="N487" s="117"/>
    </row>
    <row r="488" spans="6:14" hidden="1" x14ac:dyDescent="0.2">
      <c r="F488" s="283"/>
      <c r="M488" s="113"/>
      <c r="N488" s="117"/>
    </row>
    <row r="489" spans="6:14" hidden="1" x14ac:dyDescent="0.2">
      <c r="F489" s="283"/>
      <c r="M489" s="113"/>
      <c r="N489" s="117"/>
    </row>
    <row r="490" spans="6:14" hidden="1" x14ac:dyDescent="0.2">
      <c r="F490" s="283"/>
      <c r="M490" s="113"/>
      <c r="N490" s="117"/>
    </row>
    <row r="491" spans="6:14" hidden="1" x14ac:dyDescent="0.2">
      <c r="F491" s="283"/>
      <c r="M491" s="113"/>
      <c r="N491" s="117"/>
    </row>
    <row r="492" spans="6:14" hidden="1" x14ac:dyDescent="0.2">
      <c r="F492" s="283"/>
      <c r="M492" s="113"/>
      <c r="N492" s="117"/>
    </row>
    <row r="493" spans="6:14" hidden="1" x14ac:dyDescent="0.2">
      <c r="F493" s="283"/>
      <c r="M493" s="113"/>
      <c r="N493" s="117"/>
    </row>
    <row r="494" spans="6:14" hidden="1" x14ac:dyDescent="0.2">
      <c r="F494" s="283"/>
      <c r="M494" s="113"/>
      <c r="N494" s="117"/>
    </row>
    <row r="495" spans="6:14" hidden="1" x14ac:dyDescent="0.2">
      <c r="F495" s="283"/>
      <c r="M495" s="113"/>
      <c r="N495" s="117"/>
    </row>
    <row r="496" spans="6:14" hidden="1" x14ac:dyDescent="0.2">
      <c r="F496" s="283"/>
      <c r="M496" s="113"/>
      <c r="N496" s="117"/>
    </row>
    <row r="497" spans="6:14" hidden="1" x14ac:dyDescent="0.2">
      <c r="F497" s="283"/>
      <c r="M497" s="113"/>
      <c r="N497" s="117"/>
    </row>
    <row r="498" spans="6:14" hidden="1" x14ac:dyDescent="0.2">
      <c r="F498" s="283"/>
      <c r="M498" s="113"/>
      <c r="N498" s="117"/>
    </row>
    <row r="499" spans="6:14" hidden="1" x14ac:dyDescent="0.2">
      <c r="F499" s="283"/>
      <c r="M499" s="113"/>
      <c r="N499" s="117"/>
    </row>
    <row r="500" spans="6:14" hidden="1" x14ac:dyDescent="0.2">
      <c r="F500" s="283"/>
      <c r="M500" s="113"/>
      <c r="N500" s="117"/>
    </row>
    <row r="501" spans="6:14" hidden="1" x14ac:dyDescent="0.2">
      <c r="F501" s="283"/>
      <c r="M501" s="113"/>
      <c r="N501" s="117"/>
    </row>
    <row r="502" spans="6:14" customFormat="1" ht="15" hidden="1" x14ac:dyDescent="0.25"/>
    <row r="503" spans="6:14" customFormat="1" ht="15" hidden="1" x14ac:dyDescent="0.25"/>
    <row r="504" spans="6:14" customFormat="1" ht="15" hidden="1" x14ac:dyDescent="0.25"/>
    <row r="505" spans="6:14" customFormat="1" ht="15" hidden="1" x14ac:dyDescent="0.25"/>
    <row r="506" spans="6:14" customFormat="1" ht="15" hidden="1" x14ac:dyDescent="0.25"/>
    <row r="507" spans="6:14" customFormat="1" ht="15" hidden="1" x14ac:dyDescent="0.25"/>
    <row r="508" spans="6:14" customFormat="1" ht="15" hidden="1" x14ac:dyDescent="0.25"/>
    <row r="509" spans="6:14" customFormat="1" ht="15" hidden="1" x14ac:dyDescent="0.25"/>
    <row r="510" spans="6:14" customFormat="1" ht="15" hidden="1" x14ac:dyDescent="0.25"/>
    <row r="511" spans="6:14" customFormat="1" ht="15" hidden="1" x14ac:dyDescent="0.25"/>
    <row r="512" spans="6:14" customFormat="1" ht="15" hidden="1" x14ac:dyDescent="0.25"/>
    <row r="513" customFormat="1" ht="15" hidden="1" x14ac:dyDescent="0.25"/>
    <row r="514" customFormat="1" ht="15" hidden="1" x14ac:dyDescent="0.25"/>
    <row r="515" customFormat="1" ht="15" hidden="1" x14ac:dyDescent="0.25"/>
    <row r="516" customFormat="1" ht="15" hidden="1" x14ac:dyDescent="0.25"/>
    <row r="517" customFormat="1" ht="15" hidden="1" x14ac:dyDescent="0.25"/>
    <row r="518" customFormat="1" ht="15" hidden="1" x14ac:dyDescent="0.25"/>
    <row r="519" customFormat="1" ht="15" hidden="1" x14ac:dyDescent="0.25"/>
    <row r="520" customFormat="1" ht="15" hidden="1" x14ac:dyDescent="0.25"/>
    <row r="521" customFormat="1" ht="15" hidden="1" x14ac:dyDescent="0.25"/>
    <row r="522" customFormat="1" ht="15" hidden="1" x14ac:dyDescent="0.25"/>
    <row r="523" customFormat="1" ht="15" hidden="1" x14ac:dyDescent="0.25"/>
    <row r="524" customFormat="1" ht="15" hidden="1" x14ac:dyDescent="0.25"/>
    <row r="525" customFormat="1" ht="15" hidden="1" x14ac:dyDescent="0.25"/>
    <row r="526" customFormat="1" ht="15" hidden="1" x14ac:dyDescent="0.25"/>
    <row r="527" customFormat="1" ht="15" hidden="1" x14ac:dyDescent="0.25"/>
    <row r="528" customFormat="1" ht="15" hidden="1" x14ac:dyDescent="0.25"/>
    <row r="529" customFormat="1" ht="15" hidden="1" x14ac:dyDescent="0.25"/>
    <row r="530" customFormat="1" ht="15" hidden="1" x14ac:dyDescent="0.25"/>
    <row r="531" customFormat="1" ht="15" hidden="1" x14ac:dyDescent="0.25"/>
    <row r="532" customFormat="1" ht="15" hidden="1" x14ac:dyDescent="0.25"/>
    <row r="533" customFormat="1" ht="15" hidden="1" x14ac:dyDescent="0.25"/>
    <row r="534" customFormat="1" ht="15" hidden="1" x14ac:dyDescent="0.25"/>
    <row r="535" customFormat="1" ht="15" hidden="1" x14ac:dyDescent="0.25"/>
    <row r="536" customFormat="1" ht="15" hidden="1" x14ac:dyDescent="0.25"/>
    <row r="537" customFormat="1" ht="15" hidden="1" x14ac:dyDescent="0.25"/>
    <row r="538" customFormat="1" ht="15" hidden="1" x14ac:dyDescent="0.25"/>
    <row r="539" customFormat="1" ht="15" hidden="1" x14ac:dyDescent="0.25"/>
    <row r="540" customFormat="1" ht="15" hidden="1" x14ac:dyDescent="0.25"/>
    <row r="541" customFormat="1" ht="15" hidden="1" x14ac:dyDescent="0.25"/>
    <row r="542" customFormat="1" ht="15" hidden="1" x14ac:dyDescent="0.25"/>
    <row r="543" customFormat="1" ht="15" hidden="1" x14ac:dyDescent="0.25"/>
    <row r="544" customFormat="1" ht="15" hidden="1" x14ac:dyDescent="0.25"/>
    <row r="545" customFormat="1" ht="15" hidden="1" x14ac:dyDescent="0.25"/>
    <row r="546" customFormat="1" ht="15" hidden="1" x14ac:dyDescent="0.25"/>
    <row r="547" customFormat="1" ht="15" hidden="1" x14ac:dyDescent="0.25"/>
    <row r="548" customFormat="1" ht="15" hidden="1" x14ac:dyDescent="0.25"/>
    <row r="549" customFormat="1" ht="15" hidden="1" x14ac:dyDescent="0.25"/>
    <row r="550" customFormat="1" ht="15" hidden="1" x14ac:dyDescent="0.25"/>
    <row r="551" customFormat="1" ht="15" hidden="1" x14ac:dyDescent="0.25"/>
    <row r="552" customFormat="1" ht="15" hidden="1" x14ac:dyDescent="0.25"/>
    <row r="553" customFormat="1" ht="15" hidden="1" x14ac:dyDescent="0.25"/>
    <row r="554" customFormat="1" ht="15" hidden="1" x14ac:dyDescent="0.25"/>
    <row r="555" customFormat="1" ht="15" hidden="1" x14ac:dyDescent="0.25"/>
    <row r="556" customFormat="1" ht="15" hidden="1" x14ac:dyDescent="0.25"/>
    <row r="557" customFormat="1" ht="15" hidden="1" x14ac:dyDescent="0.25"/>
    <row r="558" customFormat="1" ht="15" hidden="1" x14ac:dyDescent="0.25"/>
    <row r="559" customFormat="1" ht="15" hidden="1" x14ac:dyDescent="0.25"/>
    <row r="560" customFormat="1" ht="15" hidden="1" x14ac:dyDescent="0.25"/>
    <row r="561" customFormat="1" ht="15" hidden="1" x14ac:dyDescent="0.25"/>
    <row r="562" customFormat="1" ht="15" hidden="1" x14ac:dyDescent="0.25"/>
    <row r="563" customFormat="1" ht="15" hidden="1" x14ac:dyDescent="0.25"/>
    <row r="564" customFormat="1" ht="15" hidden="1" x14ac:dyDescent="0.25"/>
    <row r="565" customFormat="1" ht="15" hidden="1" x14ac:dyDescent="0.25"/>
    <row r="566" customFormat="1" ht="15" hidden="1" x14ac:dyDescent="0.25"/>
    <row r="567" customFormat="1" ht="15" hidden="1" x14ac:dyDescent="0.25"/>
    <row r="568" customFormat="1" ht="15" hidden="1" x14ac:dyDescent="0.25"/>
    <row r="569" customFormat="1" ht="15" hidden="1" x14ac:dyDescent="0.25"/>
    <row r="570" customFormat="1" ht="15" hidden="1" x14ac:dyDescent="0.25"/>
    <row r="571" customFormat="1" ht="15" hidden="1" x14ac:dyDescent="0.25"/>
    <row r="572" customFormat="1" ht="15" hidden="1" x14ac:dyDescent="0.25"/>
    <row r="573" customFormat="1" ht="15" hidden="1" x14ac:dyDescent="0.25"/>
    <row r="574" customFormat="1" ht="15" hidden="1" x14ac:dyDescent="0.25"/>
    <row r="575" customFormat="1" ht="15" hidden="1" x14ac:dyDescent="0.25"/>
    <row r="576" customFormat="1" ht="15" hidden="1" x14ac:dyDescent="0.25"/>
    <row r="577" customFormat="1" ht="15" hidden="1" x14ac:dyDescent="0.25"/>
    <row r="578" customFormat="1" ht="15" hidden="1" x14ac:dyDescent="0.25"/>
    <row r="579" customFormat="1" ht="15" hidden="1" x14ac:dyDescent="0.25"/>
    <row r="580" customFormat="1" ht="15" hidden="1" x14ac:dyDescent="0.25"/>
    <row r="581" customFormat="1" ht="15" hidden="1" x14ac:dyDescent="0.25"/>
    <row r="582" customFormat="1" ht="15" hidden="1" x14ac:dyDescent="0.25"/>
    <row r="583" customFormat="1" ht="15" hidden="1" x14ac:dyDescent="0.25"/>
    <row r="584" customFormat="1" ht="15" hidden="1" x14ac:dyDescent="0.25"/>
    <row r="585" customFormat="1" ht="15" hidden="1" x14ac:dyDescent="0.25"/>
    <row r="586" customFormat="1" ht="15" hidden="1" x14ac:dyDescent="0.25"/>
    <row r="587" customFormat="1" ht="15" hidden="1" x14ac:dyDescent="0.25"/>
    <row r="588" customFormat="1" ht="15" hidden="1" x14ac:dyDescent="0.25"/>
    <row r="589" customFormat="1" ht="15" hidden="1" x14ac:dyDescent="0.25"/>
    <row r="590" customFormat="1" ht="15" hidden="1" x14ac:dyDescent="0.25"/>
    <row r="591" customFormat="1" ht="15" hidden="1" x14ac:dyDescent="0.25"/>
    <row r="592" customFormat="1" ht="15" hidden="1" x14ac:dyDescent="0.25"/>
    <row r="593" customFormat="1" ht="15" hidden="1" x14ac:dyDescent="0.25"/>
    <row r="594" customFormat="1" ht="15" hidden="1" x14ac:dyDescent="0.25"/>
    <row r="595" customFormat="1" ht="15" hidden="1" x14ac:dyDescent="0.25"/>
    <row r="596" customFormat="1" ht="15" hidden="1" x14ac:dyDescent="0.25"/>
    <row r="597" customFormat="1" ht="15" hidden="1" x14ac:dyDescent="0.25"/>
    <row r="598" customFormat="1" ht="15" hidden="1" x14ac:dyDescent="0.25"/>
    <row r="599" customFormat="1" ht="15" hidden="1" x14ac:dyDescent="0.25"/>
    <row r="600" customFormat="1" ht="15" hidden="1" x14ac:dyDescent="0.25"/>
    <row r="601" customFormat="1" ht="15" hidden="1" x14ac:dyDescent="0.25"/>
    <row r="602" customFormat="1" ht="15" hidden="1" x14ac:dyDescent="0.25"/>
    <row r="603" customFormat="1" ht="15" hidden="1" x14ac:dyDescent="0.25"/>
    <row r="604" customFormat="1" ht="15" hidden="1" x14ac:dyDescent="0.25"/>
    <row r="605" customFormat="1" ht="15" hidden="1" x14ac:dyDescent="0.25"/>
    <row r="606" customFormat="1" ht="15" hidden="1" x14ac:dyDescent="0.25"/>
    <row r="607" customFormat="1" ht="15" hidden="1" x14ac:dyDescent="0.25"/>
    <row r="608" customFormat="1" ht="15" hidden="1" x14ac:dyDescent="0.25"/>
    <row r="609" customFormat="1" ht="15" hidden="1" x14ac:dyDescent="0.25"/>
    <row r="610" customFormat="1" ht="15" hidden="1" x14ac:dyDescent="0.25"/>
    <row r="611" customFormat="1" ht="15" hidden="1" x14ac:dyDescent="0.25"/>
    <row r="612" customFormat="1" ht="15" hidden="1" x14ac:dyDescent="0.25"/>
    <row r="613" customFormat="1" ht="15" hidden="1" x14ac:dyDescent="0.25"/>
    <row r="614" customFormat="1" ht="15" hidden="1" x14ac:dyDescent="0.25"/>
    <row r="615" customFormat="1" ht="15" hidden="1" x14ac:dyDescent="0.25"/>
    <row r="616" customFormat="1" ht="15" hidden="1" x14ac:dyDescent="0.25"/>
    <row r="617" customFormat="1" ht="15" hidden="1" x14ac:dyDescent="0.25"/>
    <row r="618" customFormat="1" ht="15" hidden="1" x14ac:dyDescent="0.25"/>
    <row r="619" customFormat="1" ht="15" hidden="1" x14ac:dyDescent="0.25"/>
    <row r="620" customFormat="1" ht="15" hidden="1" x14ac:dyDescent="0.25"/>
    <row r="621" customFormat="1" ht="15" hidden="1" x14ac:dyDescent="0.25"/>
    <row r="622" customFormat="1" ht="15" hidden="1" x14ac:dyDescent="0.25"/>
    <row r="623" customFormat="1" ht="15" hidden="1" x14ac:dyDescent="0.25"/>
    <row r="624" customFormat="1" ht="15" hidden="1" x14ac:dyDescent="0.25"/>
    <row r="625" customFormat="1" ht="15" hidden="1" x14ac:dyDescent="0.25"/>
    <row r="626" customFormat="1" ht="15" hidden="1" x14ac:dyDescent="0.25"/>
    <row r="627" customFormat="1" ht="15" hidden="1" x14ac:dyDescent="0.25"/>
    <row r="628" customFormat="1" ht="15" hidden="1" x14ac:dyDescent="0.25"/>
    <row r="629" customFormat="1" ht="15" hidden="1" x14ac:dyDescent="0.25"/>
    <row r="630" customFormat="1" ht="15" hidden="1" x14ac:dyDescent="0.25"/>
    <row r="631" customFormat="1" ht="15" hidden="1" x14ac:dyDescent="0.25"/>
    <row r="632" customFormat="1" ht="15" hidden="1" x14ac:dyDescent="0.25"/>
    <row r="633" customFormat="1" ht="15" hidden="1" x14ac:dyDescent="0.25"/>
    <row r="634" customFormat="1" ht="15" hidden="1" x14ac:dyDescent="0.25"/>
    <row r="635" customFormat="1" ht="15" hidden="1" x14ac:dyDescent="0.25"/>
    <row r="636" customFormat="1" ht="15" hidden="1" x14ac:dyDescent="0.25"/>
    <row r="637" customFormat="1" ht="15" hidden="1" x14ac:dyDescent="0.25"/>
    <row r="638" customFormat="1" ht="15" hidden="1" x14ac:dyDescent="0.25"/>
    <row r="639" customFormat="1" ht="15" hidden="1" x14ac:dyDescent="0.25"/>
    <row r="640" customFormat="1" ht="15" hidden="1" x14ac:dyDescent="0.25"/>
    <row r="641" customFormat="1" ht="15" hidden="1" x14ac:dyDescent="0.25"/>
    <row r="642" customFormat="1" ht="15" hidden="1" x14ac:dyDescent="0.25"/>
    <row r="643" customFormat="1" ht="15" hidden="1" x14ac:dyDescent="0.25"/>
    <row r="644" customFormat="1" ht="15" hidden="1" x14ac:dyDescent="0.25"/>
    <row r="645" customFormat="1" ht="15" hidden="1" x14ac:dyDescent="0.25"/>
    <row r="646" customFormat="1" ht="15" hidden="1" x14ac:dyDescent="0.25"/>
    <row r="647" customFormat="1" ht="15" hidden="1" x14ac:dyDescent="0.25"/>
    <row r="648" customFormat="1" ht="15" hidden="1" x14ac:dyDescent="0.25"/>
    <row r="649" customFormat="1" ht="15" hidden="1" x14ac:dyDescent="0.25"/>
    <row r="650" customFormat="1" ht="15" hidden="1" x14ac:dyDescent="0.25"/>
    <row r="651" customFormat="1" ht="15" hidden="1" x14ac:dyDescent="0.25"/>
    <row r="652" customFormat="1" ht="15" hidden="1" x14ac:dyDescent="0.25"/>
    <row r="653" customFormat="1" ht="15" hidden="1" x14ac:dyDescent="0.25"/>
    <row r="654" customFormat="1" ht="15" hidden="1" x14ac:dyDescent="0.25"/>
    <row r="655" customFormat="1" ht="15" hidden="1" x14ac:dyDescent="0.25"/>
    <row r="656" customFormat="1" ht="15" hidden="1" x14ac:dyDescent="0.25"/>
    <row r="657" customFormat="1" ht="15" hidden="1" x14ac:dyDescent="0.25"/>
    <row r="658" customFormat="1" ht="15" hidden="1" x14ac:dyDescent="0.25"/>
    <row r="659" customFormat="1" ht="15" hidden="1" x14ac:dyDescent="0.25"/>
    <row r="660" customFormat="1" ht="15" hidden="1" x14ac:dyDescent="0.25"/>
    <row r="661" customFormat="1" ht="15" hidden="1" x14ac:dyDescent="0.25"/>
    <row r="662" customFormat="1" ht="15" hidden="1" x14ac:dyDescent="0.25"/>
    <row r="663" customFormat="1" ht="15" hidden="1" x14ac:dyDescent="0.25"/>
    <row r="664" customFormat="1" ht="15" hidden="1" x14ac:dyDescent="0.25"/>
    <row r="665" customFormat="1" ht="15" hidden="1" x14ac:dyDescent="0.25"/>
    <row r="666" customFormat="1" ht="15" hidden="1" x14ac:dyDescent="0.25"/>
    <row r="667" customFormat="1" ht="15" hidden="1" x14ac:dyDescent="0.25"/>
    <row r="668" customFormat="1" ht="15" hidden="1" x14ac:dyDescent="0.25"/>
    <row r="669" customFormat="1" ht="15" hidden="1" x14ac:dyDescent="0.25"/>
    <row r="670" customFormat="1" ht="15" hidden="1" x14ac:dyDescent="0.25"/>
    <row r="671" customFormat="1" ht="15" hidden="1" x14ac:dyDescent="0.25"/>
    <row r="672" customFormat="1" ht="15" hidden="1" x14ac:dyDescent="0.25"/>
    <row r="673" customFormat="1" ht="15" hidden="1" x14ac:dyDescent="0.25"/>
    <row r="674" customFormat="1" ht="15" hidden="1" x14ac:dyDescent="0.25"/>
    <row r="675" customFormat="1" ht="15" hidden="1" x14ac:dyDescent="0.25"/>
    <row r="676" customFormat="1" ht="15" hidden="1" x14ac:dyDescent="0.25"/>
    <row r="677" customFormat="1" ht="15" hidden="1" x14ac:dyDescent="0.25"/>
    <row r="678" customFormat="1" ht="15" hidden="1" x14ac:dyDescent="0.25"/>
    <row r="679" customFormat="1" ht="15" hidden="1" x14ac:dyDescent="0.25"/>
    <row r="680" customFormat="1" ht="15" hidden="1" x14ac:dyDescent="0.25"/>
    <row r="681" customFormat="1" ht="15" hidden="1" x14ac:dyDescent="0.25"/>
    <row r="682" customFormat="1" ht="15" hidden="1" x14ac:dyDescent="0.25"/>
    <row r="683" customFormat="1" ht="15" hidden="1" x14ac:dyDescent="0.25"/>
    <row r="684" customFormat="1" ht="15" hidden="1" x14ac:dyDescent="0.25"/>
    <row r="685" customFormat="1" ht="15" hidden="1" x14ac:dyDescent="0.25"/>
    <row r="686" customFormat="1" ht="15" hidden="1" x14ac:dyDescent="0.25"/>
    <row r="687" customFormat="1" ht="15" hidden="1" x14ac:dyDescent="0.25"/>
    <row r="688" customFormat="1" ht="15" hidden="1" x14ac:dyDescent="0.25"/>
    <row r="689" customFormat="1" ht="15" hidden="1" x14ac:dyDescent="0.25"/>
    <row r="690" customFormat="1" ht="15" hidden="1" x14ac:dyDescent="0.25"/>
    <row r="691" customFormat="1" ht="15" hidden="1" x14ac:dyDescent="0.25"/>
    <row r="692" customFormat="1" ht="15" hidden="1" x14ac:dyDescent="0.25"/>
    <row r="693" customFormat="1" ht="15" hidden="1" x14ac:dyDescent="0.25"/>
    <row r="694" customFormat="1" ht="15" hidden="1" x14ac:dyDescent="0.25"/>
    <row r="695" customFormat="1" ht="15" hidden="1" x14ac:dyDescent="0.25"/>
    <row r="696" customFormat="1" ht="15" hidden="1" x14ac:dyDescent="0.25"/>
    <row r="697" customFormat="1" ht="15" hidden="1" x14ac:dyDescent="0.25"/>
    <row r="698" customFormat="1" ht="15" hidden="1" x14ac:dyDescent="0.25"/>
    <row r="699" customFormat="1" ht="15" hidden="1" x14ac:dyDescent="0.25"/>
    <row r="700" customFormat="1" ht="15" hidden="1" x14ac:dyDescent="0.25"/>
    <row r="701" customFormat="1" ht="15" hidden="1" x14ac:dyDescent="0.25"/>
    <row r="702" customFormat="1" ht="15" hidden="1" x14ac:dyDescent="0.25"/>
    <row r="703" customFormat="1" ht="15" hidden="1" x14ac:dyDescent="0.25"/>
    <row r="704" customFormat="1" ht="15" hidden="1" x14ac:dyDescent="0.25"/>
    <row r="705" customFormat="1" ht="15" hidden="1" x14ac:dyDescent="0.25"/>
    <row r="706" customFormat="1" ht="15" hidden="1" x14ac:dyDescent="0.25"/>
    <row r="707" customFormat="1" ht="15" hidden="1" x14ac:dyDescent="0.25"/>
    <row r="708" customFormat="1" ht="15" hidden="1" x14ac:dyDescent="0.25"/>
    <row r="709" customFormat="1" ht="15" hidden="1" x14ac:dyDescent="0.25"/>
    <row r="710" customFormat="1" ht="15" hidden="1" x14ac:dyDescent="0.25"/>
    <row r="711" customFormat="1" ht="15" hidden="1" x14ac:dyDescent="0.25"/>
    <row r="712" customFormat="1" ht="15" hidden="1" x14ac:dyDescent="0.25"/>
    <row r="713" customFormat="1" ht="15" hidden="1" x14ac:dyDescent="0.25"/>
    <row r="714" customFormat="1" ht="15" hidden="1" x14ac:dyDescent="0.25"/>
    <row r="715" customFormat="1" ht="15" hidden="1" x14ac:dyDescent="0.25"/>
    <row r="716" customFormat="1" ht="15" hidden="1" x14ac:dyDescent="0.25"/>
    <row r="717" customFormat="1" ht="15" hidden="1" x14ac:dyDescent="0.25"/>
    <row r="718" customFormat="1" ht="15" hidden="1" x14ac:dyDescent="0.25"/>
    <row r="719" customFormat="1" ht="15" hidden="1" x14ac:dyDescent="0.25"/>
    <row r="720" customFormat="1" ht="15" hidden="1" x14ac:dyDescent="0.25"/>
    <row r="721" customFormat="1" ht="15" hidden="1" x14ac:dyDescent="0.25"/>
    <row r="722" customFormat="1" ht="15" hidden="1" x14ac:dyDescent="0.25"/>
    <row r="723" customFormat="1" ht="15" hidden="1" x14ac:dyDescent="0.25"/>
    <row r="724" customFormat="1" ht="15" hidden="1" x14ac:dyDescent="0.25"/>
    <row r="725" customFormat="1" ht="15" hidden="1" x14ac:dyDescent="0.25"/>
    <row r="726" customFormat="1" ht="15" hidden="1" x14ac:dyDescent="0.25"/>
    <row r="727" customFormat="1" ht="15" hidden="1" x14ac:dyDescent="0.25"/>
    <row r="728" customFormat="1" ht="15" hidden="1" x14ac:dyDescent="0.25"/>
    <row r="729" customFormat="1" ht="15" hidden="1" x14ac:dyDescent="0.25"/>
    <row r="730" customFormat="1" ht="15" hidden="1" x14ac:dyDescent="0.25"/>
    <row r="731" customFormat="1" ht="15" hidden="1" x14ac:dyDescent="0.25"/>
    <row r="732" customFormat="1" ht="15" hidden="1" x14ac:dyDescent="0.25"/>
    <row r="733" customFormat="1" ht="15" hidden="1" x14ac:dyDescent="0.25"/>
    <row r="734" customFormat="1" ht="15" hidden="1" x14ac:dyDescent="0.25"/>
    <row r="735" customFormat="1" ht="15" hidden="1" x14ac:dyDescent="0.25"/>
    <row r="736" customFormat="1" ht="15" hidden="1" x14ac:dyDescent="0.25"/>
    <row r="737" customFormat="1" ht="15" hidden="1" x14ac:dyDescent="0.25"/>
    <row r="738" customFormat="1" ht="15" hidden="1" x14ac:dyDescent="0.25"/>
    <row r="739" customFormat="1" ht="15" hidden="1" x14ac:dyDescent="0.25"/>
    <row r="740" customFormat="1" ht="15" hidden="1" x14ac:dyDescent="0.25"/>
    <row r="741" customFormat="1" ht="15" hidden="1" x14ac:dyDescent="0.25"/>
    <row r="742" customFormat="1" ht="15" hidden="1" x14ac:dyDescent="0.25"/>
    <row r="743" customFormat="1" ht="15" hidden="1" x14ac:dyDescent="0.25"/>
    <row r="744" customFormat="1" ht="15" hidden="1" x14ac:dyDescent="0.25"/>
    <row r="745" customFormat="1" ht="15" hidden="1" x14ac:dyDescent="0.25"/>
    <row r="746" customFormat="1" ht="15" hidden="1" x14ac:dyDescent="0.25"/>
    <row r="747" customFormat="1" ht="15" hidden="1" x14ac:dyDescent="0.25"/>
    <row r="748" customFormat="1" ht="15" hidden="1" x14ac:dyDescent="0.25"/>
    <row r="749" customFormat="1" ht="15" hidden="1" x14ac:dyDescent="0.25"/>
    <row r="750" customFormat="1" ht="15" hidden="1" x14ac:dyDescent="0.25"/>
    <row r="751" customFormat="1" ht="15" hidden="1" x14ac:dyDescent="0.25"/>
    <row r="752" customFormat="1" ht="15" hidden="1" x14ac:dyDescent="0.25"/>
    <row r="753" customFormat="1" ht="15" hidden="1" x14ac:dyDescent="0.25"/>
    <row r="754" customFormat="1" ht="15" hidden="1" x14ac:dyDescent="0.25"/>
    <row r="755" customFormat="1" ht="15" hidden="1" x14ac:dyDescent="0.25"/>
    <row r="756" customFormat="1" ht="15" hidden="1" x14ac:dyDescent="0.25"/>
    <row r="757" customFormat="1" ht="15" hidden="1" x14ac:dyDescent="0.25"/>
    <row r="758" customFormat="1" ht="15" hidden="1" x14ac:dyDescent="0.25"/>
    <row r="759" customFormat="1" ht="15" hidden="1" x14ac:dyDescent="0.25"/>
    <row r="760" customFormat="1" ht="15" hidden="1" x14ac:dyDescent="0.25"/>
    <row r="761" customFormat="1" ht="15" hidden="1" x14ac:dyDescent="0.25"/>
    <row r="762" customFormat="1" ht="15" hidden="1" x14ac:dyDescent="0.25"/>
    <row r="763" customFormat="1" ht="15" hidden="1" x14ac:dyDescent="0.25"/>
    <row r="764" customFormat="1" ht="15" hidden="1" x14ac:dyDescent="0.25"/>
    <row r="765" customFormat="1" ht="15" hidden="1" x14ac:dyDescent="0.25"/>
    <row r="766" customFormat="1" ht="15" hidden="1" x14ac:dyDescent="0.25"/>
    <row r="767" customFormat="1" ht="15" hidden="1" x14ac:dyDescent="0.25"/>
    <row r="768" customFormat="1" ht="15" hidden="1" x14ac:dyDescent="0.25"/>
    <row r="769" customFormat="1" ht="15" hidden="1" x14ac:dyDescent="0.25"/>
    <row r="770" customFormat="1" ht="15" hidden="1" x14ac:dyDescent="0.25"/>
    <row r="771" customFormat="1" ht="15" hidden="1" x14ac:dyDescent="0.25"/>
    <row r="772" customFormat="1" ht="15" hidden="1" x14ac:dyDescent="0.25"/>
    <row r="773" customFormat="1" ht="15" hidden="1" x14ac:dyDescent="0.25"/>
    <row r="774" customFormat="1" ht="15" hidden="1" x14ac:dyDescent="0.25"/>
    <row r="775" customFormat="1" ht="15" hidden="1" x14ac:dyDescent="0.25"/>
    <row r="776" customFormat="1" ht="15" hidden="1" x14ac:dyDescent="0.25"/>
    <row r="777" customFormat="1" ht="15" hidden="1" x14ac:dyDescent="0.25"/>
    <row r="778" customFormat="1" ht="15" hidden="1" x14ac:dyDescent="0.25"/>
    <row r="779" customFormat="1" ht="15" hidden="1" x14ac:dyDescent="0.25"/>
    <row r="780" customFormat="1" ht="15" hidden="1" x14ac:dyDescent="0.25"/>
    <row r="781" customFormat="1" ht="15" hidden="1" x14ac:dyDescent="0.25"/>
    <row r="782" customFormat="1" ht="15" hidden="1" x14ac:dyDescent="0.25"/>
    <row r="783" customFormat="1" ht="15" hidden="1" x14ac:dyDescent="0.25"/>
    <row r="784" customFormat="1" ht="15" hidden="1" x14ac:dyDescent="0.25"/>
    <row r="785" customFormat="1" ht="15" hidden="1" x14ac:dyDescent="0.25"/>
    <row r="786" customFormat="1" ht="15" hidden="1" x14ac:dyDescent="0.25"/>
    <row r="787" customFormat="1" ht="15" hidden="1" x14ac:dyDescent="0.25"/>
    <row r="788" customFormat="1" ht="15" hidden="1" x14ac:dyDescent="0.25"/>
    <row r="789" customFormat="1" ht="15" hidden="1" x14ac:dyDescent="0.25"/>
    <row r="790" customFormat="1" ht="15" hidden="1" x14ac:dyDescent="0.25"/>
    <row r="791" customFormat="1" ht="15" hidden="1" x14ac:dyDescent="0.25"/>
    <row r="792" customFormat="1" ht="15" hidden="1" x14ac:dyDescent="0.25"/>
    <row r="793" customFormat="1" ht="15" hidden="1" x14ac:dyDescent="0.25"/>
    <row r="794" customFormat="1" ht="15" hidden="1" x14ac:dyDescent="0.25"/>
    <row r="795" customFormat="1" ht="15" hidden="1" x14ac:dyDescent="0.25"/>
    <row r="796" customFormat="1" ht="15" hidden="1" x14ac:dyDescent="0.25"/>
    <row r="797" customFormat="1" ht="15" hidden="1" x14ac:dyDescent="0.25"/>
    <row r="798" customFormat="1" ht="15" hidden="1" x14ac:dyDescent="0.25"/>
    <row r="799" customFormat="1" ht="15" hidden="1" x14ac:dyDescent="0.25"/>
    <row r="800" customFormat="1" ht="15" hidden="1" x14ac:dyDescent="0.25"/>
    <row r="801" customFormat="1" ht="15" hidden="1" x14ac:dyDescent="0.25"/>
    <row r="802" customFormat="1" ht="15" hidden="1" x14ac:dyDescent="0.25"/>
    <row r="803" customFormat="1" ht="15" hidden="1" x14ac:dyDescent="0.25"/>
    <row r="804" customFormat="1" ht="15" hidden="1" x14ac:dyDescent="0.25"/>
    <row r="805" customFormat="1" ht="15" hidden="1" x14ac:dyDescent="0.25"/>
    <row r="806" customFormat="1" ht="15" hidden="1" x14ac:dyDescent="0.25"/>
    <row r="807" customFormat="1" ht="15" hidden="1" x14ac:dyDescent="0.25"/>
    <row r="808" customFormat="1" ht="15" hidden="1" x14ac:dyDescent="0.25"/>
    <row r="809" customFormat="1" ht="15" hidden="1" x14ac:dyDescent="0.25"/>
    <row r="810" customFormat="1" ht="15" hidden="1" x14ac:dyDescent="0.25"/>
    <row r="811" customFormat="1" ht="15" hidden="1" x14ac:dyDescent="0.25"/>
    <row r="812" customFormat="1" ht="15" hidden="1" x14ac:dyDescent="0.25"/>
    <row r="813" customFormat="1" ht="15" hidden="1" x14ac:dyDescent="0.25"/>
    <row r="814" customFormat="1" ht="15" hidden="1" x14ac:dyDescent="0.25"/>
    <row r="815" customFormat="1" ht="15" hidden="1" x14ac:dyDescent="0.25"/>
    <row r="816" customFormat="1" ht="15" hidden="1" x14ac:dyDescent="0.25"/>
    <row r="817" customFormat="1" ht="15" hidden="1" x14ac:dyDescent="0.25"/>
    <row r="818" customFormat="1" ht="15" hidden="1" x14ac:dyDescent="0.25"/>
    <row r="819" customFormat="1" ht="15" hidden="1" x14ac:dyDescent="0.25"/>
    <row r="820" customFormat="1" ht="15" hidden="1" x14ac:dyDescent="0.25"/>
    <row r="821" customFormat="1" ht="15" hidden="1" x14ac:dyDescent="0.25"/>
    <row r="822" customFormat="1" ht="15" hidden="1" x14ac:dyDescent="0.25"/>
    <row r="823" customFormat="1" ht="15" hidden="1" x14ac:dyDescent="0.25"/>
    <row r="824" customFormat="1" ht="15" hidden="1" x14ac:dyDescent="0.25"/>
    <row r="825" customFormat="1" ht="15" hidden="1" x14ac:dyDescent="0.25"/>
    <row r="826" customFormat="1" ht="15" hidden="1" x14ac:dyDescent="0.25"/>
    <row r="827" customFormat="1" ht="15" hidden="1" x14ac:dyDescent="0.25"/>
    <row r="828" customFormat="1" ht="15" hidden="1" x14ac:dyDescent="0.25"/>
    <row r="829" customFormat="1" ht="15" hidden="1" x14ac:dyDescent="0.25"/>
    <row r="830" customFormat="1" ht="15" hidden="1" x14ac:dyDescent="0.25"/>
    <row r="831" customFormat="1" ht="15" hidden="1" x14ac:dyDescent="0.25"/>
    <row r="832" customFormat="1" ht="15" hidden="1" x14ac:dyDescent="0.25"/>
    <row r="833" customFormat="1" ht="15" hidden="1" x14ac:dyDescent="0.25"/>
    <row r="834" customFormat="1" ht="15" hidden="1" x14ac:dyDescent="0.25"/>
    <row r="835" customFormat="1" ht="15" hidden="1" x14ac:dyDescent="0.25"/>
    <row r="836" customFormat="1" ht="15" hidden="1" x14ac:dyDescent="0.25"/>
    <row r="837" customFormat="1" ht="15" hidden="1" x14ac:dyDescent="0.25"/>
    <row r="838" customFormat="1" ht="15" hidden="1" x14ac:dyDescent="0.25"/>
    <row r="839" customFormat="1" ht="15" hidden="1" x14ac:dyDescent="0.25"/>
    <row r="840" customFormat="1" ht="15" hidden="1" x14ac:dyDescent="0.25"/>
    <row r="841" customFormat="1" ht="15" hidden="1" x14ac:dyDescent="0.25"/>
    <row r="842" customFormat="1" ht="15" hidden="1" x14ac:dyDescent="0.25"/>
    <row r="843" customFormat="1" ht="15" hidden="1" x14ac:dyDescent="0.25"/>
    <row r="844" customFormat="1" ht="15" hidden="1" x14ac:dyDescent="0.25"/>
    <row r="845" customFormat="1" ht="15" hidden="1" x14ac:dyDescent="0.25"/>
    <row r="846" customFormat="1" ht="15" hidden="1" x14ac:dyDescent="0.25"/>
    <row r="847" customFormat="1" ht="15" hidden="1" x14ac:dyDescent="0.25"/>
    <row r="848" customFormat="1" ht="15" hidden="1" x14ac:dyDescent="0.25"/>
    <row r="849" customFormat="1" ht="15" hidden="1" x14ac:dyDescent="0.25"/>
    <row r="850" customFormat="1" ht="15" hidden="1" x14ac:dyDescent="0.25"/>
    <row r="851" customFormat="1" ht="15" hidden="1" x14ac:dyDescent="0.25"/>
    <row r="852" customFormat="1" ht="15" hidden="1" x14ac:dyDescent="0.25"/>
    <row r="853" customFormat="1" ht="15" hidden="1" x14ac:dyDescent="0.25"/>
    <row r="854" customFormat="1" ht="15" hidden="1" x14ac:dyDescent="0.25"/>
    <row r="855" customFormat="1" ht="15" hidden="1" x14ac:dyDescent="0.25"/>
    <row r="856" customFormat="1" ht="15" hidden="1" x14ac:dyDescent="0.25"/>
    <row r="857" customFormat="1" ht="15" hidden="1" x14ac:dyDescent="0.25"/>
    <row r="858" customFormat="1" ht="15" hidden="1" x14ac:dyDescent="0.25"/>
    <row r="859" customFormat="1" ht="15" hidden="1" x14ac:dyDescent="0.25"/>
    <row r="860" customFormat="1" ht="15" hidden="1" x14ac:dyDescent="0.25"/>
    <row r="861" customFormat="1" ht="15" hidden="1" x14ac:dyDescent="0.25"/>
    <row r="862" customFormat="1" ht="15" hidden="1" x14ac:dyDescent="0.25"/>
    <row r="863" customFormat="1" ht="15" hidden="1" x14ac:dyDescent="0.25"/>
    <row r="864" customFormat="1" ht="15" hidden="1" x14ac:dyDescent="0.25"/>
    <row r="865" customFormat="1" ht="15" hidden="1" x14ac:dyDescent="0.25"/>
    <row r="866" customFormat="1" ht="15" hidden="1" x14ac:dyDescent="0.25"/>
    <row r="867" customFormat="1" ht="15" hidden="1" x14ac:dyDescent="0.25"/>
    <row r="868" customFormat="1" ht="15" hidden="1" x14ac:dyDescent="0.25"/>
    <row r="869" customFormat="1" ht="15" hidden="1" x14ac:dyDescent="0.25"/>
    <row r="870" customFormat="1" ht="15" hidden="1" x14ac:dyDescent="0.25"/>
    <row r="871" customFormat="1" ht="15" hidden="1" x14ac:dyDescent="0.25"/>
    <row r="872" customFormat="1" ht="15" hidden="1" x14ac:dyDescent="0.25"/>
    <row r="873" customFormat="1" ht="15" hidden="1" x14ac:dyDescent="0.25"/>
    <row r="874" customFormat="1" ht="15" hidden="1" x14ac:dyDescent="0.25"/>
    <row r="875" customFormat="1" ht="15" hidden="1" x14ac:dyDescent="0.25"/>
    <row r="876" customFormat="1" ht="15" hidden="1" x14ac:dyDescent="0.25"/>
    <row r="877" customFormat="1" ht="15" hidden="1" x14ac:dyDescent="0.25"/>
    <row r="878" customFormat="1" ht="15" hidden="1" x14ac:dyDescent="0.25"/>
    <row r="879" customFormat="1" ht="15" hidden="1" x14ac:dyDescent="0.25"/>
    <row r="880" customFormat="1" ht="15" hidden="1" x14ac:dyDescent="0.25"/>
    <row r="881" customFormat="1" ht="15" hidden="1" x14ac:dyDescent="0.25"/>
    <row r="882" customFormat="1" ht="15" hidden="1" x14ac:dyDescent="0.25"/>
    <row r="883" customFormat="1" ht="15" hidden="1" x14ac:dyDescent="0.25"/>
    <row r="884" customFormat="1" ht="15" hidden="1" x14ac:dyDescent="0.25"/>
    <row r="885" customFormat="1" ht="15" hidden="1" x14ac:dyDescent="0.25"/>
    <row r="886" customFormat="1" ht="15" hidden="1" x14ac:dyDescent="0.25"/>
    <row r="887" customFormat="1" ht="15" hidden="1" x14ac:dyDescent="0.25"/>
    <row r="888" customFormat="1" ht="15" hidden="1" x14ac:dyDescent="0.25"/>
    <row r="889" customFormat="1" ht="15" hidden="1" x14ac:dyDescent="0.25"/>
    <row r="890" customFormat="1" ht="15" hidden="1" x14ac:dyDescent="0.25"/>
    <row r="891" customFormat="1" ht="15" hidden="1" x14ac:dyDescent="0.25"/>
    <row r="892" customFormat="1" ht="15" hidden="1" x14ac:dyDescent="0.25"/>
    <row r="893" customFormat="1" ht="15" hidden="1" x14ac:dyDescent="0.25"/>
    <row r="894" customFormat="1" ht="15" hidden="1" x14ac:dyDescent="0.25"/>
    <row r="895" customFormat="1" ht="15" hidden="1" x14ac:dyDescent="0.25"/>
    <row r="896" customFormat="1" ht="15" hidden="1" x14ac:dyDescent="0.25"/>
    <row r="897" customFormat="1" ht="15" hidden="1" x14ac:dyDescent="0.25"/>
    <row r="898" customFormat="1" ht="15" hidden="1" x14ac:dyDescent="0.25"/>
    <row r="899" customFormat="1" ht="15" hidden="1" x14ac:dyDescent="0.25"/>
    <row r="900" customFormat="1" ht="15" hidden="1" x14ac:dyDescent="0.25"/>
    <row r="901" customFormat="1" ht="15" hidden="1" x14ac:dyDescent="0.25"/>
    <row r="902" customFormat="1" ht="15" hidden="1" x14ac:dyDescent="0.25"/>
    <row r="903" customFormat="1" ht="15" hidden="1" x14ac:dyDescent="0.25"/>
    <row r="904" customFormat="1" ht="15" hidden="1" x14ac:dyDescent="0.25"/>
    <row r="905" customFormat="1" ht="15" hidden="1" x14ac:dyDescent="0.25"/>
    <row r="906" customFormat="1" ht="15" hidden="1" x14ac:dyDescent="0.25"/>
    <row r="907" customFormat="1" ht="15" hidden="1" x14ac:dyDescent="0.25"/>
    <row r="908" customFormat="1" ht="15" hidden="1" x14ac:dyDescent="0.25"/>
    <row r="909" customFormat="1" ht="15" hidden="1" x14ac:dyDescent="0.25"/>
    <row r="910" customFormat="1" ht="15" hidden="1" x14ac:dyDescent="0.25"/>
    <row r="911" customFormat="1" ht="15" hidden="1" x14ac:dyDescent="0.25"/>
    <row r="912" customFormat="1" ht="15" hidden="1" x14ac:dyDescent="0.25"/>
    <row r="913" customFormat="1" ht="15" hidden="1" x14ac:dyDescent="0.25"/>
    <row r="914" customFormat="1" ht="15" hidden="1" x14ac:dyDescent="0.25"/>
    <row r="915" customFormat="1" ht="15" hidden="1" x14ac:dyDescent="0.25"/>
    <row r="916" customFormat="1" ht="15" hidden="1" x14ac:dyDescent="0.25"/>
    <row r="917" customFormat="1" ht="15" hidden="1" x14ac:dyDescent="0.25"/>
    <row r="918" customFormat="1" ht="15" hidden="1" x14ac:dyDescent="0.25"/>
    <row r="919" customFormat="1" ht="15" hidden="1" x14ac:dyDescent="0.25"/>
    <row r="920" customFormat="1" ht="15" hidden="1" x14ac:dyDescent="0.25"/>
    <row r="921" customFormat="1" ht="15" hidden="1" x14ac:dyDescent="0.25"/>
    <row r="922" customFormat="1" ht="15" hidden="1" x14ac:dyDescent="0.25"/>
    <row r="923" customFormat="1" ht="15" hidden="1" x14ac:dyDescent="0.25"/>
    <row r="924" customFormat="1" ht="15" hidden="1" x14ac:dyDescent="0.25"/>
    <row r="925" customFormat="1" ht="15" hidden="1" x14ac:dyDescent="0.25"/>
    <row r="926" customFormat="1" ht="15" hidden="1" x14ac:dyDescent="0.25"/>
    <row r="927" customFormat="1" ht="15" hidden="1" x14ac:dyDescent="0.25"/>
    <row r="928" customFormat="1" ht="15" hidden="1" x14ac:dyDescent="0.25"/>
    <row r="929" customFormat="1" ht="15" hidden="1" x14ac:dyDescent="0.25"/>
    <row r="930" customFormat="1" ht="15" hidden="1" x14ac:dyDescent="0.25"/>
    <row r="931" customFormat="1" ht="15" hidden="1" x14ac:dyDescent="0.25"/>
    <row r="932" customFormat="1" ht="15" hidden="1" x14ac:dyDescent="0.25"/>
    <row r="933" customFormat="1" ht="15" hidden="1" x14ac:dyDescent="0.25"/>
    <row r="934" customFormat="1" ht="15" hidden="1" x14ac:dyDescent="0.25"/>
    <row r="935" customFormat="1" ht="15" hidden="1" x14ac:dyDescent="0.25"/>
    <row r="936" customFormat="1" ht="15" hidden="1" x14ac:dyDescent="0.25"/>
    <row r="937" customFormat="1" ht="15" hidden="1" x14ac:dyDescent="0.25"/>
    <row r="938" customFormat="1" ht="15" hidden="1" x14ac:dyDescent="0.25"/>
    <row r="939" customFormat="1" ht="15" hidden="1" x14ac:dyDescent="0.25"/>
    <row r="940" customFormat="1" ht="15" hidden="1" x14ac:dyDescent="0.25"/>
    <row r="941" customFormat="1" ht="15" hidden="1" x14ac:dyDescent="0.25"/>
    <row r="942" customFormat="1" ht="15" hidden="1" x14ac:dyDescent="0.25"/>
    <row r="943" customFormat="1" ht="15" hidden="1" x14ac:dyDescent="0.25"/>
    <row r="944" customFormat="1" ht="15" hidden="1" x14ac:dyDescent="0.25"/>
    <row r="945" customFormat="1" ht="15" hidden="1" x14ac:dyDescent="0.25"/>
    <row r="946" customFormat="1" ht="15" hidden="1" x14ac:dyDescent="0.25"/>
    <row r="947" customFormat="1" ht="15" hidden="1" x14ac:dyDescent="0.25"/>
    <row r="948" customFormat="1" ht="15" hidden="1" x14ac:dyDescent="0.25"/>
    <row r="949" customFormat="1" ht="15" hidden="1" x14ac:dyDescent="0.25"/>
    <row r="950" customFormat="1" ht="15" hidden="1" x14ac:dyDescent="0.25"/>
    <row r="951" customFormat="1" ht="15" hidden="1" x14ac:dyDescent="0.25"/>
    <row r="952" customFormat="1" ht="15" hidden="1" x14ac:dyDescent="0.25"/>
    <row r="953" customFormat="1" ht="15" hidden="1" x14ac:dyDescent="0.25"/>
    <row r="954" customFormat="1" ht="15" hidden="1" x14ac:dyDescent="0.25"/>
    <row r="955" customFormat="1" ht="15" hidden="1" x14ac:dyDescent="0.25"/>
    <row r="956" customFormat="1" ht="15" hidden="1" x14ac:dyDescent="0.25"/>
    <row r="957" customFormat="1" ht="15" hidden="1" x14ac:dyDescent="0.25"/>
    <row r="958" customFormat="1" ht="15" hidden="1" x14ac:dyDescent="0.25"/>
    <row r="959" customFormat="1" ht="15" hidden="1" x14ac:dyDescent="0.25"/>
    <row r="960" customFormat="1" ht="15" hidden="1" x14ac:dyDescent="0.25"/>
    <row r="961" customFormat="1" ht="15" hidden="1" x14ac:dyDescent="0.25"/>
    <row r="962" customFormat="1" ht="15" hidden="1" x14ac:dyDescent="0.25"/>
    <row r="963" customFormat="1" ht="15" hidden="1" x14ac:dyDescent="0.25"/>
    <row r="964" customFormat="1" ht="15" hidden="1" x14ac:dyDescent="0.25"/>
    <row r="965" customFormat="1" ht="15" hidden="1" x14ac:dyDescent="0.25"/>
    <row r="966" customFormat="1" ht="15" hidden="1" x14ac:dyDescent="0.25"/>
    <row r="967" customFormat="1" ht="15" hidden="1" x14ac:dyDescent="0.25"/>
    <row r="968" customFormat="1" ht="15" hidden="1" x14ac:dyDescent="0.25"/>
    <row r="969" customFormat="1" ht="15" hidden="1" x14ac:dyDescent="0.25"/>
    <row r="970" customFormat="1" ht="15" hidden="1" x14ac:dyDescent="0.25"/>
    <row r="971" customFormat="1" ht="15" hidden="1" x14ac:dyDescent="0.25"/>
    <row r="972" customFormat="1" ht="15" hidden="1" x14ac:dyDescent="0.25"/>
    <row r="973" customFormat="1" ht="15" hidden="1" x14ac:dyDescent="0.25"/>
    <row r="974" customFormat="1" ht="15" hidden="1" x14ac:dyDescent="0.25"/>
    <row r="975" customFormat="1" ht="15" hidden="1" x14ac:dyDescent="0.25"/>
    <row r="976" customFormat="1" ht="15" hidden="1" x14ac:dyDescent="0.25"/>
    <row r="977" customFormat="1" ht="15" hidden="1" x14ac:dyDescent="0.25"/>
    <row r="978" customFormat="1" ht="15" hidden="1" x14ac:dyDescent="0.25"/>
    <row r="979" customFormat="1" ht="15" hidden="1" x14ac:dyDescent="0.25"/>
    <row r="980" customFormat="1" ht="15" hidden="1" x14ac:dyDescent="0.25"/>
    <row r="981" customFormat="1" ht="15" hidden="1" x14ac:dyDescent="0.25"/>
    <row r="982" customFormat="1" ht="15" hidden="1" x14ac:dyDescent="0.25"/>
    <row r="983" customFormat="1" ht="15" hidden="1" x14ac:dyDescent="0.25"/>
    <row r="984" customFormat="1" ht="15" hidden="1" x14ac:dyDescent="0.25"/>
    <row r="985" customFormat="1" ht="15" hidden="1" x14ac:dyDescent="0.25"/>
    <row r="986" customFormat="1" ht="15" hidden="1" x14ac:dyDescent="0.25"/>
    <row r="987" customFormat="1" ht="15" hidden="1" x14ac:dyDescent="0.25"/>
    <row r="988" customFormat="1" ht="15" hidden="1" x14ac:dyDescent="0.25"/>
    <row r="989" customFormat="1" ht="15" hidden="1" x14ac:dyDescent="0.25"/>
    <row r="990" customFormat="1" ht="15" hidden="1" x14ac:dyDescent="0.25"/>
    <row r="991" customFormat="1" ht="15" hidden="1" x14ac:dyDescent="0.25"/>
    <row r="992" customFormat="1" ht="15" hidden="1" x14ac:dyDescent="0.25"/>
    <row r="993" customFormat="1" ht="15" hidden="1" x14ac:dyDescent="0.25"/>
    <row r="994" customFormat="1" ht="15" hidden="1" x14ac:dyDescent="0.25"/>
    <row r="995" customFormat="1" ht="15" hidden="1" x14ac:dyDescent="0.25"/>
    <row r="996" customFormat="1" ht="15" hidden="1" x14ac:dyDescent="0.25"/>
    <row r="997" customFormat="1" ht="15" hidden="1" x14ac:dyDescent="0.25"/>
    <row r="998" customFormat="1" ht="15" hidden="1" x14ac:dyDescent="0.25"/>
    <row r="999" customFormat="1" ht="15" hidden="1" x14ac:dyDescent="0.25"/>
    <row r="1000" customFormat="1" ht="15" hidden="1" x14ac:dyDescent="0.25"/>
  </sheetData>
  <sheetProtection algorithmName="SHA-512" hashValue="jIGmcMSgMkouOEY+umo9NQ5YaEabtH8btWbBOcdCqqL+OkwuOzCgNYRYbOk66kAqjmD6cQoS6cn224zNi0L1NQ==" saltValue="95utTfljc+6xIb45aH/iWA==" spinCount="100000" sheet="1" objects="1" scenarios="1"/>
  <mergeCells count="15">
    <mergeCell ref="L32:L33"/>
    <mergeCell ref="D34:D35"/>
    <mergeCell ref="D32:D33"/>
    <mergeCell ref="E32:E33"/>
    <mergeCell ref="C3:D3"/>
    <mergeCell ref="C4:C28"/>
    <mergeCell ref="C31:D31"/>
    <mergeCell ref="F4:H4"/>
    <mergeCell ref="E3:H3"/>
    <mergeCell ref="E31:L31"/>
    <mergeCell ref="J32:J33"/>
    <mergeCell ref="K32:K33"/>
    <mergeCell ref="G32:I33"/>
    <mergeCell ref="F32:F33"/>
    <mergeCell ref="C32:C53"/>
  </mergeCells>
  <dataValidations count="47">
    <dataValidation allowBlank="1" showErrorMessage="1" errorTitle="WDVLastDay" error="WDVLastDay  Non negative, no decimal, upto 99,999,999,999,999" sqref="F29:L29"/>
    <dataValidation type="whole" allowBlank="1" showErrorMessage="1" errorTitle="WDVLastDay" error="WDVLastDay  Non negative, no decimal, upto 99,999,999,999,999" sqref="H53:L53">
      <formula1>0</formula1>
      <formula2>99999999999999</formula2>
    </dataValidation>
    <dataValidation type="whole" allowBlank="1" showErrorMessage="1" errorTitle="CapGainUs50" error="CapGainUs50  Non negative, no decimal, upto 99,999,999,999,999" sqref="AS28:AV28">
      <formula1>-99999999999999</formula1>
      <formula2>99999999999999</formula2>
    </dataValidation>
    <dataValidation type="whole" allowBlank="1" showErrorMessage="1" errorTitle="TotalDepreciation" error="TotalDepreciation  Non negative, no decimal, upto 99,999,999,999,999" sqref="AS26:AV26">
      <formula1>0</formula1>
      <formula2>99999999999999</formula2>
    </dataValidation>
    <dataValidation type="whole" allowBlank="1" showErrorMessage="1" errorTitle="DepreciationAtHalfRate" error="DepreciationAtHalfRate  Non negative, no decimal, upto 99,999,999,999,999" sqref="AS19:AV19">
      <formula1>0</formula1>
      <formula2>99999999999999</formula2>
    </dataValidation>
    <dataValidation type="whole" allowBlank="1" showErrorMessage="1" errorTitle="DepreciationAtFullRate" error="DepreciationAtFullRate  Non negative, no decimal, upto 99,999,999,999,999" sqref="AS18:AV18">
      <formula1>0</formula1>
      <formula2>99999999999999</formula2>
    </dataValidation>
    <dataValidation type="whole" allowBlank="1" showErrorMessage="1" errorTitle="HalfRateDeprAmt" error="HalfRateDeprAmt  Non negative, no decimal, upto 99,999,999,999,999" sqref="AS17:AV17">
      <formula1>0</formula1>
      <formula2>99999999999999</formula2>
    </dataValidation>
    <dataValidation type="whole" allowBlank="1" showErrorMessage="1" errorTitle="ExpdrOnTrforSaleAsset" error="ExpdrOnTrforSaleAsset  Non negative, no decimal, upto 99,999,999,999,999" sqref="AS27:AV27">
      <formula1>0</formula1>
      <formula2>99999999999999</formula2>
    </dataValidation>
    <dataValidation type="whole" allowBlank="1" showErrorMessage="1" errorTitle="AddlnDeprDuringYearAdditions" error="AddlnDeprDuringYearAdditions  Non negative, no decimal, upto 99,999,999,999,999" sqref="G46:L46 AS21:AV21">
      <formula1>0</formula1>
      <formula2>99999999999999</formula2>
    </dataValidation>
    <dataValidation type="whole" allowBlank="1" showErrorMessage="1" errorTitle="AddlnDeprOnGT180DayAdditions" error="AddlnDeprOnGT180DayAdditions  Non negative, no decimal, upto 99,999,999,999,999" sqref="G45:L45 AS20:AV20">
      <formula1>0</formula1>
      <formula2>99999999999999</formula2>
    </dataValidation>
    <dataValidation type="whole" allowBlank="1" showErrorMessage="1" errorTitle="RealizationPeriodDuringYear" error="RealizationPeriodDuringYear  Non negative, no decimal, upto 99,999,999,999,999" sqref="AS16:AV16">
      <formula1>0</formula1>
      <formula2>99999999999999</formula2>
    </dataValidation>
    <dataValidation type="whole" allowBlank="1" showErrorMessage="1" errorTitle="AdditionsLessThan180Days" error="AdditionsLessThan180Days  Non negative, no decimal, upto 99,999,999,999,999" sqref="AS15:AV15">
      <formula1>0</formula1>
      <formula2>99999999999999</formula2>
    </dataValidation>
    <dataValidation type="whole" allowBlank="1" showErrorMessage="1" errorTitle="FullRateDeprAmt" error="FullRateDeprAmt  Non negative, no decimal, upto 99,999,999,999,999" sqref="AS14:AV14">
      <formula1>0</formula1>
      <formula2>99999999999999</formula2>
    </dataValidation>
    <dataValidation type="whole" allowBlank="1" showErrorMessage="1" errorTitle="RealizationTotalPeriod" error="RealizationTotalPeriod  Non negative, no decimal, upto 99,999,999,999,999" sqref="AS13:AV13">
      <formula1>0</formula1>
      <formula2>99999999999999</formula2>
    </dataValidation>
    <dataValidation type="whole" allowBlank="1" showErrorMessage="1" errorTitle="AdditionsGrThan180Days" error="AdditionsGrThan180Days  Non negative, no decimal, upto 99,999,999,999,999" sqref="AS12:AV12">
      <formula1>0</formula1>
      <formula2>99999999999999</formula2>
    </dataValidation>
    <dataValidation type="whole" allowBlank="1" showErrorMessage="1" errorTitle="WDVFirstDay" error="WDVFirstDay  Non negative, no decimal, upto 99,999,999,999,999" sqref="AS11:AV11 F8:G8">
      <formula1>0</formula1>
      <formula2>99999999999999</formula2>
    </dataValidation>
    <dataValidation type="whole" allowBlank="1" showErrorMessage="1" errorTitle="AddlnDeprlessthan180days" error="AddlnDeprlessthan180days  Non negative, no decimal, upto 99,999,999,999,999" sqref="AS22:AV25">
      <formula1>0</formula1>
      <formula2>99999999999999</formula2>
    </dataValidation>
    <dataValidation type="whole" allowBlank="1" showInputMessage="1" showErrorMessage="1" errorTitle="Amount" error="Amount Should be Numeric, Non negative, no decimal, upto 99,999,999,999,999" sqref="F36">
      <formula1>0</formula1>
      <formula2>99999999999999</formula2>
    </dataValidation>
    <dataValidation type="whole" allowBlank="1" showErrorMessage="1" errorTitle="Amount" error="Amount Should be Numeric, Non negative, no decimal, upto 99,999,999,999,999" sqref="F26:H26 G36:L36">
      <formula1>0</formula1>
      <formula2>99999999999999</formula2>
    </dataValidation>
    <dataValidation type="whole" allowBlank="1" showErrorMessage="1" errorTitle="NetAggrDepreciation" error="Net Aggregate Depreciation should be Numeric, Non negative, no decimal, upto 99,999,999,999,999" sqref="F24:H24">
      <formula1>0</formula1>
      <formula2>99999999999999</formula2>
    </dataValidation>
    <dataValidation type="whole" allowBlank="1" showErrorMessage="1" errorTitle="Amount" error="Amount should be Numeric, Non negative, no decimal, upto 99,999,999,999,999" sqref="G40:L41 F7:I7 G37:L38 G51:L51 F9:F10 G9:H9 G10:I10">
      <formula1>0</formula1>
      <formula2>99999999999999</formula2>
    </dataValidation>
    <dataValidation type="whole" allowBlank="1" showErrorMessage="1" errorTitle="FullRateDeprAmt" error="FullRateDeprAmt should be Numeric, Non negative, no decimal, upto 99,999,999,999,999" sqref="G39:L39">
      <formula1>0</formula1>
      <formula2>99999999999999</formula2>
    </dataValidation>
    <dataValidation type="whole" allowBlank="1" showErrorMessage="1" errorTitle="HalfRateDeprAmt" error="HalfRateDeprAmt  should be Numeric,Non negative, no decimal, upto 99,999,999,999,999" sqref="G42:L42">
      <formula1>0</formula1>
      <formula2>99999999999999</formula2>
    </dataValidation>
    <dataValidation type="whole" allowBlank="1" showErrorMessage="1" errorTitle="DepreciationAtFullRate" error="DepreciationAtFullRate should be Numeric, Non negative, no decimal, upto 99,999,999,999,999" sqref="G43:L43">
      <formula1>0</formula1>
      <formula2>99999999999999</formula2>
    </dataValidation>
    <dataValidation type="whole" allowBlank="1" showErrorMessage="1" errorTitle="DepreciationAtHalfRate" error="DepreciationAtHalfRate should be Numeric, Non negative, no decimal, upto 99,999,999,999,999" sqref="G44:L44">
      <formula1>0</formula1>
      <formula2>99999999999999</formula2>
    </dataValidation>
    <dataValidation type="whole" allowBlank="1" showErrorMessage="1" errorTitle="TotalDepreciation" error="TotalDepreciation  should be Numeric,Non negative, no decimal, upto 99,999,999,999,999" sqref="G47:L47">
      <formula1>0</formula1>
      <formula2>99999999999999</formula2>
    </dataValidation>
    <dataValidation type="whole" allowBlank="1" showInputMessage="1" showErrorMessage="1" errorTitle="Amount" error="Amount should be Numeric,Non negative, no decimal, upto 99,999,999,999,999" sqref="G48:L48">
      <formula1>0</formula1>
      <formula2>99999999999999</formula2>
    </dataValidation>
    <dataValidation type="whole" allowBlank="1" showInputMessage="1" showErrorMessage="1" errorTitle="NetAggrDepreciation" error="Net Aggregate Depreciation should be Numeric, Non negative, no decimal, upto 99,999,999,999,999" sqref="G49:L49">
      <formula1>0</formula1>
      <formula2>99999999999999</formula2>
    </dataValidation>
    <dataValidation type="whole" allowBlank="1" showInputMessage="1" showErrorMessage="1" errorTitle="Amount" error="Amount  Should be Numeric,Non negative, no decimal, upto 99,999,999,999,999" sqref="G50:L50">
      <formula1>0</formula1>
      <formula2>99999999999999</formula2>
    </dataValidation>
    <dataValidation type="whole" allowBlank="1" showErrorMessage="1" errorTitle="Amount" error="Amount   should be Numeric,Non negative, no decimal, upto 99,999,999,999,999" sqref="G52:L52">
      <formula1>-99999999999999</formula1>
      <formula2>99999999999999</formula2>
    </dataValidation>
    <dataValidation type="whole" allowBlank="1" showErrorMessage="1" errorTitle="WDVLastDay" error="WDVLastDay  should be Numeric, Non negative, no decimal, upto 99,999,999,999,999" sqref="G53">
      <formula1>0</formula1>
      <formula2>99999999999999</formula2>
    </dataValidation>
    <dataValidation type="whole" allowBlank="1" showInputMessage="1" showErrorMessage="1" errorTitle="WDVLastDay" error="WDVLastDay  should be Numeric, Non negative, no decimal, upto 99,999,999,999,999" sqref="F53">
      <formula1>0</formula1>
      <formula2>99999999999999</formula2>
    </dataValidation>
    <dataValidation type="whole" allowBlank="1" showErrorMessage="1" errorTitle="Amount" error="Amount Should be Numeric,  Non negative, no decimal, upto 99,999,999,999,999" sqref="F23:H23 F25:H25">
      <formula1>0</formula1>
      <formula2>99999999999999</formula2>
    </dataValidation>
    <dataValidation type="whole" allowBlank="1" showErrorMessage="1" errorTitle="Amount" error="Amount should be Numeric, no decimal, upto 99,999,999,999,999" sqref="G27:H27">
      <formula1>-99999999999999</formula1>
      <formula2>99999999999999</formula2>
    </dataValidation>
    <dataValidation type="whole" allowBlank="1" showErrorMessage="1" errorTitle="WDVLastDay" error="WDVLastDay Should be Numeric,Non negative, no decimal, upto 99,999,999,999,999" sqref="F28:H28">
      <formula1>0</formula1>
      <formula2>99999999999999</formula2>
    </dataValidation>
    <dataValidation type="whole" allowBlank="1" showErrorMessage="1" errorTitle="WDVFirstDay" error="WDVFirstDay  should be Numeric, Non negative, no decimal, upto 99,999,999,999,999" sqref="H8">
      <formula1>0</formula1>
      <formula2>99999999999999</formula2>
    </dataValidation>
    <dataValidation type="whole" allowBlank="1" showErrorMessage="1" errorTitle="Amount" error="Amount  should be Numeric,Non negative, no decimal, upto 99,999,999,999,999" sqref="F11:H11">
      <formula1>0</formula1>
      <formula2>99999999999999</formula2>
    </dataValidation>
    <dataValidation type="whole" allowBlank="1" showErrorMessage="1" errorTitle="Amount" error="Amount  should be Numeric, Non negative, no decimal, upto 99,999,999,999,999" sqref="F14:H15 F12:H12 F21:H21">
      <formula1>0</formula1>
      <formula2>99999999999999</formula2>
    </dataValidation>
    <dataValidation type="whole" allowBlank="1" showErrorMessage="1" errorTitle="FullRateDeprAmt" error="FullRateDeprAmt  should be Numeric, Non negative, no decimal, upto 99,999,999,999,999" sqref="F13:H13">
      <formula1>0</formula1>
      <formula2>99999999999999</formula2>
    </dataValidation>
    <dataValidation type="whole" allowBlank="1" showErrorMessage="1" errorTitle="HalfRateDeprAmt" error="HalfRateDeprAmt  should be Numeric, Non negative, no decimal, upto 99,999,999,999,999" sqref="F16:H16">
      <formula1>0</formula1>
      <formula2>99999999999999</formula2>
    </dataValidation>
    <dataValidation type="whole" allowBlank="1" showErrorMessage="1" errorTitle="DepreciationAtFullRate" error="DepreciationAtFullRate  should be Numeric, Non negative, no decimal, upto 99,999,999,999,999" sqref="F17:H17">
      <formula1>0</formula1>
      <formula2>99999999999999</formula2>
    </dataValidation>
    <dataValidation type="whole" allowBlank="1" showErrorMessage="1" errorTitle="DepreciationAtHalfRate" error="DepreciationAtHalfRate  should be Numeric, Non negative, no decimal, upto 99,999,999,999,999" sqref="F18:H18">
      <formula1>0</formula1>
      <formula2>99999999999999</formula2>
    </dataValidation>
    <dataValidation type="whole" allowBlank="1" showErrorMessage="1" errorTitle="Amount" error="Amount   should be Numeric,Non negative, no decimal, upto 99,999,999,999,999" sqref="F19:H20">
      <formula1>0</formula1>
      <formula2>99999999999999</formula2>
    </dataValidation>
    <dataValidation type="whole" allowBlank="1" showErrorMessage="1" errorTitle="TotalDepreciation" error="TotalDepreciation  should be Numeric, Non negative, no decimal, upto 99,999,999,999,999" sqref="F22:H22">
      <formula1>0</formula1>
      <formula2>99999999999999</formula2>
    </dataValidation>
    <dataValidation type="whole" allowBlank="1" showInputMessage="1" showErrorMessage="1" errorTitle="Amount" error="Amount should be Numeric, Non negative, no decimal, upto 99,999,999,999,999" sqref="I28 I8:I9 I11:I26">
      <formula1>0</formula1>
      <formula2>99999999999999</formula2>
    </dataValidation>
    <dataValidation type="whole" allowBlank="1" showErrorMessage="1" errorTitle="Amount" error="Amount should be Numeric,no decimal, upto 99,999,999,999,999" sqref="F27">
      <formula1>-99999999999999</formula1>
      <formula2>99999999999999</formula2>
    </dataValidation>
    <dataValidation type="whole" allowBlank="1" showInputMessage="1" showErrorMessage="1" errorTitle="Amount" error="Amount should be Numeric, no decimal, upto 99,999,999,999,999" sqref="I27">
      <formula1>-99999999999999</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1137" r:id="rId5" name="Button 1">
              <controlPr defaultSize="0" print="0" autoFill="0" autoPict="0" macro="[0]!validateDPMDOAClick">
                <anchor>
                  <from>
                    <xdr:col>9</xdr:col>
                    <xdr:colOff>257175</xdr:colOff>
                    <xdr:row>3</xdr:row>
                    <xdr:rowOff>19050</xdr:rowOff>
                  </from>
                  <to>
                    <xdr:col>10</xdr:col>
                    <xdr:colOff>28575</xdr:colOff>
                    <xdr:row>4</xdr:row>
                    <xdr:rowOff>133350</xdr:rowOff>
                  </to>
                </anchor>
              </controlPr>
            </control>
          </mc:Choice>
        </mc:AlternateContent>
        <mc:AlternateContent xmlns:mc="http://schemas.openxmlformats.org/markup-compatibility/2006">
          <mc:Choice Requires="x14">
            <control shapeId="91139" r:id="rId6" name="Button 3">
              <controlPr defaultSize="0" print="0" autoFill="0" autoPict="0" macro="[0]!Prev_Sheet">
                <anchor>
                  <from>
                    <xdr:col>9</xdr:col>
                    <xdr:colOff>257175</xdr:colOff>
                    <xdr:row>6</xdr:row>
                    <xdr:rowOff>104775</xdr:rowOff>
                  </from>
                  <to>
                    <xdr:col>10</xdr:col>
                    <xdr:colOff>28575</xdr:colOff>
                    <xdr:row>6</xdr:row>
                    <xdr:rowOff>333375</xdr:rowOff>
                  </to>
                </anchor>
              </controlPr>
            </control>
          </mc:Choice>
        </mc:AlternateContent>
        <mc:AlternateContent xmlns:mc="http://schemas.openxmlformats.org/markup-compatibility/2006">
          <mc:Choice Requires="x14">
            <control shapeId="91140" r:id="rId7" name="Button 4">
              <controlPr defaultSize="0" print="0" autoFill="0" autoPict="0" macro="[0]!Img_Home_Click">
                <anchor>
                  <from>
                    <xdr:col>9</xdr:col>
                    <xdr:colOff>257175</xdr:colOff>
                    <xdr:row>2</xdr:row>
                    <xdr:rowOff>76200</xdr:rowOff>
                  </from>
                  <to>
                    <xdr:col>10</xdr:col>
                    <xdr:colOff>28575</xdr:colOff>
                    <xdr:row>2</xdr:row>
                    <xdr:rowOff>361950</xdr:rowOff>
                  </to>
                </anchor>
              </controlPr>
            </control>
          </mc:Choice>
        </mc:AlternateContent>
        <mc:AlternateContent xmlns:mc="http://schemas.openxmlformats.org/markup-compatibility/2006">
          <mc:Choice Requires="x14">
            <control shapeId="91142" r:id="rId8" name="Button 6">
              <controlPr defaultSize="0" print="0" autoFill="0" autoPict="0" macro="[0]!Next_Sheet">
                <anchor>
                  <from>
                    <xdr:col>9</xdr:col>
                    <xdr:colOff>257175</xdr:colOff>
                    <xdr:row>4</xdr:row>
                    <xdr:rowOff>142875</xdr:rowOff>
                  </from>
                  <to>
                    <xdr:col>10</xdr:col>
                    <xdr:colOff>28575</xdr:colOff>
                    <xdr:row>6</xdr:row>
                    <xdr:rowOff>95250</xdr:rowOff>
                  </to>
                </anchor>
              </controlPr>
            </control>
          </mc:Choice>
        </mc:AlternateContent>
        <mc:AlternateContent xmlns:mc="http://schemas.openxmlformats.org/markup-compatibility/2006">
          <mc:Choice Requires="x14">
            <control shapeId="91143" r:id="rId9" name="Button 7">
              <controlPr defaultSize="0" print="0" autoFill="0" autoPict="0" macro="[0]!Instruction_Sheet">
                <anchor>
                  <from>
                    <xdr:col>9</xdr:col>
                    <xdr:colOff>247650</xdr:colOff>
                    <xdr:row>7</xdr:row>
                    <xdr:rowOff>0</xdr:rowOff>
                  </from>
                  <to>
                    <xdr:col>10</xdr:col>
                    <xdr:colOff>19050</xdr:colOff>
                    <xdr:row>7</xdr:row>
                    <xdr:rowOff>0</xdr:rowOff>
                  </to>
                </anchor>
              </controlPr>
            </control>
          </mc:Choice>
        </mc:AlternateContent>
        <mc:AlternateContent xmlns:mc="http://schemas.openxmlformats.org/markup-compatibility/2006">
          <mc:Choice Requires="x14">
            <control shapeId="91144" r:id="rId10" name="Button 8">
              <controlPr defaultSize="0" print="0" autoFill="0" autoPict="0" macro="[0]!WorksheetsPrint">
                <anchor>
                  <from>
                    <xdr:col>9</xdr:col>
                    <xdr:colOff>247650</xdr:colOff>
                    <xdr:row>7</xdr:row>
                    <xdr:rowOff>0</xdr:rowOff>
                  </from>
                  <to>
                    <xdr:col>10</xdr:col>
                    <xdr:colOff>19050</xdr:colOff>
                    <xdr:row>7</xdr:row>
                    <xdr:rowOff>0</xdr:rowOff>
                  </to>
                </anchor>
              </controlPr>
            </control>
          </mc:Choice>
        </mc:AlternateContent>
        <mc:AlternateContent xmlns:mc="http://schemas.openxmlformats.org/markup-compatibility/2006">
          <mc:Choice Requires="x14">
            <control shapeId="91145" r:id="rId11" name="Button 9">
              <controlPr defaultSize="0" print="0" autoFill="0" autoPict="0" macro="[0]!GenerateJSON.GenerateJSON">
                <anchor>
                  <from>
                    <xdr:col>9</xdr:col>
                    <xdr:colOff>257175</xdr:colOff>
                    <xdr:row>7</xdr:row>
                    <xdr:rowOff>0</xdr:rowOff>
                  </from>
                  <to>
                    <xdr:col>10</xdr:col>
                    <xdr:colOff>28575</xdr:colOff>
                    <xdr:row>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6"/>
  <sheetViews>
    <sheetView showGridLines="0" showRowColHeaders="0" zoomScaleNormal="100" workbookViewId="0"/>
  </sheetViews>
  <sheetFormatPr defaultColWidth="0" defaultRowHeight="12.75" zeroHeight="1" x14ac:dyDescent="0.2"/>
  <cols>
    <col min="1" max="1" width="3.42578125" style="113" customWidth="1"/>
    <col min="2" max="2" width="3.85546875" style="113" customWidth="1"/>
    <col min="3" max="3" width="4.42578125" style="459" customWidth="1"/>
    <col min="4" max="5" width="3.7109375" style="459" customWidth="1"/>
    <col min="6" max="6" width="71.42578125" style="459" customWidth="1"/>
    <col min="7" max="7" width="3.7109375" style="459" customWidth="1"/>
    <col min="8" max="8" width="15.7109375" style="21" customWidth="1"/>
    <col min="9" max="9" width="3.7109375" style="459" customWidth="1"/>
    <col min="10" max="10" width="15.7109375" style="21" customWidth="1"/>
    <col min="11" max="11" width="3.85546875" style="117" customWidth="1"/>
    <col min="12" max="12" width="25.85546875" style="113" customWidth="1"/>
    <col min="13" max="16384" width="9.140625" style="113" hidden="1"/>
  </cols>
  <sheetData>
    <row r="1" spans="2:11" ht="13.5" thickBot="1" x14ac:dyDescent="0.25"/>
    <row r="2" spans="2:11" x14ac:dyDescent="0.2">
      <c r="B2" s="1130"/>
      <c r="C2" s="1173"/>
      <c r="D2" s="1173"/>
      <c r="E2" s="1173"/>
      <c r="F2" s="1173"/>
      <c r="G2" s="1173"/>
      <c r="H2" s="1174"/>
      <c r="I2" s="1173"/>
      <c r="J2" s="1174"/>
      <c r="K2" s="1140"/>
    </row>
    <row r="3" spans="2:11" ht="15" customHeight="1" x14ac:dyDescent="0.2">
      <c r="B3" s="1121"/>
      <c r="C3" s="3366" t="s">
        <v>863</v>
      </c>
      <c r="D3" s="3367"/>
      <c r="E3" s="2993" t="s">
        <v>7374</v>
      </c>
      <c r="F3" s="2994"/>
      <c r="G3" s="2994"/>
      <c r="H3" s="2994"/>
      <c r="I3" s="2994"/>
      <c r="J3" s="2995"/>
      <c r="K3" s="1136"/>
    </row>
    <row r="4" spans="2:11" ht="14.25" customHeight="1" x14ac:dyDescent="0.2">
      <c r="B4" s="1121"/>
      <c r="C4" s="3368" t="s">
        <v>864</v>
      </c>
      <c r="D4" s="195">
        <v>1</v>
      </c>
      <c r="E4" s="3092" t="s">
        <v>830</v>
      </c>
      <c r="F4" s="3068"/>
      <c r="G4" s="3068"/>
      <c r="H4" s="3063"/>
      <c r="I4" s="476"/>
      <c r="J4" s="183"/>
      <c r="K4" s="1136"/>
    </row>
    <row r="5" spans="2:11" ht="14.25" customHeight="1" x14ac:dyDescent="0.2">
      <c r="B5" s="1121"/>
      <c r="C5" s="3368"/>
      <c r="D5" s="198"/>
      <c r="E5" s="258" t="s">
        <v>865</v>
      </c>
      <c r="F5" s="477" t="s">
        <v>8383</v>
      </c>
      <c r="G5" s="27" t="s">
        <v>328</v>
      </c>
      <c r="H5" s="486">
        <f>IF(DPM15.ProAgrdep&gt;0,DPM15.ProAgrdep,DPM15.NetAgrdep)</f>
        <v>0</v>
      </c>
      <c r="I5" s="479"/>
      <c r="J5" s="480"/>
      <c r="K5" s="1136"/>
    </row>
    <row r="6" spans="2:11" ht="14.25" customHeight="1" x14ac:dyDescent="0.2">
      <c r="B6" s="1121"/>
      <c r="C6" s="3368"/>
      <c r="D6" s="198"/>
      <c r="E6" s="258" t="s">
        <v>866</v>
      </c>
      <c r="F6" s="477" t="s">
        <v>8384</v>
      </c>
      <c r="G6" s="27" t="s">
        <v>330</v>
      </c>
      <c r="H6" s="486">
        <f>IF(DPM30.ProAgrdep&gt;0,DPM30.ProAgrdep,DPM30.NetAgrdep)</f>
        <v>0</v>
      </c>
      <c r="I6" s="479"/>
      <c r="J6" s="480"/>
      <c r="K6" s="1136"/>
    </row>
    <row r="7" spans="2:11" ht="15.75" customHeight="1" x14ac:dyDescent="0.2">
      <c r="B7" s="1121"/>
      <c r="C7" s="3368"/>
      <c r="D7" s="198"/>
      <c r="E7" s="258" t="s">
        <v>867</v>
      </c>
      <c r="F7" s="477" t="s">
        <v>8385</v>
      </c>
      <c r="G7" s="27" t="s">
        <v>303</v>
      </c>
      <c r="H7" s="486">
        <f>IF(DPM40.ProAgrdep&gt;0,DPM40.ProAgrdep,DPM40.NetAgrdep)</f>
        <v>0</v>
      </c>
      <c r="I7" s="479"/>
      <c r="J7" s="480"/>
      <c r="K7" s="1136"/>
    </row>
    <row r="8" spans="2:11" ht="14.25" hidden="1" customHeight="1" x14ac:dyDescent="0.2">
      <c r="B8" s="1121"/>
      <c r="C8" s="3368"/>
      <c r="D8" s="482"/>
      <c r="E8" s="482" t="s">
        <v>868</v>
      </c>
      <c r="F8" s="482" t="s">
        <v>7699</v>
      </c>
      <c r="G8" s="482" t="s">
        <v>332</v>
      </c>
      <c r="H8" s="482">
        <f>DPM50.TotalDepreciation</f>
        <v>0</v>
      </c>
      <c r="I8" s="479"/>
      <c r="J8" s="480"/>
      <c r="K8" s="1136"/>
    </row>
    <row r="9" spans="2:11" ht="14.25" hidden="1" customHeight="1" x14ac:dyDescent="0.2">
      <c r="B9" s="1121"/>
      <c r="C9" s="3368"/>
      <c r="D9" s="482"/>
      <c r="E9" s="482" t="s">
        <v>869</v>
      </c>
      <c r="F9" s="482" t="s">
        <v>7700</v>
      </c>
      <c r="G9" s="482" t="s">
        <v>334</v>
      </c>
      <c r="H9" s="482">
        <f>DPM60.TotalDepreciation</f>
        <v>0</v>
      </c>
      <c r="I9" s="479"/>
      <c r="J9" s="480"/>
      <c r="K9" s="1136"/>
    </row>
    <row r="10" spans="2:11" ht="14.25" hidden="1" customHeight="1" x14ac:dyDescent="0.2">
      <c r="B10" s="1121"/>
      <c r="C10" s="3368"/>
      <c r="D10" s="482"/>
      <c r="E10" s="482" t="s">
        <v>870</v>
      </c>
      <c r="F10" s="482" t="s">
        <v>7701</v>
      </c>
      <c r="G10" s="482" t="s">
        <v>871</v>
      </c>
      <c r="H10" s="482">
        <f>DPM80.TotalDepreciation</f>
        <v>0</v>
      </c>
      <c r="I10" s="479"/>
      <c r="J10" s="480"/>
      <c r="K10" s="1136"/>
    </row>
    <row r="11" spans="2:11" ht="7.5" hidden="1" customHeight="1" x14ac:dyDescent="0.2">
      <c r="B11" s="1121"/>
      <c r="C11" s="3368"/>
      <c r="D11" s="482"/>
      <c r="E11" s="482" t="s">
        <v>872</v>
      </c>
      <c r="F11" s="482" t="s">
        <v>7702</v>
      </c>
      <c r="G11" s="482" t="s">
        <v>873</v>
      </c>
      <c r="H11" s="482">
        <f>DPM100.TotalDepreciation</f>
        <v>0</v>
      </c>
      <c r="I11" s="479"/>
      <c r="J11" s="480"/>
      <c r="K11" s="1136"/>
    </row>
    <row r="12" spans="2:11" ht="27" customHeight="1" x14ac:dyDescent="0.2">
      <c r="B12" s="1121"/>
      <c r="C12" s="3368"/>
      <c r="D12" s="1733"/>
      <c r="E12" s="258" t="s">
        <v>36</v>
      </c>
      <c r="F12" s="477" t="s">
        <v>11967</v>
      </c>
      <c r="G12" s="27" t="s">
        <v>332</v>
      </c>
      <c r="H12" s="486">
        <f>IF(DPM45.ProAgrdep&gt;0,DPM45.ProAgrdep,DPM45.NetAgrdep)</f>
        <v>0</v>
      </c>
      <c r="I12" s="481"/>
      <c r="J12" s="482"/>
      <c r="K12" s="1136"/>
    </row>
    <row r="13" spans="2:11" ht="14.25" customHeight="1" x14ac:dyDescent="0.2">
      <c r="B13" s="1121"/>
      <c r="C13" s="3368"/>
      <c r="D13" s="198"/>
      <c r="E13" s="258" t="s">
        <v>38</v>
      </c>
      <c r="F13" s="3172" t="s">
        <v>12116</v>
      </c>
      <c r="G13" s="3172"/>
      <c r="H13" s="3172"/>
      <c r="I13" s="434" t="s">
        <v>334</v>
      </c>
      <c r="J13" s="1421">
        <f>SUM(DEPP.DeprBlockTot15Percent,DEPP.DeprBlockTot30Percent,DEPP.DeprBlockTot40Percent,DEPP.DeprBlockTot45Percent)</f>
        <v>0</v>
      </c>
      <c r="K13" s="1136"/>
    </row>
    <row r="14" spans="2:11" ht="14.25" customHeight="1" x14ac:dyDescent="0.2">
      <c r="B14" s="1121"/>
      <c r="C14" s="3368"/>
      <c r="D14" s="483">
        <v>2</v>
      </c>
      <c r="E14" s="3092" t="s">
        <v>8306</v>
      </c>
      <c r="F14" s="3068"/>
      <c r="G14" s="3068"/>
      <c r="H14" s="3063"/>
      <c r="I14" s="484"/>
      <c r="J14" s="183"/>
      <c r="K14" s="1136"/>
    </row>
    <row r="15" spans="2:11" ht="14.25" customHeight="1" x14ac:dyDescent="0.2">
      <c r="B15" s="1121"/>
      <c r="C15" s="3368"/>
      <c r="D15" s="198"/>
      <c r="E15" s="258" t="s">
        <v>865</v>
      </c>
      <c r="F15" s="477" t="s">
        <v>8386</v>
      </c>
      <c r="G15" s="27" t="s">
        <v>697</v>
      </c>
      <c r="H15" s="486">
        <f>IF(DAOB5.ProAgrdep&gt;0,DAOB5.ProAgrdep,DAOB5.NetAgrdep)</f>
        <v>0</v>
      </c>
      <c r="I15" s="479"/>
      <c r="J15" s="480"/>
      <c r="K15" s="1136"/>
    </row>
    <row r="16" spans="2:11" ht="14.25" customHeight="1" x14ac:dyDescent="0.2">
      <c r="B16" s="1121"/>
      <c r="C16" s="3368"/>
      <c r="D16" s="198"/>
      <c r="E16" s="258" t="s">
        <v>866</v>
      </c>
      <c r="F16" s="477" t="s">
        <v>8387</v>
      </c>
      <c r="G16" s="27" t="s">
        <v>699</v>
      </c>
      <c r="H16" s="486">
        <f>IF(DAOB10.ProAgrdep&gt;0,DAOB10.ProAgrdep,DAOB10.NetAgrdep)</f>
        <v>0</v>
      </c>
      <c r="I16" s="479"/>
      <c r="J16" s="480"/>
      <c r="K16" s="1136"/>
    </row>
    <row r="17" spans="2:11" ht="14.25" customHeight="1" x14ac:dyDescent="0.2">
      <c r="B17" s="1121"/>
      <c r="C17" s="3368"/>
      <c r="D17" s="198"/>
      <c r="E17" s="258" t="s">
        <v>867</v>
      </c>
      <c r="F17" s="477" t="s">
        <v>8388</v>
      </c>
      <c r="G17" s="27" t="s">
        <v>322</v>
      </c>
      <c r="H17" s="486">
        <f>IF(DAOB100.ProAgrdep&gt;0,DAOB100.ProAgrdep,DAOB100.NetAgrdep)</f>
        <v>0</v>
      </c>
      <c r="I17" s="1734"/>
      <c r="J17" s="1735"/>
      <c r="K17" s="1136"/>
    </row>
    <row r="18" spans="2:11" ht="14.25" customHeight="1" x14ac:dyDescent="0.2">
      <c r="B18" s="1121"/>
      <c r="C18" s="3368"/>
      <c r="D18" s="200"/>
      <c r="E18" s="258" t="s">
        <v>36</v>
      </c>
      <c r="F18" s="3172" t="s">
        <v>874</v>
      </c>
      <c r="G18" s="3172"/>
      <c r="H18" s="3172"/>
      <c r="I18" s="10" t="s">
        <v>702</v>
      </c>
      <c r="J18" s="1391">
        <f>SUM(H15:H17)</f>
        <v>0</v>
      </c>
      <c r="K18" s="1136"/>
    </row>
    <row r="19" spans="2:11" ht="14.25" customHeight="1" x14ac:dyDescent="0.2">
      <c r="B19" s="1121"/>
      <c r="C19" s="3369"/>
      <c r="D19" s="1454">
        <v>3</v>
      </c>
      <c r="E19" s="2999" t="s">
        <v>8843</v>
      </c>
      <c r="F19" s="2999"/>
      <c r="G19" s="2999"/>
      <c r="H19" s="2999"/>
      <c r="I19" s="10">
        <v>3</v>
      </c>
      <c r="J19" s="1391">
        <f>IF(DAOF10.ProAgrdep&gt;0,DAOF10.ProAgrdep,DAOF10.NetAgrdep)</f>
        <v>0</v>
      </c>
      <c r="K19" s="1136"/>
    </row>
    <row r="20" spans="2:11" ht="14.25" customHeight="1" x14ac:dyDescent="0.2">
      <c r="B20" s="1121"/>
      <c r="C20" s="3369"/>
      <c r="D20" s="1455">
        <v>4</v>
      </c>
      <c r="E20" s="2999" t="s">
        <v>8844</v>
      </c>
      <c r="F20" s="2999"/>
      <c r="G20" s="2999"/>
      <c r="H20" s="2999"/>
      <c r="I20" s="10">
        <v>4</v>
      </c>
      <c r="J20" s="1391">
        <f>IF(DAOI25.ProAgrdep&gt;0,DAOI25.ProAgrdep,DAOI25.NetAgrdep)</f>
        <v>0</v>
      </c>
      <c r="K20" s="1136"/>
    </row>
    <row r="21" spans="2:11" ht="14.25" customHeight="1" x14ac:dyDescent="0.2">
      <c r="B21" s="1121"/>
      <c r="C21" s="3369"/>
      <c r="D21" s="1455">
        <v>5</v>
      </c>
      <c r="E21" s="2999" t="s">
        <v>8845</v>
      </c>
      <c r="F21" s="2999"/>
      <c r="G21" s="2999"/>
      <c r="H21" s="2999"/>
      <c r="I21" s="10">
        <v>5</v>
      </c>
      <c r="J21" s="1391">
        <f>IF(DAOS20.ProAgrdep&gt;0,DAOS20.ProAgrdep,DAOS20.NetAgrdep)</f>
        <v>0</v>
      </c>
      <c r="K21" s="1136"/>
    </row>
    <row r="22" spans="2:11" ht="14.25" customHeight="1" x14ac:dyDescent="0.2">
      <c r="B22" s="1121"/>
      <c r="C22" s="3369"/>
      <c r="D22" s="1455">
        <v>6</v>
      </c>
      <c r="E22" s="3097" t="s">
        <v>12117</v>
      </c>
      <c r="F22" s="3097"/>
      <c r="G22" s="3097"/>
      <c r="H22" s="3097"/>
      <c r="I22" s="10">
        <v>6</v>
      </c>
      <c r="J22" s="1391">
        <f>MAX(0,SUM(J13,J18,J19,J20,J21))</f>
        <v>0</v>
      </c>
      <c r="K22" s="1136"/>
    </row>
    <row r="23" spans="2:11" x14ac:dyDescent="0.2">
      <c r="B23" s="1121"/>
      <c r="C23" s="392"/>
      <c r="D23" s="475"/>
      <c r="E23" s="392"/>
      <c r="F23" s="392"/>
      <c r="G23" s="392"/>
      <c r="H23" s="56"/>
      <c r="I23" s="1065"/>
      <c r="J23" s="1175"/>
      <c r="K23" s="1136"/>
    </row>
    <row r="24" spans="2:11" x14ac:dyDescent="0.2">
      <c r="B24" s="1121"/>
      <c r="C24" s="3371" t="s">
        <v>875</v>
      </c>
      <c r="D24" s="3372"/>
      <c r="E24" s="3017" t="s">
        <v>876</v>
      </c>
      <c r="F24" s="3015"/>
      <c r="G24" s="3015"/>
      <c r="H24" s="3015"/>
      <c r="I24" s="3015"/>
      <c r="J24" s="3016"/>
      <c r="K24" s="1136"/>
    </row>
    <row r="25" spans="2:11" ht="12.75" customHeight="1" x14ac:dyDescent="0.2">
      <c r="B25" s="1121"/>
      <c r="C25" s="221"/>
      <c r="D25" s="1964">
        <v>1</v>
      </c>
      <c r="E25" s="3016" t="s">
        <v>830</v>
      </c>
      <c r="F25" s="3097"/>
      <c r="G25" s="3097"/>
      <c r="H25" s="3097"/>
      <c r="I25" s="3370"/>
      <c r="J25" s="3370"/>
      <c r="K25" s="1136"/>
    </row>
    <row r="26" spans="2:11" ht="15.75" customHeight="1" x14ac:dyDescent="0.2">
      <c r="B26" s="1121"/>
      <c r="C26" s="759"/>
      <c r="D26" s="485"/>
      <c r="E26" s="258" t="s">
        <v>865</v>
      </c>
      <c r="F26" s="477" t="s">
        <v>8307</v>
      </c>
      <c r="G26" s="27" t="s">
        <v>328</v>
      </c>
      <c r="H26" s="486">
        <f>DPM15.CapGainUs50</f>
        <v>0</v>
      </c>
      <c r="I26" s="487"/>
      <c r="J26" s="488"/>
      <c r="K26" s="1136"/>
    </row>
    <row r="27" spans="2:11" ht="15.75" customHeight="1" x14ac:dyDescent="0.2">
      <c r="B27" s="1121"/>
      <c r="C27" s="759"/>
      <c r="D27" s="485"/>
      <c r="E27" s="258" t="s">
        <v>866</v>
      </c>
      <c r="F27" s="477" t="s">
        <v>8308</v>
      </c>
      <c r="G27" s="27" t="s">
        <v>330</v>
      </c>
      <c r="H27" s="486">
        <f>DPM30.CapGainUs50</f>
        <v>0</v>
      </c>
      <c r="I27" s="489"/>
      <c r="J27" s="490"/>
      <c r="K27" s="1136"/>
    </row>
    <row r="28" spans="2:11" ht="15.75" customHeight="1" x14ac:dyDescent="0.2">
      <c r="B28" s="1121"/>
      <c r="C28" s="759"/>
      <c r="D28" s="485"/>
      <c r="E28" s="258" t="s">
        <v>867</v>
      </c>
      <c r="F28" s="477" t="s">
        <v>8309</v>
      </c>
      <c r="G28" s="27" t="s">
        <v>303</v>
      </c>
      <c r="H28" s="486">
        <f>DPM40.CapGainUs50</f>
        <v>0</v>
      </c>
      <c r="I28" s="489"/>
      <c r="J28" s="490"/>
      <c r="K28" s="1136"/>
    </row>
    <row r="29" spans="2:11" ht="15.75" hidden="1" customHeight="1" x14ac:dyDescent="0.2">
      <c r="B29" s="1121"/>
      <c r="C29" s="759"/>
      <c r="D29" s="482"/>
      <c r="E29" s="482" t="s">
        <v>868</v>
      </c>
      <c r="F29" s="482" t="s">
        <v>7703</v>
      </c>
      <c r="G29" s="482" t="s">
        <v>332</v>
      </c>
      <c r="H29" s="482">
        <f>DPM50.CapGainUs50</f>
        <v>0</v>
      </c>
      <c r="I29" s="489"/>
      <c r="J29" s="490"/>
      <c r="K29" s="1136"/>
    </row>
    <row r="30" spans="2:11" ht="15.75" hidden="1" customHeight="1" x14ac:dyDescent="0.2">
      <c r="B30" s="1121"/>
      <c r="C30" s="759"/>
      <c r="D30" s="482"/>
      <c r="E30" s="482" t="s">
        <v>869</v>
      </c>
      <c r="F30" s="482" t="s">
        <v>7704</v>
      </c>
      <c r="G30" s="482" t="s">
        <v>334</v>
      </c>
      <c r="H30" s="482">
        <f>DPM60.CapGainUs50</f>
        <v>0</v>
      </c>
      <c r="I30" s="489"/>
      <c r="J30" s="490"/>
      <c r="K30" s="1136"/>
    </row>
    <row r="31" spans="2:11" ht="15.75" hidden="1" customHeight="1" x14ac:dyDescent="0.2">
      <c r="B31" s="1121"/>
      <c r="C31" s="759"/>
      <c r="D31" s="482"/>
      <c r="E31" s="482" t="s">
        <v>870</v>
      </c>
      <c r="F31" s="482" t="s">
        <v>7705</v>
      </c>
      <c r="G31" s="482" t="s">
        <v>871</v>
      </c>
      <c r="H31" s="482">
        <f>DPM80.CapGainUs50</f>
        <v>0</v>
      </c>
      <c r="I31" s="489"/>
      <c r="J31" s="490"/>
      <c r="K31" s="1136"/>
    </row>
    <row r="32" spans="2:11" ht="15.75" hidden="1" customHeight="1" x14ac:dyDescent="0.2">
      <c r="B32" s="1121"/>
      <c r="C32" s="759"/>
      <c r="D32" s="482"/>
      <c r="E32" s="482" t="s">
        <v>872</v>
      </c>
      <c r="F32" s="482" t="s">
        <v>7706</v>
      </c>
      <c r="G32" s="482" t="s">
        <v>873</v>
      </c>
      <c r="H32" s="482">
        <f>DPM100.CapGainUs50</f>
        <v>0</v>
      </c>
      <c r="I32" s="491"/>
      <c r="J32" s="492"/>
      <c r="K32" s="1136"/>
    </row>
    <row r="33" spans="2:11" ht="15.75" customHeight="1" x14ac:dyDescent="0.2">
      <c r="B33" s="1121"/>
      <c r="C33" s="759"/>
      <c r="D33" s="1733"/>
      <c r="E33" s="258" t="s">
        <v>36</v>
      </c>
      <c r="F33" s="477" t="s">
        <v>11968</v>
      </c>
      <c r="G33" s="27" t="s">
        <v>332</v>
      </c>
      <c r="H33" s="486">
        <f>DPM45.CapGainUs50</f>
        <v>0</v>
      </c>
      <c r="I33" s="489"/>
      <c r="J33" s="490"/>
      <c r="K33" s="1136"/>
    </row>
    <row r="34" spans="2:11" ht="15.75" customHeight="1" x14ac:dyDescent="0.2">
      <c r="B34" s="1121"/>
      <c r="C34" s="759"/>
      <c r="D34" s="1964"/>
      <c r="E34" s="258" t="s">
        <v>38</v>
      </c>
      <c r="F34" s="3172" t="s">
        <v>12118</v>
      </c>
      <c r="G34" s="3172"/>
      <c r="H34" s="3172"/>
      <c r="I34" s="10" t="s">
        <v>334</v>
      </c>
      <c r="J34" s="1391">
        <f>SUM(DCGP.DeprBlockTot15Percent,DCGP.DeprBlockTot30Percent,DCGP.DeprBlockTot40Percent,DCGP.DeprBlockTot45Percent)</f>
        <v>0</v>
      </c>
      <c r="K34" s="1136"/>
    </row>
    <row r="35" spans="2:11" ht="15.75" customHeight="1" x14ac:dyDescent="0.2">
      <c r="B35" s="1121"/>
      <c r="C35" s="759"/>
      <c r="D35" s="1963">
        <v>2</v>
      </c>
      <c r="E35" s="3016" t="s">
        <v>13007</v>
      </c>
      <c r="F35" s="3097"/>
      <c r="G35" s="3097"/>
      <c r="H35" s="3017"/>
      <c r="I35" s="484"/>
      <c r="J35" s="183"/>
      <c r="K35" s="1136"/>
    </row>
    <row r="36" spans="2:11" ht="15.75" customHeight="1" x14ac:dyDescent="0.2">
      <c r="B36" s="1121"/>
      <c r="C36" s="759"/>
      <c r="D36" s="493"/>
      <c r="E36" s="258" t="s">
        <v>865</v>
      </c>
      <c r="F36" s="477" t="s">
        <v>8389</v>
      </c>
      <c r="G36" s="27" t="s">
        <v>697</v>
      </c>
      <c r="H36" s="486">
        <f>DAOB5.CapGainUs50</f>
        <v>0</v>
      </c>
      <c r="I36" s="479"/>
      <c r="J36" s="480"/>
      <c r="K36" s="1136"/>
    </row>
    <row r="37" spans="2:11" ht="15.75" customHeight="1" x14ac:dyDescent="0.2">
      <c r="B37" s="1121"/>
      <c r="C37" s="759"/>
      <c r="D37" s="493"/>
      <c r="E37" s="258" t="s">
        <v>866</v>
      </c>
      <c r="F37" s="477" t="s">
        <v>8390</v>
      </c>
      <c r="G37" s="27" t="s">
        <v>699</v>
      </c>
      <c r="H37" s="486">
        <f>DAOB10.CapGainUs50</f>
        <v>0</v>
      </c>
      <c r="I37" s="479"/>
      <c r="J37" s="480"/>
      <c r="K37" s="1136"/>
    </row>
    <row r="38" spans="2:11" ht="15.75" customHeight="1" x14ac:dyDescent="0.2">
      <c r="B38" s="1121"/>
      <c r="C38" s="759"/>
      <c r="D38" s="485"/>
      <c r="E38" s="258" t="s">
        <v>867</v>
      </c>
      <c r="F38" s="477" t="s">
        <v>8805</v>
      </c>
      <c r="G38" s="27" t="s">
        <v>322</v>
      </c>
      <c r="H38" s="486">
        <f>DAOB100.CapGainUs50</f>
        <v>0</v>
      </c>
      <c r="I38" s="481"/>
      <c r="J38" s="482"/>
      <c r="K38" s="1136"/>
    </row>
    <row r="39" spans="2:11" ht="12.75" customHeight="1" x14ac:dyDescent="0.2">
      <c r="B39" s="1121"/>
      <c r="C39" s="759"/>
      <c r="D39" s="494"/>
      <c r="E39" s="258" t="s">
        <v>868</v>
      </c>
      <c r="F39" s="3172" t="s">
        <v>877</v>
      </c>
      <c r="G39" s="3172"/>
      <c r="H39" s="3172"/>
      <c r="I39" s="229" t="s">
        <v>702</v>
      </c>
      <c r="J39" s="1395">
        <f>SUM(H36:H38)</f>
        <v>0</v>
      </c>
      <c r="K39" s="1136"/>
    </row>
    <row r="40" spans="2:11" ht="12.75" customHeight="1" x14ac:dyDescent="0.2">
      <c r="B40" s="1121"/>
      <c r="C40" s="759"/>
      <c r="D40" s="495">
        <v>3</v>
      </c>
      <c r="E40" s="3097" t="s">
        <v>8391</v>
      </c>
      <c r="F40" s="3097"/>
      <c r="G40" s="3097"/>
      <c r="H40" s="3097"/>
      <c r="I40" s="10">
        <v>3</v>
      </c>
      <c r="J40" s="1391">
        <f>DAOF10.CapGainUs50</f>
        <v>0</v>
      </c>
      <c r="K40" s="1136"/>
    </row>
    <row r="41" spans="2:11" ht="12.75" customHeight="1" x14ac:dyDescent="0.2">
      <c r="B41" s="1121"/>
      <c r="C41" s="759"/>
      <c r="D41" s="495">
        <v>4</v>
      </c>
      <c r="E41" s="3097" t="s">
        <v>8392</v>
      </c>
      <c r="F41" s="3097"/>
      <c r="G41" s="3097"/>
      <c r="H41" s="3097"/>
      <c r="I41" s="10">
        <v>4</v>
      </c>
      <c r="J41" s="1391">
        <f>DAOI25.CapGainUs50</f>
        <v>0</v>
      </c>
      <c r="K41" s="1136"/>
    </row>
    <row r="42" spans="2:11" ht="12.75" customHeight="1" x14ac:dyDescent="0.2">
      <c r="B42" s="1121"/>
      <c r="C42" s="759"/>
      <c r="D42" s="495">
        <v>5</v>
      </c>
      <c r="E42" s="3097" t="s">
        <v>8393</v>
      </c>
      <c r="F42" s="3097"/>
      <c r="G42" s="3097"/>
      <c r="H42" s="3097"/>
      <c r="I42" s="10">
        <v>5</v>
      </c>
      <c r="J42" s="1391">
        <f>DAOS20.CapGainUs50</f>
        <v>0</v>
      </c>
      <c r="K42" s="1136"/>
    </row>
    <row r="43" spans="2:11" ht="12.75" customHeight="1" x14ac:dyDescent="0.2">
      <c r="B43" s="1121"/>
      <c r="C43" s="208"/>
      <c r="D43" s="495">
        <v>6</v>
      </c>
      <c r="E43" s="3343" t="s">
        <v>12865</v>
      </c>
      <c r="F43" s="3343"/>
      <c r="G43" s="3097"/>
      <c r="H43" s="3097"/>
      <c r="I43" s="10">
        <v>6</v>
      </c>
      <c r="J43" s="1391">
        <f>SUM(J34,J39:J42)</f>
        <v>0</v>
      </c>
      <c r="K43" s="1136"/>
    </row>
    <row r="44" spans="2:11" x14ac:dyDescent="0.2">
      <c r="B44" s="1121"/>
      <c r="C44" s="392"/>
      <c r="D44" s="392"/>
      <c r="E44" s="392"/>
      <c r="F44" s="392"/>
      <c r="G44" s="392"/>
      <c r="H44" s="56"/>
      <c r="I44" s="392"/>
      <c r="J44" s="56"/>
      <c r="K44" s="1136"/>
    </row>
    <row r="45" spans="2:11" ht="13.5" thickBot="1" x14ac:dyDescent="0.25">
      <c r="B45" s="1141"/>
      <c r="C45" s="1176"/>
      <c r="D45" s="1176"/>
      <c r="E45" s="1176"/>
      <c r="F45" s="1176"/>
      <c r="G45" s="1176"/>
      <c r="H45" s="1177"/>
      <c r="I45" s="1176"/>
      <c r="J45" s="1177"/>
      <c r="K45" s="1139"/>
    </row>
    <row r="46" spans="2:11" x14ac:dyDescent="0.2"/>
  </sheetData>
  <sheetProtection algorithmName="SHA-512" hashValue="qWp3+irHhEiVVBigBEPLevuKBnykeCbeA1aeIKarP1tXIGRwcWQf7EtwPzHjy16qXdmPEE0PBJ1lHq4KcW9BJA==" saltValue="V5uXKAhLE/aCK+Jl8b7/4A==" spinCount="100000" sheet="1" objects="1" scenarios="1"/>
  <mergeCells count="21">
    <mergeCell ref="E43:H43"/>
    <mergeCell ref="E35:H35"/>
    <mergeCell ref="F39:H39"/>
    <mergeCell ref="F34:H34"/>
    <mergeCell ref="E41:H41"/>
    <mergeCell ref="E42:H42"/>
    <mergeCell ref="E40:H40"/>
    <mergeCell ref="E25:J25"/>
    <mergeCell ref="C24:D24"/>
    <mergeCell ref="E24:J24"/>
    <mergeCell ref="E20:H20"/>
    <mergeCell ref="F18:H18"/>
    <mergeCell ref="E21:H21"/>
    <mergeCell ref="E19:H19"/>
    <mergeCell ref="E22:H22"/>
    <mergeCell ref="C3:D3"/>
    <mergeCell ref="E3:J3"/>
    <mergeCell ref="C4:C22"/>
    <mergeCell ref="E4:H4"/>
    <mergeCell ref="F13:H13"/>
    <mergeCell ref="E14:H14"/>
  </mergeCells>
  <dataValidations count="2">
    <dataValidation type="whole" allowBlank="1" showErrorMessage="1" errorTitle="DeprBlockTot15Percent" error="DeprBlockTot15Percent  Non negative, no decimal, upto 99,999,999,999,999" sqref="J18:J22 H5:H12 J13 H15:H17">
      <formula1>0</formula1>
      <formula2>99999999999999</formula2>
    </dataValidation>
    <dataValidation type="whole" allowBlank="1" showErrorMessage="1" errorTitle="DeprBlockTot15Percent" error="DeprBlockTot15Percent  Non negative, no decimal, upto 99,999,999,999,999" sqref="H26:H33 H36:H38 J39:J43 J34">
      <formula1>-99999999999999</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0113" r:id="rId5" name="Button 1">
              <controlPr defaultSize="0" print="0" autoFill="0" autoPict="0" macro="[0]!validateDEPDCGClick">
                <anchor>
                  <from>
                    <xdr:col>11</xdr:col>
                    <xdr:colOff>219075</xdr:colOff>
                    <xdr:row>3</xdr:row>
                    <xdr:rowOff>19050</xdr:rowOff>
                  </from>
                  <to>
                    <xdr:col>11</xdr:col>
                    <xdr:colOff>1590675</xdr:colOff>
                    <xdr:row>4</xdr:row>
                    <xdr:rowOff>104775</xdr:rowOff>
                  </to>
                </anchor>
              </controlPr>
            </control>
          </mc:Choice>
        </mc:AlternateContent>
        <mc:AlternateContent xmlns:mc="http://schemas.openxmlformats.org/markup-compatibility/2006">
          <mc:Choice Requires="x14">
            <control shapeId="90115" r:id="rId6" name="Button 3">
              <controlPr defaultSize="0" print="0" autoFill="0" autoPict="0" macro="[0]!Prev_Sheet">
                <anchor>
                  <from>
                    <xdr:col>11</xdr:col>
                    <xdr:colOff>209550</xdr:colOff>
                    <xdr:row>6</xdr:row>
                    <xdr:rowOff>57150</xdr:rowOff>
                  </from>
                  <to>
                    <xdr:col>11</xdr:col>
                    <xdr:colOff>1581150</xdr:colOff>
                    <xdr:row>11</xdr:row>
                    <xdr:rowOff>171450</xdr:rowOff>
                  </to>
                </anchor>
              </controlPr>
            </control>
          </mc:Choice>
        </mc:AlternateContent>
        <mc:AlternateContent xmlns:mc="http://schemas.openxmlformats.org/markup-compatibility/2006">
          <mc:Choice Requires="x14">
            <control shapeId="90116" r:id="rId7" name="Button 4">
              <controlPr defaultSize="0" print="0" autoFill="0" autoPict="0" macro="[0]!Img_Home_Click">
                <anchor>
                  <from>
                    <xdr:col>11</xdr:col>
                    <xdr:colOff>228600</xdr:colOff>
                    <xdr:row>1</xdr:row>
                    <xdr:rowOff>57150</xdr:rowOff>
                  </from>
                  <to>
                    <xdr:col>11</xdr:col>
                    <xdr:colOff>1600200</xdr:colOff>
                    <xdr:row>2</xdr:row>
                    <xdr:rowOff>171450</xdr:rowOff>
                  </to>
                </anchor>
              </controlPr>
            </control>
          </mc:Choice>
        </mc:AlternateContent>
        <mc:AlternateContent xmlns:mc="http://schemas.openxmlformats.org/markup-compatibility/2006">
          <mc:Choice Requires="x14">
            <control shapeId="90118" r:id="rId8" name="Button 6">
              <controlPr defaultSize="0" print="0" autoFill="0" autoPict="0" macro="[0]!Next_Sheet">
                <anchor>
                  <from>
                    <xdr:col>11</xdr:col>
                    <xdr:colOff>209550</xdr:colOff>
                    <xdr:row>4</xdr:row>
                    <xdr:rowOff>133350</xdr:rowOff>
                  </from>
                  <to>
                    <xdr:col>11</xdr:col>
                    <xdr:colOff>1581150</xdr:colOff>
                    <xdr:row>6</xdr:row>
                    <xdr:rowOff>28575</xdr:rowOff>
                  </to>
                </anchor>
              </controlPr>
            </control>
          </mc:Choice>
        </mc:AlternateContent>
        <mc:AlternateContent xmlns:mc="http://schemas.openxmlformats.org/markup-compatibility/2006">
          <mc:Choice Requires="x14">
            <control shapeId="90119" r:id="rId9" name="Button 7">
              <controlPr defaultSize="0" print="0" autoFill="0" autoPict="0" macro="[0]!Instruction_Sheet">
                <anchor>
                  <from>
                    <xdr:col>11</xdr:col>
                    <xdr:colOff>209550</xdr:colOff>
                    <xdr:row>14</xdr:row>
                    <xdr:rowOff>95250</xdr:rowOff>
                  </from>
                  <to>
                    <xdr:col>11</xdr:col>
                    <xdr:colOff>1581150</xdr:colOff>
                    <xdr:row>16</xdr:row>
                    <xdr:rowOff>19050</xdr:rowOff>
                  </to>
                </anchor>
              </controlPr>
            </control>
          </mc:Choice>
        </mc:AlternateContent>
        <mc:AlternateContent xmlns:mc="http://schemas.openxmlformats.org/markup-compatibility/2006">
          <mc:Choice Requires="x14">
            <control shapeId="90120" r:id="rId10" name="Button 8">
              <controlPr defaultSize="0" print="0" autoFill="0" autoPict="0" macro="[0]!WorksheetsPrint">
                <anchor>
                  <from>
                    <xdr:col>11</xdr:col>
                    <xdr:colOff>190500</xdr:colOff>
                    <xdr:row>12</xdr:row>
                    <xdr:rowOff>152400</xdr:rowOff>
                  </from>
                  <to>
                    <xdr:col>11</xdr:col>
                    <xdr:colOff>1562100</xdr:colOff>
                    <xdr:row>14</xdr:row>
                    <xdr:rowOff>66675</xdr:rowOff>
                  </to>
                </anchor>
              </controlPr>
            </control>
          </mc:Choice>
        </mc:AlternateContent>
        <mc:AlternateContent xmlns:mc="http://schemas.openxmlformats.org/markup-compatibility/2006">
          <mc:Choice Requires="x14">
            <control shapeId="90121" r:id="rId11" name="Button 9">
              <controlPr defaultSize="0" print="0" autoFill="0" autoPict="0" macro="[0]!GenerateJSON.GenerateJSON">
                <anchor>
                  <from>
                    <xdr:col>11</xdr:col>
                    <xdr:colOff>209550</xdr:colOff>
                    <xdr:row>11</xdr:row>
                    <xdr:rowOff>190500</xdr:rowOff>
                  </from>
                  <to>
                    <xdr:col>11</xdr:col>
                    <xdr:colOff>1581150</xdr:colOff>
                    <xdr:row>12</xdr:row>
                    <xdr:rowOff>133350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1000"/>
  <sheetViews>
    <sheetView showGridLines="0" showRowColHeaders="0" zoomScaleNormal="100" workbookViewId="0"/>
  </sheetViews>
  <sheetFormatPr defaultColWidth="0" defaultRowHeight="12.75" zeroHeight="1" x14ac:dyDescent="0.2"/>
  <cols>
    <col min="1" max="1" width="3.5703125" style="113" customWidth="1"/>
    <col min="2" max="2" width="4.140625" style="113" customWidth="1"/>
    <col min="3" max="3" width="6.7109375" style="113" customWidth="1"/>
    <col min="4" max="4" width="22" style="113" customWidth="1"/>
    <col min="5" max="5" width="23" style="113" customWidth="1"/>
    <col min="6" max="6" width="20.140625" style="113" customWidth="1"/>
    <col min="7" max="7" width="29" style="113" customWidth="1"/>
    <col min="8" max="8" width="3.5703125" style="117" customWidth="1"/>
    <col min="9" max="9" width="24.85546875" style="113" customWidth="1"/>
    <col min="10" max="16384" width="9.140625" style="113" hidden="1"/>
  </cols>
  <sheetData>
    <row r="1" spans="2:8" ht="13.5" thickBot="1" x14ac:dyDescent="0.25"/>
    <row r="2" spans="2:8" x14ac:dyDescent="0.2">
      <c r="B2" s="1130"/>
      <c r="C2" s="1131"/>
      <c r="D2" s="1131"/>
      <c r="E2" s="1131"/>
      <c r="F2" s="1131"/>
      <c r="G2" s="1131"/>
      <c r="H2" s="1140"/>
    </row>
    <row r="3" spans="2:8" ht="12.75" customHeight="1" x14ac:dyDescent="0.2">
      <c r="B3" s="1121"/>
      <c r="C3" s="3317" t="s">
        <v>878</v>
      </c>
      <c r="D3" s="3317"/>
      <c r="E3" s="3097" t="s">
        <v>12867</v>
      </c>
      <c r="F3" s="3097"/>
      <c r="G3" s="3097"/>
      <c r="H3" s="1136"/>
    </row>
    <row r="4" spans="2:8" ht="44.25" customHeight="1" x14ac:dyDescent="0.2">
      <c r="B4" s="1121"/>
      <c r="C4" s="28" t="s">
        <v>879</v>
      </c>
      <c r="D4" s="28" t="s">
        <v>880</v>
      </c>
      <c r="E4" s="28" t="s">
        <v>881</v>
      </c>
      <c r="F4" s="28" t="s">
        <v>882</v>
      </c>
      <c r="G4" s="254" t="s">
        <v>883</v>
      </c>
      <c r="H4" s="1136"/>
    </row>
    <row r="5" spans="2:8" ht="12.75" customHeight="1" x14ac:dyDescent="0.2">
      <c r="B5" s="1121"/>
      <c r="C5" s="8" t="s">
        <v>287</v>
      </c>
      <c r="D5" s="8" t="s">
        <v>884</v>
      </c>
      <c r="E5" s="801"/>
      <c r="F5" s="801"/>
      <c r="G5" s="1019">
        <f t="shared" ref="G5:G13" si="0">IF((F5-E5) &lt;0,0,(F5-E5))</f>
        <v>0</v>
      </c>
      <c r="H5" s="1136"/>
    </row>
    <row r="6" spans="2:8" ht="12.75" customHeight="1" x14ac:dyDescent="0.2">
      <c r="B6" s="1121"/>
      <c r="C6" s="8" t="s">
        <v>290</v>
      </c>
      <c r="D6" s="8" t="s">
        <v>885</v>
      </c>
      <c r="E6" s="2089"/>
      <c r="F6" s="2089"/>
      <c r="G6" s="1019">
        <f>IF((F6-E6) &lt;0,0,(F6-E6))</f>
        <v>0</v>
      </c>
      <c r="H6" s="1136"/>
    </row>
    <row r="7" spans="2:8" ht="12.75" customHeight="1" x14ac:dyDescent="0.2">
      <c r="B7" s="1121"/>
      <c r="C7" s="8" t="s">
        <v>293</v>
      </c>
      <c r="D7" s="8" t="s">
        <v>886</v>
      </c>
      <c r="E7" s="2089"/>
      <c r="F7" s="2089"/>
      <c r="G7" s="1019">
        <f t="shared" si="0"/>
        <v>0</v>
      </c>
      <c r="H7" s="1136"/>
    </row>
    <row r="8" spans="2:8" ht="12.75" customHeight="1" x14ac:dyDescent="0.2">
      <c r="B8" s="1121"/>
      <c r="C8" s="8" t="s">
        <v>296</v>
      </c>
      <c r="D8" s="8" t="s">
        <v>887</v>
      </c>
      <c r="E8" s="2089"/>
      <c r="F8" s="2089"/>
      <c r="G8" s="1019">
        <f t="shared" si="0"/>
        <v>0</v>
      </c>
      <c r="H8" s="1136"/>
    </row>
    <row r="9" spans="2:8" ht="12.75" customHeight="1" x14ac:dyDescent="0.2">
      <c r="B9" s="1121"/>
      <c r="C9" s="8" t="s">
        <v>299</v>
      </c>
      <c r="D9" s="8" t="s">
        <v>888</v>
      </c>
      <c r="E9" s="801"/>
      <c r="F9" s="801"/>
      <c r="G9" s="1019">
        <f t="shared" si="0"/>
        <v>0</v>
      </c>
      <c r="H9" s="1136"/>
    </row>
    <row r="10" spans="2:8" ht="12.75" customHeight="1" x14ac:dyDescent="0.2">
      <c r="B10" s="1121"/>
      <c r="C10" s="8" t="s">
        <v>430</v>
      </c>
      <c r="D10" s="8" t="s">
        <v>889</v>
      </c>
      <c r="E10" s="2089"/>
      <c r="F10" s="2089"/>
      <c r="G10" s="1019">
        <f t="shared" si="0"/>
        <v>0</v>
      </c>
      <c r="H10" s="1136"/>
    </row>
    <row r="11" spans="2:8" ht="12.75" customHeight="1" x14ac:dyDescent="0.2">
      <c r="B11" s="1121"/>
      <c r="C11" s="8" t="s">
        <v>432</v>
      </c>
      <c r="D11" s="8" t="s">
        <v>890</v>
      </c>
      <c r="E11" s="801"/>
      <c r="F11" s="801"/>
      <c r="G11" s="1019">
        <f t="shared" si="0"/>
        <v>0</v>
      </c>
      <c r="H11" s="1136"/>
    </row>
    <row r="12" spans="2:8" ht="12.75" customHeight="1" x14ac:dyDescent="0.2">
      <c r="B12" s="1121"/>
      <c r="C12" s="8" t="s">
        <v>434</v>
      </c>
      <c r="D12" s="8" t="s">
        <v>891</v>
      </c>
      <c r="E12" s="2089"/>
      <c r="F12" s="2089"/>
      <c r="G12" s="1019">
        <f t="shared" si="0"/>
        <v>0</v>
      </c>
      <c r="H12" s="1136"/>
    </row>
    <row r="13" spans="2:8" ht="12.75" customHeight="1" x14ac:dyDescent="0.2">
      <c r="B13" s="1121"/>
      <c r="C13" s="8" t="s">
        <v>435</v>
      </c>
      <c r="D13" s="8" t="s">
        <v>892</v>
      </c>
      <c r="E13" s="801"/>
      <c r="F13" s="801"/>
      <c r="G13" s="1019">
        <f t="shared" si="0"/>
        <v>0</v>
      </c>
      <c r="H13" s="1136"/>
    </row>
    <row r="14" spans="2:8" ht="12.75" customHeight="1" x14ac:dyDescent="0.2">
      <c r="B14" s="1121"/>
      <c r="C14" s="2" t="s">
        <v>437</v>
      </c>
      <c r="D14" s="30" t="s">
        <v>749</v>
      </c>
      <c r="E14" s="1456">
        <f>SUM(E5:E13)</f>
        <v>0</v>
      </c>
      <c r="F14" s="1456">
        <f>SUM(F5:F13)</f>
        <v>0</v>
      </c>
      <c r="G14" s="1428">
        <f>SUM(G5:G13)</f>
        <v>0</v>
      </c>
      <c r="H14" s="1136"/>
    </row>
    <row r="15" spans="2:8" ht="12.75" customHeight="1" x14ac:dyDescent="0.2">
      <c r="B15" s="1121"/>
      <c r="C15" s="996"/>
      <c r="D15" s="1619"/>
      <c r="E15" s="1620"/>
      <c r="F15" s="1620"/>
      <c r="G15" s="1621"/>
      <c r="H15" s="1136"/>
    </row>
    <row r="16" spans="2:8" ht="24.75" customHeight="1" x14ac:dyDescent="0.2">
      <c r="B16" s="1121"/>
      <c r="C16" s="38" t="s">
        <v>9728</v>
      </c>
      <c r="D16" s="3373" t="s">
        <v>13215</v>
      </c>
      <c r="E16" s="3373"/>
      <c r="F16" s="3373"/>
      <c r="G16" s="3374"/>
      <c r="H16" s="1136"/>
    </row>
    <row r="17" spans="2:8" ht="13.5" thickBot="1" x14ac:dyDescent="0.25">
      <c r="B17" s="1141"/>
      <c r="C17" s="1144"/>
      <c r="D17" s="1144"/>
      <c r="E17" s="1144"/>
      <c r="F17" s="1144"/>
      <c r="G17" s="1144"/>
      <c r="H17" s="1139"/>
    </row>
    <row r="18" spans="2:8" x14ac:dyDescent="0.2"/>
    <row r="19" spans="2:8" ht="18.75" hidden="1" customHeight="1" x14ac:dyDescent="0.2"/>
    <row r="21" spans="2:8" customFormat="1" ht="15" hidden="1" x14ac:dyDescent="0.25"/>
    <row r="22" spans="2:8" customFormat="1" ht="15" hidden="1" x14ac:dyDescent="0.25"/>
    <row r="23" spans="2:8" customFormat="1" ht="15" hidden="1" x14ac:dyDescent="0.25"/>
    <row r="24" spans="2:8" customFormat="1" ht="15" hidden="1" x14ac:dyDescent="0.25"/>
    <row r="25" spans="2:8" customFormat="1" ht="15" hidden="1" x14ac:dyDescent="0.25"/>
    <row r="26" spans="2:8" customFormat="1" ht="15" hidden="1" x14ac:dyDescent="0.25"/>
    <row r="27" spans="2:8" customFormat="1" ht="15" hidden="1" x14ac:dyDescent="0.25"/>
    <row r="28" spans="2:8" customFormat="1" ht="15" hidden="1" x14ac:dyDescent="0.25"/>
    <row r="29" spans="2:8" customFormat="1" ht="15" hidden="1" x14ac:dyDescent="0.25"/>
    <row r="30" spans="2:8" customFormat="1" ht="15" hidden="1" x14ac:dyDescent="0.25"/>
    <row r="31" spans="2:8" customFormat="1" ht="15" hidden="1" x14ac:dyDescent="0.25"/>
    <row r="32" spans="2:8" customFormat="1" ht="15" hidden="1" x14ac:dyDescent="0.25"/>
    <row r="33" customFormat="1" ht="15" hidden="1" x14ac:dyDescent="0.25"/>
    <row r="34" customFormat="1" ht="15" hidden="1" x14ac:dyDescent="0.25"/>
    <row r="35" customFormat="1" ht="15" hidden="1" x14ac:dyDescent="0.25"/>
    <row r="36" customFormat="1" ht="15" hidden="1" x14ac:dyDescent="0.25"/>
    <row r="37" customFormat="1" ht="15" hidden="1" x14ac:dyDescent="0.25"/>
    <row r="38" customFormat="1" ht="15" hidden="1" x14ac:dyDescent="0.25"/>
    <row r="39" customFormat="1" ht="15" hidden="1" x14ac:dyDescent="0.25"/>
    <row r="40" customFormat="1" ht="15" hidden="1" x14ac:dyDescent="0.25"/>
    <row r="41" customFormat="1" ht="15" hidden="1" x14ac:dyDescent="0.25"/>
    <row r="42" customFormat="1" ht="15" hidden="1" x14ac:dyDescent="0.25"/>
    <row r="43" customFormat="1" ht="15" hidden="1" x14ac:dyDescent="0.25"/>
    <row r="44" customFormat="1" ht="15" hidden="1" x14ac:dyDescent="0.25"/>
    <row r="45" customFormat="1" ht="15" hidden="1" x14ac:dyDescent="0.25"/>
    <row r="46" customFormat="1" ht="15" hidden="1" x14ac:dyDescent="0.25"/>
    <row r="47" customFormat="1" ht="15" hidden="1" x14ac:dyDescent="0.25"/>
    <row r="48" customFormat="1" ht="15" hidden="1" x14ac:dyDescent="0.25"/>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x14ac:dyDescent="0.25"/>
    <row r="65" customFormat="1" ht="15" hidden="1" x14ac:dyDescent="0.25"/>
    <row r="66" customFormat="1" ht="15" hidden="1" x14ac:dyDescent="0.25"/>
    <row r="67" customFormat="1" ht="15" hidden="1" x14ac:dyDescent="0.25"/>
    <row r="68" customFormat="1" ht="15" hidden="1" x14ac:dyDescent="0.25"/>
    <row r="69" customFormat="1" ht="15" hidden="1" x14ac:dyDescent="0.25"/>
    <row r="70" customFormat="1" ht="15" hidden="1" x14ac:dyDescent="0.25"/>
    <row r="71" customFormat="1" ht="15" hidden="1" x14ac:dyDescent="0.25"/>
    <row r="72" customFormat="1" ht="15" hidden="1" x14ac:dyDescent="0.25"/>
    <row r="73" customFormat="1" ht="15" hidden="1" x14ac:dyDescent="0.25"/>
    <row r="74" customFormat="1" ht="15" hidden="1" x14ac:dyDescent="0.25"/>
    <row r="75" customFormat="1" ht="15" hidden="1" x14ac:dyDescent="0.25"/>
    <row r="76" customFormat="1" ht="15" hidden="1" x14ac:dyDescent="0.25"/>
    <row r="77" customFormat="1" ht="15" hidden="1" x14ac:dyDescent="0.25"/>
    <row r="78" customFormat="1" ht="15" hidden="1" x14ac:dyDescent="0.25"/>
    <row r="79" customFormat="1" ht="15" hidden="1" x14ac:dyDescent="0.25"/>
    <row r="80" customFormat="1" ht="15" hidden="1" x14ac:dyDescent="0.25"/>
    <row r="81" customFormat="1" ht="15" hidden="1" x14ac:dyDescent="0.25"/>
    <row r="82" customFormat="1" ht="15" hidden="1" x14ac:dyDescent="0.25"/>
    <row r="83" customFormat="1" ht="15" hidden="1" x14ac:dyDescent="0.25"/>
    <row r="84" customFormat="1" ht="15" hidden="1" x14ac:dyDescent="0.25"/>
    <row r="85" customFormat="1" ht="15" hidden="1" x14ac:dyDescent="0.25"/>
    <row r="86" customFormat="1" ht="15" hidden="1" x14ac:dyDescent="0.25"/>
    <row r="87" customFormat="1" ht="15" hidden="1" x14ac:dyDescent="0.25"/>
    <row r="88" customFormat="1" ht="15" hidden="1" x14ac:dyDescent="0.25"/>
    <row r="89" customFormat="1" ht="15" hidden="1" x14ac:dyDescent="0.25"/>
    <row r="90" customFormat="1" ht="15" hidden="1" x14ac:dyDescent="0.25"/>
    <row r="91" customFormat="1" ht="15" hidden="1" x14ac:dyDescent="0.25"/>
    <row r="92" customFormat="1" ht="15" hidden="1" x14ac:dyDescent="0.25"/>
    <row r="93" customFormat="1" ht="15" hidden="1" x14ac:dyDescent="0.25"/>
    <row r="94" customFormat="1" ht="15" hidden="1" x14ac:dyDescent="0.25"/>
    <row r="95" customFormat="1" ht="15" hidden="1" x14ac:dyDescent="0.25"/>
    <row r="96" customFormat="1" ht="15" hidden="1" x14ac:dyDescent="0.25"/>
    <row r="97" customFormat="1" ht="15" hidden="1" x14ac:dyDescent="0.25"/>
    <row r="98" customFormat="1" ht="15" hidden="1" x14ac:dyDescent="0.25"/>
    <row r="99" customFormat="1" ht="15" hidden="1" x14ac:dyDescent="0.25"/>
    <row r="100" customFormat="1" ht="15" hidden="1" x14ac:dyDescent="0.25"/>
    <row r="101" customFormat="1" ht="15" hidden="1" x14ac:dyDescent="0.25"/>
    <row r="102" customFormat="1" ht="15" hidden="1" x14ac:dyDescent="0.25"/>
    <row r="103" customFormat="1" ht="15" hidden="1" x14ac:dyDescent="0.25"/>
    <row r="104" customFormat="1" ht="15" hidden="1" x14ac:dyDescent="0.25"/>
    <row r="105" customFormat="1" ht="15" hidden="1" x14ac:dyDescent="0.25"/>
    <row r="106" customFormat="1" ht="15" hidden="1" x14ac:dyDescent="0.25"/>
    <row r="107" customFormat="1" ht="15" hidden="1" x14ac:dyDescent="0.25"/>
    <row r="108" customFormat="1" ht="15" hidden="1" x14ac:dyDescent="0.25"/>
    <row r="109" customFormat="1" ht="15" hidden="1" x14ac:dyDescent="0.25"/>
    <row r="110" customFormat="1" ht="15" hidden="1" x14ac:dyDescent="0.25"/>
    <row r="111" customFormat="1" ht="15" hidden="1" x14ac:dyDescent="0.25"/>
    <row r="112" customFormat="1" ht="15" hidden="1" x14ac:dyDescent="0.25"/>
    <row r="113" customFormat="1" ht="15" hidden="1" x14ac:dyDescent="0.25"/>
    <row r="114" customFormat="1" ht="15" hidden="1" x14ac:dyDescent="0.25"/>
    <row r="115" customFormat="1" ht="15" hidden="1" x14ac:dyDescent="0.25"/>
    <row r="116" customFormat="1" ht="15" hidden="1" x14ac:dyDescent="0.25"/>
    <row r="117" customFormat="1" ht="15" hidden="1" x14ac:dyDescent="0.25"/>
    <row r="118" customFormat="1" ht="15" hidden="1" x14ac:dyDescent="0.25"/>
    <row r="119" customFormat="1" ht="15" hidden="1" x14ac:dyDescent="0.25"/>
    <row r="120" customFormat="1" ht="15" hidden="1" x14ac:dyDescent="0.25"/>
    <row r="121" customFormat="1" ht="15" hidden="1" x14ac:dyDescent="0.25"/>
    <row r="122" customFormat="1" ht="15" hidden="1" x14ac:dyDescent="0.25"/>
    <row r="123" customFormat="1" ht="15" hidden="1" x14ac:dyDescent="0.25"/>
    <row r="124" customFormat="1" ht="15" hidden="1" x14ac:dyDescent="0.25"/>
    <row r="125" customFormat="1" ht="15" hidden="1" x14ac:dyDescent="0.25"/>
    <row r="126" customFormat="1" ht="15" hidden="1" x14ac:dyDescent="0.25"/>
    <row r="127" customFormat="1" ht="15" hidden="1" x14ac:dyDescent="0.25"/>
    <row r="128" customFormat="1" ht="15" hidden="1" x14ac:dyDescent="0.25"/>
    <row r="129" customFormat="1" ht="15" hidden="1" x14ac:dyDescent="0.25"/>
    <row r="130" customFormat="1" ht="15" hidden="1" x14ac:dyDescent="0.25"/>
    <row r="131" customFormat="1" ht="15" hidden="1" x14ac:dyDescent="0.25"/>
    <row r="132" customFormat="1" ht="15" hidden="1" x14ac:dyDescent="0.25"/>
    <row r="133" customFormat="1" ht="15" hidden="1" x14ac:dyDescent="0.25"/>
    <row r="134" customFormat="1" ht="15" hidden="1" x14ac:dyDescent="0.25"/>
    <row r="135" customFormat="1" ht="15" hidden="1" x14ac:dyDescent="0.25"/>
    <row r="136" customFormat="1" ht="15" hidden="1" x14ac:dyDescent="0.25"/>
    <row r="137" customFormat="1" ht="15" hidden="1" x14ac:dyDescent="0.25"/>
    <row r="138" customFormat="1" ht="15" hidden="1" x14ac:dyDescent="0.25"/>
    <row r="139" customFormat="1" ht="15" hidden="1" x14ac:dyDescent="0.25"/>
    <row r="140" customFormat="1" ht="15" hidden="1" x14ac:dyDescent="0.25"/>
    <row r="141" customFormat="1" ht="15" hidden="1" x14ac:dyDescent="0.25"/>
    <row r="142" customFormat="1" ht="15" hidden="1" x14ac:dyDescent="0.25"/>
    <row r="143" customFormat="1" ht="15" hidden="1" x14ac:dyDescent="0.25"/>
    <row r="144" customFormat="1" ht="15" hidden="1" x14ac:dyDescent="0.25"/>
    <row r="145" customFormat="1" ht="15" hidden="1" x14ac:dyDescent="0.25"/>
    <row r="146" customFormat="1" ht="15" hidden="1" x14ac:dyDescent="0.25"/>
    <row r="147" customFormat="1" ht="15" hidden="1" x14ac:dyDescent="0.25"/>
    <row r="148" customFormat="1" ht="15" hidden="1" x14ac:dyDescent="0.25"/>
    <row r="149" customFormat="1" ht="15" hidden="1" x14ac:dyDescent="0.25"/>
    <row r="150" customFormat="1" ht="15" hidden="1" x14ac:dyDescent="0.25"/>
    <row r="151" customFormat="1" ht="15" hidden="1" x14ac:dyDescent="0.25"/>
    <row r="152" customFormat="1" ht="15" hidden="1" x14ac:dyDescent="0.25"/>
    <row r="153" customFormat="1" ht="15" hidden="1" x14ac:dyDescent="0.25"/>
    <row r="154" customFormat="1" ht="15" hidden="1" x14ac:dyDescent="0.25"/>
    <row r="155" customFormat="1" ht="15" hidden="1" x14ac:dyDescent="0.25"/>
    <row r="156" customFormat="1" ht="15" hidden="1" x14ac:dyDescent="0.25"/>
    <row r="157" customFormat="1" ht="15" hidden="1" x14ac:dyDescent="0.25"/>
    <row r="158" customFormat="1" ht="15" hidden="1" x14ac:dyDescent="0.25"/>
    <row r="159" customFormat="1" ht="15" hidden="1" x14ac:dyDescent="0.25"/>
    <row r="160" customFormat="1" ht="15" hidden="1" x14ac:dyDescent="0.25"/>
    <row r="161" customFormat="1" ht="15" hidden="1" x14ac:dyDescent="0.25"/>
    <row r="162" customFormat="1" ht="15" hidden="1" x14ac:dyDescent="0.25"/>
    <row r="163" customFormat="1" ht="15" hidden="1" x14ac:dyDescent="0.25"/>
    <row r="164" customFormat="1" ht="15" hidden="1" x14ac:dyDescent="0.25"/>
    <row r="165" customFormat="1" ht="15" hidden="1" x14ac:dyDescent="0.25"/>
    <row r="166" customFormat="1" ht="15" hidden="1" x14ac:dyDescent="0.25"/>
    <row r="167" customFormat="1" ht="15" hidden="1" x14ac:dyDescent="0.25"/>
    <row r="168" customFormat="1" ht="15" hidden="1" x14ac:dyDescent="0.25"/>
    <row r="169" customFormat="1" ht="15" hidden="1" x14ac:dyDescent="0.25"/>
    <row r="170" customFormat="1" ht="15" hidden="1" x14ac:dyDescent="0.25"/>
    <row r="171" customFormat="1" ht="15" hidden="1" x14ac:dyDescent="0.25"/>
    <row r="172" customFormat="1" ht="15" hidden="1" x14ac:dyDescent="0.25"/>
    <row r="173" customFormat="1" ht="15" hidden="1" x14ac:dyDescent="0.25"/>
    <row r="174" customFormat="1" ht="15" hidden="1" x14ac:dyDescent="0.25"/>
    <row r="175" customFormat="1" ht="15" hidden="1" x14ac:dyDescent="0.25"/>
    <row r="176" customFormat="1" ht="15" hidden="1" x14ac:dyDescent="0.25"/>
    <row r="177" customFormat="1" ht="15" hidden="1" x14ac:dyDescent="0.25"/>
    <row r="178" customFormat="1" ht="15" hidden="1" x14ac:dyDescent="0.25"/>
    <row r="179" customFormat="1" ht="15" hidden="1" x14ac:dyDescent="0.25"/>
    <row r="180" customFormat="1" ht="15" hidden="1" x14ac:dyDescent="0.25"/>
    <row r="181" customFormat="1" ht="15" hidden="1" x14ac:dyDescent="0.25"/>
    <row r="182" customFormat="1" ht="15" hidden="1" x14ac:dyDescent="0.25"/>
    <row r="183" customFormat="1" ht="15" hidden="1" x14ac:dyDescent="0.25"/>
    <row r="184" customFormat="1" ht="15" hidden="1" x14ac:dyDescent="0.25"/>
    <row r="185" customFormat="1" ht="15" hidden="1" x14ac:dyDescent="0.25"/>
    <row r="186" customFormat="1" ht="15" hidden="1" x14ac:dyDescent="0.25"/>
    <row r="187" customFormat="1" ht="15" hidden="1" x14ac:dyDescent="0.25"/>
    <row r="188" customFormat="1" ht="15" hidden="1" x14ac:dyDescent="0.25"/>
    <row r="189" customFormat="1" ht="15" hidden="1" x14ac:dyDescent="0.25"/>
    <row r="190" customFormat="1" ht="15" hidden="1" x14ac:dyDescent="0.25"/>
    <row r="191" customFormat="1" ht="15" hidden="1" x14ac:dyDescent="0.25"/>
    <row r="192" customFormat="1" ht="15" hidden="1" x14ac:dyDescent="0.25"/>
    <row r="193" customFormat="1" ht="15" hidden="1" x14ac:dyDescent="0.25"/>
    <row r="194" customFormat="1" ht="15" hidden="1" x14ac:dyDescent="0.25"/>
    <row r="195" customFormat="1" ht="15" hidden="1" x14ac:dyDescent="0.25"/>
    <row r="196" customFormat="1" ht="15" hidden="1" x14ac:dyDescent="0.25"/>
    <row r="197" customFormat="1" ht="15" hidden="1" x14ac:dyDescent="0.25"/>
    <row r="198" customFormat="1" ht="15" hidden="1" x14ac:dyDescent="0.25"/>
    <row r="199" customFormat="1" ht="15" hidden="1" x14ac:dyDescent="0.25"/>
    <row r="200" customFormat="1" ht="15" hidden="1" x14ac:dyDescent="0.25"/>
    <row r="201" customFormat="1" ht="15" hidden="1" x14ac:dyDescent="0.25"/>
    <row r="202" customFormat="1" ht="15" hidden="1" x14ac:dyDescent="0.25"/>
    <row r="203" customFormat="1" ht="15" hidden="1" x14ac:dyDescent="0.25"/>
    <row r="204" customFormat="1" ht="15" hidden="1" x14ac:dyDescent="0.25"/>
    <row r="205" customFormat="1" ht="15" hidden="1" x14ac:dyDescent="0.25"/>
    <row r="206" customFormat="1" ht="15" hidden="1" x14ac:dyDescent="0.25"/>
    <row r="207" customFormat="1" ht="15" hidden="1" x14ac:dyDescent="0.25"/>
    <row r="208" customFormat="1" ht="15" hidden="1" x14ac:dyDescent="0.25"/>
    <row r="209" customFormat="1" ht="15" hidden="1" x14ac:dyDescent="0.25"/>
    <row r="210" customFormat="1" ht="15" hidden="1" x14ac:dyDescent="0.25"/>
    <row r="211" customFormat="1" ht="15" hidden="1" x14ac:dyDescent="0.25"/>
    <row r="212" customFormat="1" ht="15" hidden="1" x14ac:dyDescent="0.25"/>
    <row r="213" customFormat="1" ht="15" hidden="1" x14ac:dyDescent="0.25"/>
    <row r="214" customFormat="1" ht="15" hidden="1" x14ac:dyDescent="0.25"/>
    <row r="215" customFormat="1" ht="15" hidden="1" x14ac:dyDescent="0.25"/>
    <row r="216" customFormat="1" ht="15" hidden="1" x14ac:dyDescent="0.25"/>
    <row r="217" customFormat="1" ht="15" hidden="1" x14ac:dyDescent="0.25"/>
    <row r="218" customFormat="1" ht="15" hidden="1" x14ac:dyDescent="0.25"/>
    <row r="219" customFormat="1" ht="15" hidden="1" x14ac:dyDescent="0.25"/>
    <row r="220" customFormat="1" ht="15" hidden="1" x14ac:dyDescent="0.25"/>
    <row r="221" customFormat="1" ht="15" hidden="1" x14ac:dyDescent="0.25"/>
    <row r="222" customFormat="1" ht="15" hidden="1" x14ac:dyDescent="0.25"/>
    <row r="223" customFormat="1" ht="15" hidden="1" x14ac:dyDescent="0.25"/>
    <row r="224" customFormat="1" ht="15" hidden="1" x14ac:dyDescent="0.25"/>
    <row r="225" customFormat="1" ht="15" hidden="1" x14ac:dyDescent="0.25"/>
    <row r="226" customFormat="1" ht="15" hidden="1" x14ac:dyDescent="0.25"/>
    <row r="227" customFormat="1" ht="15" hidden="1" x14ac:dyDescent="0.25"/>
    <row r="228" customFormat="1" ht="15" hidden="1" x14ac:dyDescent="0.25"/>
    <row r="229" customFormat="1" ht="15" hidden="1" x14ac:dyDescent="0.25"/>
    <row r="230" customFormat="1" ht="15" hidden="1" x14ac:dyDescent="0.25"/>
    <row r="231" customFormat="1" ht="15" hidden="1" x14ac:dyDescent="0.25"/>
    <row r="232" customFormat="1" ht="15" hidden="1" x14ac:dyDescent="0.25"/>
    <row r="233" customFormat="1" ht="15" hidden="1" x14ac:dyDescent="0.25"/>
    <row r="234" customFormat="1" ht="15" hidden="1" x14ac:dyDescent="0.25"/>
    <row r="235" customFormat="1" ht="15" hidden="1" x14ac:dyDescent="0.25"/>
    <row r="236" customFormat="1" ht="15" hidden="1" x14ac:dyDescent="0.25"/>
    <row r="237" customFormat="1" ht="15" hidden="1" x14ac:dyDescent="0.25"/>
    <row r="238" customFormat="1" ht="15" hidden="1" x14ac:dyDescent="0.25"/>
    <row r="239" customFormat="1" ht="15" hidden="1" x14ac:dyDescent="0.25"/>
    <row r="240" customFormat="1" ht="15" hidden="1" x14ac:dyDescent="0.25"/>
    <row r="241" customFormat="1" ht="15" hidden="1" x14ac:dyDescent="0.25"/>
    <row r="242" customFormat="1" ht="15" hidden="1" x14ac:dyDescent="0.25"/>
    <row r="243" customFormat="1" ht="15" hidden="1" x14ac:dyDescent="0.25"/>
    <row r="244" customFormat="1" ht="15" hidden="1" x14ac:dyDescent="0.25"/>
    <row r="245" customFormat="1" ht="15" hidden="1" x14ac:dyDescent="0.25"/>
    <row r="246" customFormat="1" ht="15" hidden="1" x14ac:dyDescent="0.25"/>
    <row r="247" customFormat="1" ht="15" hidden="1" x14ac:dyDescent="0.25"/>
    <row r="248" customFormat="1" ht="15" hidden="1" x14ac:dyDescent="0.25"/>
    <row r="249" customFormat="1" ht="15" hidden="1" x14ac:dyDescent="0.25"/>
    <row r="250" customFormat="1" ht="15" hidden="1" x14ac:dyDescent="0.25"/>
    <row r="251" customFormat="1" ht="15" hidden="1" x14ac:dyDescent="0.25"/>
    <row r="252" customFormat="1" ht="15" hidden="1" x14ac:dyDescent="0.25"/>
    <row r="253" customFormat="1" ht="15" hidden="1" x14ac:dyDescent="0.25"/>
    <row r="254" customFormat="1" ht="15" hidden="1" x14ac:dyDescent="0.25"/>
    <row r="255" customFormat="1" ht="15" hidden="1" x14ac:dyDescent="0.25"/>
    <row r="256" customFormat="1" ht="15" hidden="1" x14ac:dyDescent="0.25"/>
    <row r="257" customFormat="1" ht="15" hidden="1" x14ac:dyDescent="0.25"/>
    <row r="258" customFormat="1" ht="15" hidden="1" x14ac:dyDescent="0.25"/>
    <row r="259" customFormat="1" ht="15" hidden="1" x14ac:dyDescent="0.25"/>
    <row r="260" customFormat="1" ht="15" hidden="1" x14ac:dyDescent="0.25"/>
    <row r="261" customFormat="1" ht="15" hidden="1" x14ac:dyDescent="0.25"/>
    <row r="262" customFormat="1" ht="15" hidden="1" x14ac:dyDescent="0.25"/>
    <row r="263" customFormat="1" ht="15" hidden="1" x14ac:dyDescent="0.25"/>
    <row r="264" customFormat="1" ht="15" hidden="1" x14ac:dyDescent="0.25"/>
    <row r="265" customFormat="1" ht="15" hidden="1" x14ac:dyDescent="0.25"/>
    <row r="266" customFormat="1" ht="15" hidden="1" x14ac:dyDescent="0.25"/>
    <row r="267" customFormat="1" ht="15" hidden="1" x14ac:dyDescent="0.25"/>
    <row r="268" customFormat="1" ht="15" hidden="1" x14ac:dyDescent="0.25"/>
    <row r="269" customFormat="1" ht="15" hidden="1" x14ac:dyDescent="0.25"/>
    <row r="270" customFormat="1" ht="15" hidden="1" x14ac:dyDescent="0.25"/>
    <row r="271" customFormat="1" ht="15" hidden="1" x14ac:dyDescent="0.25"/>
    <row r="272" customFormat="1" ht="15" hidden="1" x14ac:dyDescent="0.25"/>
    <row r="273" customFormat="1" ht="15" hidden="1" x14ac:dyDescent="0.25"/>
    <row r="274" customFormat="1" ht="15" hidden="1" x14ac:dyDescent="0.25"/>
    <row r="275" customFormat="1" ht="15" hidden="1" x14ac:dyDescent="0.25"/>
    <row r="276" customFormat="1" ht="15" hidden="1" x14ac:dyDescent="0.25"/>
    <row r="277" customFormat="1" ht="15" hidden="1" x14ac:dyDescent="0.25"/>
    <row r="278" customFormat="1" ht="15" hidden="1" x14ac:dyDescent="0.25"/>
    <row r="279" customFormat="1" ht="15" hidden="1" x14ac:dyDescent="0.25"/>
    <row r="280" customFormat="1" ht="15" hidden="1" x14ac:dyDescent="0.25"/>
    <row r="281" customFormat="1" ht="15" hidden="1" x14ac:dyDescent="0.25"/>
    <row r="282" customFormat="1" ht="15" hidden="1" x14ac:dyDescent="0.25"/>
    <row r="283" customFormat="1" ht="15" hidden="1" x14ac:dyDescent="0.25"/>
    <row r="284" customFormat="1" ht="15" hidden="1" x14ac:dyDescent="0.25"/>
    <row r="285" customFormat="1" ht="15" hidden="1" x14ac:dyDescent="0.25"/>
    <row r="286" customFormat="1" ht="15" hidden="1" x14ac:dyDescent="0.25"/>
    <row r="287" customFormat="1" ht="15" hidden="1" x14ac:dyDescent="0.25"/>
    <row r="288" customFormat="1" ht="15" hidden="1" x14ac:dyDescent="0.25"/>
    <row r="289" customFormat="1" ht="15" hidden="1" x14ac:dyDescent="0.25"/>
    <row r="290" customFormat="1" ht="15" hidden="1" x14ac:dyDescent="0.25"/>
    <row r="291" customFormat="1" ht="15" hidden="1" x14ac:dyDescent="0.25"/>
    <row r="292" customFormat="1" ht="15" hidden="1" x14ac:dyDescent="0.25"/>
    <row r="293" customFormat="1" ht="15" hidden="1" x14ac:dyDescent="0.25"/>
    <row r="294" customFormat="1" ht="15" hidden="1" x14ac:dyDescent="0.25"/>
    <row r="295" customFormat="1" ht="15" hidden="1" x14ac:dyDescent="0.25"/>
    <row r="296" customFormat="1" ht="15" hidden="1" x14ac:dyDescent="0.25"/>
    <row r="297" customFormat="1" ht="15" hidden="1" x14ac:dyDescent="0.25"/>
    <row r="298" customFormat="1" ht="15" hidden="1" x14ac:dyDescent="0.25"/>
    <row r="299" customFormat="1" ht="15" hidden="1" x14ac:dyDescent="0.25"/>
    <row r="300" customFormat="1" ht="15" hidden="1" x14ac:dyDescent="0.25"/>
    <row r="301" customFormat="1" ht="15" hidden="1" x14ac:dyDescent="0.25"/>
    <row r="302" customFormat="1" ht="15" hidden="1" x14ac:dyDescent="0.25"/>
    <row r="303" customFormat="1" ht="15" hidden="1" x14ac:dyDescent="0.25"/>
    <row r="304" customFormat="1" ht="15" hidden="1" x14ac:dyDescent="0.25"/>
    <row r="305" customFormat="1" ht="15" hidden="1" x14ac:dyDescent="0.25"/>
    <row r="306" customFormat="1" ht="15" hidden="1" x14ac:dyDescent="0.25"/>
    <row r="307" customFormat="1" ht="15" hidden="1" x14ac:dyDescent="0.25"/>
    <row r="308" customFormat="1" ht="15" hidden="1" x14ac:dyDescent="0.25"/>
    <row r="309" customFormat="1" ht="15" hidden="1" x14ac:dyDescent="0.25"/>
    <row r="310" customFormat="1" ht="15" hidden="1" x14ac:dyDescent="0.25"/>
    <row r="311" customFormat="1" ht="15" hidden="1" x14ac:dyDescent="0.25"/>
    <row r="312" customFormat="1" ht="15" hidden="1" x14ac:dyDescent="0.25"/>
    <row r="313" customFormat="1" ht="15" hidden="1" x14ac:dyDescent="0.25"/>
    <row r="314" customFormat="1" ht="15" hidden="1" x14ac:dyDescent="0.25"/>
    <row r="315" customFormat="1" ht="15" hidden="1" x14ac:dyDescent="0.25"/>
    <row r="316" customFormat="1" ht="15" hidden="1" x14ac:dyDescent="0.25"/>
    <row r="317" customFormat="1" ht="15" hidden="1" x14ac:dyDescent="0.25"/>
    <row r="318" customFormat="1" ht="15" hidden="1" x14ac:dyDescent="0.25"/>
    <row r="319" customFormat="1" ht="15" hidden="1" x14ac:dyDescent="0.25"/>
    <row r="320" customFormat="1" ht="15" hidden="1" x14ac:dyDescent="0.25"/>
    <row r="321" customFormat="1" ht="15" hidden="1" x14ac:dyDescent="0.25"/>
    <row r="322" customFormat="1" ht="15" hidden="1" x14ac:dyDescent="0.25"/>
    <row r="323" customFormat="1" ht="15" hidden="1" x14ac:dyDescent="0.25"/>
    <row r="324" customFormat="1" ht="15" hidden="1" x14ac:dyDescent="0.25"/>
    <row r="325" customFormat="1" ht="15" hidden="1" x14ac:dyDescent="0.25"/>
    <row r="326" customFormat="1" ht="15" hidden="1" x14ac:dyDescent="0.25"/>
    <row r="327" customFormat="1" ht="15" hidden="1" x14ac:dyDescent="0.25"/>
    <row r="328" customFormat="1" ht="15" hidden="1" x14ac:dyDescent="0.25"/>
    <row r="329" customFormat="1" ht="15" hidden="1" x14ac:dyDescent="0.25"/>
    <row r="330" customFormat="1" ht="15" hidden="1" x14ac:dyDescent="0.25"/>
    <row r="331" customFormat="1" ht="15" hidden="1" x14ac:dyDescent="0.25"/>
    <row r="332" customFormat="1" ht="15" hidden="1" x14ac:dyDescent="0.25"/>
    <row r="333" customFormat="1" ht="15" hidden="1" x14ac:dyDescent="0.25"/>
    <row r="334" customFormat="1" ht="15" hidden="1" x14ac:dyDescent="0.25"/>
    <row r="335" customFormat="1" ht="15" hidden="1" x14ac:dyDescent="0.25"/>
    <row r="336" customFormat="1" ht="15" hidden="1" x14ac:dyDescent="0.25"/>
    <row r="337" customFormat="1" ht="15" hidden="1" x14ac:dyDescent="0.25"/>
    <row r="338" customFormat="1" ht="15" hidden="1" x14ac:dyDescent="0.25"/>
    <row r="339" customFormat="1" ht="15" hidden="1" x14ac:dyDescent="0.25"/>
    <row r="340" customFormat="1" ht="15" hidden="1" x14ac:dyDescent="0.25"/>
    <row r="341" customFormat="1" ht="15" hidden="1" x14ac:dyDescent="0.25"/>
    <row r="342" customFormat="1" ht="15" hidden="1" x14ac:dyDescent="0.25"/>
    <row r="343" customFormat="1" ht="15" hidden="1" x14ac:dyDescent="0.25"/>
    <row r="344" customFormat="1" ht="15" hidden="1" x14ac:dyDescent="0.25"/>
    <row r="345" customFormat="1" ht="15" hidden="1" x14ac:dyDescent="0.25"/>
    <row r="346" customFormat="1" ht="15" hidden="1" x14ac:dyDescent="0.25"/>
    <row r="347" customFormat="1" ht="15" hidden="1" x14ac:dyDescent="0.25"/>
    <row r="348" customFormat="1" ht="15" hidden="1" x14ac:dyDescent="0.25"/>
    <row r="349" customFormat="1" ht="15" hidden="1" x14ac:dyDescent="0.25"/>
    <row r="350" customFormat="1" ht="15" hidden="1" x14ac:dyDescent="0.25"/>
    <row r="351" customFormat="1" ht="15" hidden="1" x14ac:dyDescent="0.25"/>
    <row r="352" customFormat="1" ht="15" hidden="1" x14ac:dyDescent="0.25"/>
    <row r="353" customFormat="1" ht="15" hidden="1" x14ac:dyDescent="0.25"/>
    <row r="354" customFormat="1" ht="15" hidden="1" x14ac:dyDescent="0.25"/>
    <row r="355" customFormat="1" ht="15" hidden="1" x14ac:dyDescent="0.25"/>
    <row r="356" customFormat="1" ht="15" hidden="1" x14ac:dyDescent="0.25"/>
    <row r="357" customFormat="1" ht="15" hidden="1" x14ac:dyDescent="0.25"/>
    <row r="358" customFormat="1" ht="15" hidden="1" x14ac:dyDescent="0.25"/>
    <row r="359" customFormat="1" ht="15" hidden="1" x14ac:dyDescent="0.25"/>
    <row r="360" customFormat="1" ht="15" hidden="1" x14ac:dyDescent="0.25"/>
    <row r="361" customFormat="1" ht="15" hidden="1" x14ac:dyDescent="0.25"/>
    <row r="362" customFormat="1" ht="15" hidden="1" x14ac:dyDescent="0.25"/>
    <row r="363" customFormat="1" ht="15" hidden="1" x14ac:dyDescent="0.25"/>
    <row r="364" customFormat="1" ht="15" hidden="1" x14ac:dyDescent="0.25"/>
    <row r="365" customFormat="1" ht="15" hidden="1" x14ac:dyDescent="0.25"/>
    <row r="366" customFormat="1" ht="15" hidden="1" x14ac:dyDescent="0.25"/>
    <row r="367" customFormat="1" ht="15" hidden="1" x14ac:dyDescent="0.25"/>
    <row r="368" customFormat="1" ht="15" hidden="1" x14ac:dyDescent="0.25"/>
    <row r="369" customFormat="1" ht="15" hidden="1" x14ac:dyDescent="0.25"/>
    <row r="370" customFormat="1" ht="15" hidden="1" x14ac:dyDescent="0.25"/>
    <row r="371" customFormat="1" ht="15" hidden="1" x14ac:dyDescent="0.25"/>
    <row r="372" customFormat="1" ht="15" hidden="1" x14ac:dyDescent="0.25"/>
    <row r="373" customFormat="1" ht="15" hidden="1" x14ac:dyDescent="0.25"/>
    <row r="374" customFormat="1" ht="15" hidden="1" x14ac:dyDescent="0.25"/>
    <row r="375" customFormat="1" ht="15" hidden="1" x14ac:dyDescent="0.25"/>
    <row r="376" customFormat="1" ht="15" hidden="1" x14ac:dyDescent="0.25"/>
    <row r="377" customFormat="1" ht="15" hidden="1" x14ac:dyDescent="0.25"/>
    <row r="378" customFormat="1" ht="15" hidden="1" x14ac:dyDescent="0.25"/>
    <row r="379" customFormat="1" ht="15" hidden="1" x14ac:dyDescent="0.25"/>
    <row r="380" customFormat="1" ht="15" hidden="1" x14ac:dyDescent="0.25"/>
    <row r="381" customFormat="1" ht="15" hidden="1" x14ac:dyDescent="0.25"/>
    <row r="382" customFormat="1" ht="15" hidden="1" x14ac:dyDescent="0.25"/>
    <row r="383" customFormat="1" ht="15" hidden="1" x14ac:dyDescent="0.25"/>
    <row r="384" customFormat="1" ht="15" hidden="1" x14ac:dyDescent="0.25"/>
    <row r="385" customFormat="1" ht="15" hidden="1" x14ac:dyDescent="0.25"/>
    <row r="386" customFormat="1" ht="15" hidden="1" x14ac:dyDescent="0.25"/>
    <row r="387" customFormat="1" ht="15" hidden="1" x14ac:dyDescent="0.25"/>
    <row r="388" customFormat="1" ht="15" hidden="1" x14ac:dyDescent="0.25"/>
    <row r="389" customFormat="1" ht="15" hidden="1" x14ac:dyDescent="0.25"/>
    <row r="390" customFormat="1" ht="15" hidden="1" x14ac:dyDescent="0.25"/>
    <row r="391" customFormat="1" ht="15" hidden="1" x14ac:dyDescent="0.25"/>
    <row r="392" customFormat="1" ht="15" hidden="1" x14ac:dyDescent="0.25"/>
    <row r="393" customFormat="1" ht="15" hidden="1" x14ac:dyDescent="0.25"/>
    <row r="394" customFormat="1" ht="15" hidden="1" x14ac:dyDescent="0.25"/>
    <row r="395" customFormat="1" ht="15" hidden="1" x14ac:dyDescent="0.25"/>
    <row r="396" customFormat="1" ht="15" hidden="1" x14ac:dyDescent="0.25"/>
    <row r="397" customFormat="1" ht="15" hidden="1" x14ac:dyDescent="0.25"/>
    <row r="398" customFormat="1" ht="15" hidden="1" x14ac:dyDescent="0.25"/>
    <row r="399" customFormat="1" ht="15" hidden="1" x14ac:dyDescent="0.25"/>
    <row r="400" customFormat="1" ht="15" hidden="1" x14ac:dyDescent="0.25"/>
    <row r="401" customFormat="1" ht="15" hidden="1" x14ac:dyDescent="0.25"/>
    <row r="402" customFormat="1" ht="15" hidden="1" x14ac:dyDescent="0.25"/>
    <row r="403" customFormat="1" ht="15" hidden="1" x14ac:dyDescent="0.25"/>
    <row r="404" customFormat="1" ht="15" hidden="1" x14ac:dyDescent="0.25"/>
    <row r="405" customFormat="1" ht="15" hidden="1" x14ac:dyDescent="0.25"/>
    <row r="406" customFormat="1" ht="15" hidden="1" x14ac:dyDescent="0.25"/>
    <row r="407" customFormat="1" ht="15" hidden="1" x14ac:dyDescent="0.25"/>
    <row r="408" customFormat="1" ht="15" hidden="1" x14ac:dyDescent="0.25"/>
    <row r="409" customFormat="1" ht="15" hidden="1" x14ac:dyDescent="0.25"/>
    <row r="410" customFormat="1" ht="15" hidden="1" x14ac:dyDescent="0.25"/>
    <row r="411" customFormat="1" ht="15" hidden="1" x14ac:dyDescent="0.25"/>
    <row r="412" customFormat="1" ht="15" hidden="1" x14ac:dyDescent="0.25"/>
    <row r="413" customFormat="1" ht="15" hidden="1" x14ac:dyDescent="0.25"/>
    <row r="414" customFormat="1" ht="15" hidden="1" x14ac:dyDescent="0.25"/>
    <row r="415" customFormat="1" ht="15" hidden="1" x14ac:dyDescent="0.25"/>
    <row r="416" customFormat="1" ht="15" hidden="1" x14ac:dyDescent="0.25"/>
    <row r="417" customFormat="1" ht="15" hidden="1" x14ac:dyDescent="0.25"/>
    <row r="418" customFormat="1" ht="15" hidden="1" x14ac:dyDescent="0.25"/>
    <row r="419" customFormat="1" ht="15" hidden="1" x14ac:dyDescent="0.25"/>
    <row r="420" customFormat="1" ht="15" hidden="1" x14ac:dyDescent="0.25"/>
    <row r="421" customFormat="1" ht="15" hidden="1" x14ac:dyDescent="0.25"/>
    <row r="422" customFormat="1" ht="15" hidden="1" x14ac:dyDescent="0.25"/>
    <row r="423" customFormat="1" ht="15" hidden="1" x14ac:dyDescent="0.25"/>
    <row r="424" customFormat="1" ht="15" hidden="1" x14ac:dyDescent="0.25"/>
    <row r="425" customFormat="1" ht="15" hidden="1" x14ac:dyDescent="0.25"/>
    <row r="426" customFormat="1" ht="15" hidden="1" x14ac:dyDescent="0.25"/>
    <row r="427" customFormat="1" ht="15" hidden="1" x14ac:dyDescent="0.25"/>
    <row r="428" customFormat="1" ht="15" hidden="1" x14ac:dyDescent="0.25"/>
    <row r="429" customFormat="1" ht="15" hidden="1" x14ac:dyDescent="0.25"/>
    <row r="430" customFormat="1" ht="15" hidden="1" x14ac:dyDescent="0.25"/>
    <row r="431" customFormat="1" ht="15" hidden="1" x14ac:dyDescent="0.25"/>
    <row r="432" customFormat="1" ht="15" hidden="1" x14ac:dyDescent="0.25"/>
    <row r="433" customFormat="1" ht="15" hidden="1" x14ac:dyDescent="0.25"/>
    <row r="434" customFormat="1" ht="15" hidden="1" x14ac:dyDescent="0.25"/>
    <row r="435" customFormat="1" ht="15" hidden="1" x14ac:dyDescent="0.25"/>
    <row r="436" customFormat="1" ht="15" hidden="1" x14ac:dyDescent="0.25"/>
    <row r="437" customFormat="1" ht="15" hidden="1" x14ac:dyDescent="0.25"/>
    <row r="438" customFormat="1" ht="15" hidden="1" x14ac:dyDescent="0.25"/>
    <row r="439" customFormat="1" ht="15" hidden="1" x14ac:dyDescent="0.25"/>
    <row r="440" customFormat="1" ht="15" hidden="1" x14ac:dyDescent="0.25"/>
    <row r="441" customFormat="1" ht="15" hidden="1" x14ac:dyDescent="0.25"/>
    <row r="442" customFormat="1" ht="15" hidden="1" x14ac:dyDescent="0.25"/>
    <row r="443" customFormat="1" ht="15" hidden="1" x14ac:dyDescent="0.25"/>
    <row r="444" customFormat="1" ht="15" hidden="1" x14ac:dyDescent="0.25"/>
    <row r="445" customFormat="1" ht="15" hidden="1" x14ac:dyDescent="0.25"/>
    <row r="446" customFormat="1" ht="15" hidden="1" x14ac:dyDescent="0.25"/>
    <row r="447" customFormat="1" ht="15" hidden="1" x14ac:dyDescent="0.25"/>
    <row r="448" customFormat="1" ht="15" hidden="1" x14ac:dyDescent="0.25"/>
    <row r="449" customFormat="1" ht="15" hidden="1" x14ac:dyDescent="0.25"/>
    <row r="450" customFormat="1" ht="15" hidden="1" x14ac:dyDescent="0.25"/>
    <row r="451" customFormat="1" ht="15" hidden="1" x14ac:dyDescent="0.25"/>
    <row r="452" customFormat="1" ht="15" hidden="1" x14ac:dyDescent="0.25"/>
    <row r="453" customFormat="1" ht="15" hidden="1" x14ac:dyDescent="0.25"/>
    <row r="454" customFormat="1" ht="15" hidden="1" x14ac:dyDescent="0.25"/>
    <row r="455" customFormat="1" ht="15" hidden="1" x14ac:dyDescent="0.25"/>
    <row r="456" customFormat="1" ht="15" hidden="1" x14ac:dyDescent="0.25"/>
    <row r="457" customFormat="1" ht="15" hidden="1" x14ac:dyDescent="0.25"/>
    <row r="458" customFormat="1" ht="15" hidden="1" x14ac:dyDescent="0.25"/>
    <row r="459" customFormat="1" ht="15" hidden="1" x14ac:dyDescent="0.25"/>
    <row r="460" customFormat="1" ht="15" hidden="1" x14ac:dyDescent="0.25"/>
    <row r="461" customFormat="1" ht="15" hidden="1" x14ac:dyDescent="0.25"/>
    <row r="462" customFormat="1" ht="15" hidden="1" x14ac:dyDescent="0.25"/>
    <row r="463" customFormat="1" ht="15" hidden="1" x14ac:dyDescent="0.25"/>
    <row r="464" customFormat="1" ht="15" hidden="1" x14ac:dyDescent="0.25"/>
    <row r="465" customFormat="1" ht="15" hidden="1" x14ac:dyDescent="0.25"/>
    <row r="466" customFormat="1" ht="15" hidden="1" x14ac:dyDescent="0.25"/>
    <row r="467" customFormat="1" ht="15" hidden="1" x14ac:dyDescent="0.25"/>
    <row r="468" customFormat="1" ht="15" hidden="1" x14ac:dyDescent="0.25"/>
    <row r="469" customFormat="1" ht="15" hidden="1" x14ac:dyDescent="0.25"/>
    <row r="470" customFormat="1" ht="15" hidden="1" x14ac:dyDescent="0.25"/>
    <row r="471" customFormat="1" ht="15" hidden="1" x14ac:dyDescent="0.25"/>
    <row r="472" customFormat="1" ht="15" hidden="1" x14ac:dyDescent="0.25"/>
    <row r="473" customFormat="1" ht="15" hidden="1" x14ac:dyDescent="0.25"/>
    <row r="474" customFormat="1" ht="15" hidden="1" x14ac:dyDescent="0.25"/>
    <row r="475" customFormat="1" ht="15" hidden="1" x14ac:dyDescent="0.25"/>
    <row r="476" customFormat="1" ht="15" hidden="1" x14ac:dyDescent="0.25"/>
    <row r="477" customFormat="1" ht="15" hidden="1" x14ac:dyDescent="0.25"/>
    <row r="478" customFormat="1" ht="15" hidden="1" x14ac:dyDescent="0.25"/>
    <row r="479" customFormat="1" ht="15" hidden="1" x14ac:dyDescent="0.25"/>
    <row r="480" customFormat="1" ht="15" hidden="1" x14ac:dyDescent="0.25"/>
    <row r="481" customFormat="1" ht="15" hidden="1" x14ac:dyDescent="0.25"/>
    <row r="482" customFormat="1" ht="15" hidden="1" x14ac:dyDescent="0.25"/>
    <row r="483" customFormat="1" ht="15" hidden="1" x14ac:dyDescent="0.25"/>
    <row r="484" customFormat="1" ht="15" hidden="1" x14ac:dyDescent="0.25"/>
    <row r="485" customFormat="1" ht="15" hidden="1" x14ac:dyDescent="0.25"/>
    <row r="486" customFormat="1" ht="15" hidden="1" x14ac:dyDescent="0.25"/>
    <row r="487" customFormat="1" ht="15" hidden="1" x14ac:dyDescent="0.25"/>
    <row r="488" customFormat="1" ht="15" hidden="1" x14ac:dyDescent="0.25"/>
    <row r="489" customFormat="1" ht="15" hidden="1" x14ac:dyDescent="0.25"/>
    <row r="490" customFormat="1" ht="15" hidden="1" x14ac:dyDescent="0.25"/>
    <row r="491" customFormat="1" ht="15" hidden="1" x14ac:dyDescent="0.25"/>
    <row r="492" customFormat="1" ht="15" hidden="1" x14ac:dyDescent="0.25"/>
    <row r="493" customFormat="1" ht="15" hidden="1" x14ac:dyDescent="0.25"/>
    <row r="494" customFormat="1" ht="15" hidden="1" x14ac:dyDescent="0.25"/>
    <row r="495" customFormat="1" ht="15" hidden="1" x14ac:dyDescent="0.25"/>
    <row r="496" customFormat="1" ht="15" hidden="1" x14ac:dyDescent="0.25"/>
    <row r="497" customFormat="1" ht="15" hidden="1" x14ac:dyDescent="0.25"/>
    <row r="498" customFormat="1" ht="15" hidden="1" x14ac:dyDescent="0.25"/>
    <row r="499" customFormat="1" ht="15" hidden="1" x14ac:dyDescent="0.25"/>
    <row r="500" customFormat="1" ht="15" hidden="1" x14ac:dyDescent="0.25"/>
    <row r="501" customFormat="1" ht="15" hidden="1" x14ac:dyDescent="0.25"/>
    <row r="502" customFormat="1" ht="15" hidden="1" x14ac:dyDescent="0.25"/>
    <row r="503" customFormat="1" ht="15" hidden="1" x14ac:dyDescent="0.25"/>
    <row r="504" customFormat="1" ht="15" hidden="1" x14ac:dyDescent="0.25"/>
    <row r="505" customFormat="1" ht="15" hidden="1" x14ac:dyDescent="0.25"/>
    <row r="506" customFormat="1" ht="15" hidden="1" x14ac:dyDescent="0.25"/>
    <row r="507" customFormat="1" ht="15" hidden="1" x14ac:dyDescent="0.25"/>
    <row r="508" customFormat="1" ht="15" hidden="1" x14ac:dyDescent="0.25"/>
    <row r="509" customFormat="1" ht="15" hidden="1" x14ac:dyDescent="0.25"/>
    <row r="510" customFormat="1" ht="15" hidden="1" x14ac:dyDescent="0.25"/>
    <row r="511" customFormat="1" ht="15" hidden="1" x14ac:dyDescent="0.25"/>
    <row r="512" customFormat="1" ht="15" hidden="1" x14ac:dyDescent="0.25"/>
    <row r="513" customFormat="1" ht="15" hidden="1" x14ac:dyDescent="0.25"/>
    <row r="514" customFormat="1" ht="15" hidden="1" x14ac:dyDescent="0.25"/>
    <row r="515" customFormat="1" ht="15" hidden="1" x14ac:dyDescent="0.25"/>
    <row r="516" customFormat="1" ht="15" hidden="1" x14ac:dyDescent="0.25"/>
    <row r="517" customFormat="1" ht="15" hidden="1" x14ac:dyDescent="0.25"/>
    <row r="518" customFormat="1" ht="15" hidden="1" x14ac:dyDescent="0.25"/>
    <row r="519" customFormat="1" ht="15" hidden="1" x14ac:dyDescent="0.25"/>
    <row r="520" customFormat="1" ht="15" hidden="1" x14ac:dyDescent="0.25"/>
    <row r="521" customFormat="1" ht="15" hidden="1" x14ac:dyDescent="0.25"/>
    <row r="522" customFormat="1" ht="15" hidden="1" x14ac:dyDescent="0.25"/>
    <row r="523" customFormat="1" ht="15" hidden="1" x14ac:dyDescent="0.25"/>
    <row r="524" customFormat="1" ht="15" hidden="1" x14ac:dyDescent="0.25"/>
    <row r="525" customFormat="1" ht="15" hidden="1" x14ac:dyDescent="0.25"/>
    <row r="526" customFormat="1" ht="15" hidden="1" x14ac:dyDescent="0.25"/>
    <row r="527" customFormat="1" ht="15" hidden="1" x14ac:dyDescent="0.25"/>
    <row r="528" customFormat="1" ht="15" hidden="1" x14ac:dyDescent="0.25"/>
    <row r="529" customFormat="1" ht="15" hidden="1" x14ac:dyDescent="0.25"/>
    <row r="530" customFormat="1" ht="15" hidden="1" x14ac:dyDescent="0.25"/>
    <row r="531" customFormat="1" ht="15" hidden="1" x14ac:dyDescent="0.25"/>
    <row r="532" customFormat="1" ht="15" hidden="1" x14ac:dyDescent="0.25"/>
    <row r="533" customFormat="1" ht="15" hidden="1" x14ac:dyDescent="0.25"/>
    <row r="534" customFormat="1" ht="15" hidden="1" x14ac:dyDescent="0.25"/>
    <row r="535" customFormat="1" ht="15" hidden="1" x14ac:dyDescent="0.25"/>
    <row r="536" customFormat="1" ht="15" hidden="1" x14ac:dyDescent="0.25"/>
    <row r="537" customFormat="1" ht="15" hidden="1" x14ac:dyDescent="0.25"/>
    <row r="538" customFormat="1" ht="15" hidden="1" x14ac:dyDescent="0.25"/>
    <row r="539" customFormat="1" ht="15" hidden="1" x14ac:dyDescent="0.25"/>
    <row r="540" customFormat="1" ht="15" hidden="1" x14ac:dyDescent="0.25"/>
    <row r="541" customFormat="1" ht="15" hidden="1" x14ac:dyDescent="0.25"/>
    <row r="542" customFormat="1" ht="15" hidden="1" x14ac:dyDescent="0.25"/>
    <row r="543" customFormat="1" ht="15" hidden="1" x14ac:dyDescent="0.25"/>
    <row r="544" customFormat="1" ht="15" hidden="1" x14ac:dyDescent="0.25"/>
    <row r="545" customFormat="1" ht="15" hidden="1" x14ac:dyDescent="0.25"/>
    <row r="546" customFormat="1" ht="15" hidden="1" x14ac:dyDescent="0.25"/>
    <row r="547" customFormat="1" ht="15" hidden="1" x14ac:dyDescent="0.25"/>
    <row r="548" customFormat="1" ht="15" hidden="1" x14ac:dyDescent="0.25"/>
    <row r="549" customFormat="1" ht="15" hidden="1" x14ac:dyDescent="0.25"/>
    <row r="550" customFormat="1" ht="15" hidden="1" x14ac:dyDescent="0.25"/>
    <row r="551" customFormat="1" ht="15" hidden="1" x14ac:dyDescent="0.25"/>
    <row r="552" customFormat="1" ht="15" hidden="1" x14ac:dyDescent="0.25"/>
    <row r="553" customFormat="1" ht="15" hidden="1" x14ac:dyDescent="0.25"/>
    <row r="554" customFormat="1" ht="15" hidden="1" x14ac:dyDescent="0.25"/>
    <row r="555" customFormat="1" ht="15" hidden="1" x14ac:dyDescent="0.25"/>
    <row r="556" customFormat="1" ht="15" hidden="1" x14ac:dyDescent="0.25"/>
    <row r="557" customFormat="1" ht="15" hidden="1" x14ac:dyDescent="0.25"/>
    <row r="558" customFormat="1" ht="15" hidden="1" x14ac:dyDescent="0.25"/>
    <row r="559" customFormat="1" ht="15" hidden="1" x14ac:dyDescent="0.25"/>
    <row r="560" customFormat="1" ht="15" hidden="1" x14ac:dyDescent="0.25"/>
    <row r="561" customFormat="1" ht="15" hidden="1" x14ac:dyDescent="0.25"/>
    <row r="562" customFormat="1" ht="15" hidden="1" x14ac:dyDescent="0.25"/>
    <row r="563" customFormat="1" ht="15" hidden="1" x14ac:dyDescent="0.25"/>
    <row r="564" customFormat="1" ht="15" hidden="1" x14ac:dyDescent="0.25"/>
    <row r="565" customFormat="1" ht="15" hidden="1" x14ac:dyDescent="0.25"/>
    <row r="566" customFormat="1" ht="15" hidden="1" x14ac:dyDescent="0.25"/>
    <row r="567" customFormat="1" ht="15" hidden="1" x14ac:dyDescent="0.25"/>
    <row r="568" customFormat="1" ht="15" hidden="1" x14ac:dyDescent="0.25"/>
    <row r="569" customFormat="1" ht="15" hidden="1" x14ac:dyDescent="0.25"/>
    <row r="570" customFormat="1" ht="15" hidden="1" x14ac:dyDescent="0.25"/>
    <row r="571" customFormat="1" ht="15" hidden="1" x14ac:dyDescent="0.25"/>
    <row r="572" customFormat="1" ht="15" hidden="1" x14ac:dyDescent="0.25"/>
    <row r="573" customFormat="1" ht="15" hidden="1" x14ac:dyDescent="0.25"/>
    <row r="574" customFormat="1" ht="15" hidden="1" x14ac:dyDescent="0.25"/>
    <row r="575" customFormat="1" ht="15" hidden="1" x14ac:dyDescent="0.25"/>
    <row r="576" customFormat="1" ht="15" hidden="1" x14ac:dyDescent="0.25"/>
    <row r="577" customFormat="1" ht="15" hidden="1" x14ac:dyDescent="0.25"/>
    <row r="578" customFormat="1" ht="15" hidden="1" x14ac:dyDescent="0.25"/>
    <row r="579" customFormat="1" ht="15" hidden="1" x14ac:dyDescent="0.25"/>
    <row r="580" customFormat="1" ht="15" hidden="1" x14ac:dyDescent="0.25"/>
    <row r="581" customFormat="1" ht="15" hidden="1" x14ac:dyDescent="0.25"/>
    <row r="582" customFormat="1" ht="15" hidden="1" x14ac:dyDescent="0.25"/>
    <row r="583" customFormat="1" ht="15" hidden="1" x14ac:dyDescent="0.25"/>
    <row r="584" customFormat="1" ht="15" hidden="1" x14ac:dyDescent="0.25"/>
    <row r="585" customFormat="1" ht="15" hidden="1" x14ac:dyDescent="0.25"/>
    <row r="586" customFormat="1" ht="15" hidden="1" x14ac:dyDescent="0.25"/>
    <row r="587" customFormat="1" ht="15" hidden="1" x14ac:dyDescent="0.25"/>
    <row r="588" customFormat="1" ht="15" hidden="1" x14ac:dyDescent="0.25"/>
    <row r="589" customFormat="1" ht="15" hidden="1" x14ac:dyDescent="0.25"/>
    <row r="590" customFormat="1" ht="15" hidden="1" x14ac:dyDescent="0.25"/>
    <row r="591" customFormat="1" ht="15" hidden="1" x14ac:dyDescent="0.25"/>
    <row r="592" customFormat="1" ht="15" hidden="1" x14ac:dyDescent="0.25"/>
    <row r="593" customFormat="1" ht="15" hidden="1" x14ac:dyDescent="0.25"/>
    <row r="594" customFormat="1" ht="15" hidden="1" x14ac:dyDescent="0.25"/>
    <row r="595" customFormat="1" ht="15" hidden="1" x14ac:dyDescent="0.25"/>
    <row r="596" customFormat="1" ht="15" hidden="1" x14ac:dyDescent="0.25"/>
    <row r="597" customFormat="1" ht="15" hidden="1" x14ac:dyDescent="0.25"/>
    <row r="598" customFormat="1" ht="15" hidden="1" x14ac:dyDescent="0.25"/>
    <row r="599" customFormat="1" ht="15" hidden="1" x14ac:dyDescent="0.25"/>
    <row r="600" customFormat="1" ht="15" hidden="1" x14ac:dyDescent="0.25"/>
    <row r="601" customFormat="1" ht="15" hidden="1" x14ac:dyDescent="0.25"/>
    <row r="602" customFormat="1" ht="15" hidden="1" x14ac:dyDescent="0.25"/>
    <row r="603" customFormat="1" ht="15" hidden="1" x14ac:dyDescent="0.25"/>
    <row r="604" customFormat="1" ht="15" hidden="1" x14ac:dyDescent="0.25"/>
    <row r="605" customFormat="1" ht="15" hidden="1" x14ac:dyDescent="0.25"/>
    <row r="606" customFormat="1" ht="15" hidden="1" x14ac:dyDescent="0.25"/>
    <row r="607" customFormat="1" ht="15" hidden="1" x14ac:dyDescent="0.25"/>
    <row r="608" customFormat="1" ht="15" hidden="1" x14ac:dyDescent="0.25"/>
    <row r="609" customFormat="1" ht="15" hidden="1" x14ac:dyDescent="0.25"/>
    <row r="610" customFormat="1" ht="15" hidden="1" x14ac:dyDescent="0.25"/>
    <row r="611" customFormat="1" ht="15" hidden="1" x14ac:dyDescent="0.25"/>
    <row r="612" customFormat="1" ht="15" hidden="1" x14ac:dyDescent="0.25"/>
    <row r="613" customFormat="1" ht="15" hidden="1" x14ac:dyDescent="0.25"/>
    <row r="614" customFormat="1" ht="15" hidden="1" x14ac:dyDescent="0.25"/>
    <row r="615" customFormat="1" ht="15" hidden="1" x14ac:dyDescent="0.25"/>
    <row r="616" customFormat="1" ht="15" hidden="1" x14ac:dyDescent="0.25"/>
    <row r="617" customFormat="1" ht="15" hidden="1" x14ac:dyDescent="0.25"/>
    <row r="618" customFormat="1" ht="15" hidden="1" x14ac:dyDescent="0.25"/>
    <row r="619" customFormat="1" ht="15" hidden="1" x14ac:dyDescent="0.25"/>
    <row r="620" customFormat="1" ht="15" hidden="1" x14ac:dyDescent="0.25"/>
    <row r="621" customFormat="1" ht="15" hidden="1" x14ac:dyDescent="0.25"/>
    <row r="622" customFormat="1" ht="15" hidden="1" x14ac:dyDescent="0.25"/>
    <row r="623" customFormat="1" ht="15" hidden="1" x14ac:dyDescent="0.25"/>
    <row r="624" customFormat="1" ht="15" hidden="1" x14ac:dyDescent="0.25"/>
    <row r="625" customFormat="1" ht="15" hidden="1" x14ac:dyDescent="0.25"/>
    <row r="626" customFormat="1" ht="15" hidden="1" x14ac:dyDescent="0.25"/>
    <row r="627" customFormat="1" ht="15" hidden="1" x14ac:dyDescent="0.25"/>
    <row r="628" customFormat="1" ht="15" hidden="1" x14ac:dyDescent="0.25"/>
    <row r="629" customFormat="1" ht="15" hidden="1" x14ac:dyDescent="0.25"/>
    <row r="630" customFormat="1" ht="15" hidden="1" x14ac:dyDescent="0.25"/>
    <row r="631" customFormat="1" ht="15" hidden="1" x14ac:dyDescent="0.25"/>
    <row r="632" customFormat="1" ht="15" hidden="1" x14ac:dyDescent="0.25"/>
    <row r="633" customFormat="1" ht="15" hidden="1" x14ac:dyDescent="0.25"/>
    <row r="634" customFormat="1" ht="15" hidden="1" x14ac:dyDescent="0.25"/>
    <row r="635" customFormat="1" ht="15" hidden="1" x14ac:dyDescent="0.25"/>
    <row r="636" customFormat="1" ht="15" hidden="1" x14ac:dyDescent="0.25"/>
    <row r="637" customFormat="1" ht="15" hidden="1" x14ac:dyDescent="0.25"/>
    <row r="638" customFormat="1" ht="15" hidden="1" x14ac:dyDescent="0.25"/>
    <row r="639" customFormat="1" ht="15" hidden="1" x14ac:dyDescent="0.25"/>
    <row r="640" customFormat="1" ht="15" hidden="1" x14ac:dyDescent="0.25"/>
    <row r="641" customFormat="1" ht="15" hidden="1" x14ac:dyDescent="0.25"/>
    <row r="642" customFormat="1" ht="15" hidden="1" x14ac:dyDescent="0.25"/>
    <row r="643" customFormat="1" ht="15" hidden="1" x14ac:dyDescent="0.25"/>
    <row r="644" customFormat="1" ht="15" hidden="1" x14ac:dyDescent="0.25"/>
    <row r="645" customFormat="1" ht="15" hidden="1" x14ac:dyDescent="0.25"/>
    <row r="646" customFormat="1" ht="15" hidden="1" x14ac:dyDescent="0.25"/>
    <row r="647" customFormat="1" ht="15" hidden="1" x14ac:dyDescent="0.25"/>
    <row r="648" customFormat="1" ht="15" hidden="1" x14ac:dyDescent="0.25"/>
    <row r="649" customFormat="1" ht="15" hidden="1" x14ac:dyDescent="0.25"/>
    <row r="650" customFormat="1" ht="15" hidden="1" x14ac:dyDescent="0.25"/>
    <row r="651" customFormat="1" ht="15" hidden="1" x14ac:dyDescent="0.25"/>
    <row r="652" customFormat="1" ht="15" hidden="1" x14ac:dyDescent="0.25"/>
    <row r="653" customFormat="1" ht="15" hidden="1" x14ac:dyDescent="0.25"/>
    <row r="654" customFormat="1" ht="15" hidden="1" x14ac:dyDescent="0.25"/>
    <row r="655" customFormat="1" ht="15" hidden="1" x14ac:dyDescent="0.25"/>
    <row r="656" customFormat="1" ht="15" hidden="1" x14ac:dyDescent="0.25"/>
    <row r="657" customFormat="1" ht="15" hidden="1" x14ac:dyDescent="0.25"/>
    <row r="658" customFormat="1" ht="15" hidden="1" x14ac:dyDescent="0.25"/>
    <row r="659" customFormat="1" ht="15" hidden="1" x14ac:dyDescent="0.25"/>
    <row r="660" customFormat="1" ht="15" hidden="1" x14ac:dyDescent="0.25"/>
    <row r="661" customFormat="1" ht="15" hidden="1" x14ac:dyDescent="0.25"/>
    <row r="662" customFormat="1" ht="15" hidden="1" x14ac:dyDescent="0.25"/>
    <row r="663" customFormat="1" ht="15" hidden="1" x14ac:dyDescent="0.25"/>
    <row r="664" customFormat="1" ht="15" hidden="1" x14ac:dyDescent="0.25"/>
    <row r="665" customFormat="1" ht="15" hidden="1" x14ac:dyDescent="0.25"/>
    <row r="666" customFormat="1" ht="15" hidden="1" x14ac:dyDescent="0.25"/>
    <row r="667" customFormat="1" ht="15" hidden="1" x14ac:dyDescent="0.25"/>
    <row r="668" customFormat="1" ht="15" hidden="1" x14ac:dyDescent="0.25"/>
    <row r="669" customFormat="1" ht="15" hidden="1" x14ac:dyDescent="0.25"/>
    <row r="670" customFormat="1" ht="15" hidden="1" x14ac:dyDescent="0.25"/>
    <row r="671" customFormat="1" ht="15" hidden="1" x14ac:dyDescent="0.25"/>
    <row r="672" customFormat="1" ht="15" hidden="1" x14ac:dyDescent="0.25"/>
    <row r="673" customFormat="1" ht="15" hidden="1" x14ac:dyDescent="0.25"/>
    <row r="674" customFormat="1" ht="15" hidden="1" x14ac:dyDescent="0.25"/>
    <row r="675" customFormat="1" ht="15" hidden="1" x14ac:dyDescent="0.25"/>
    <row r="676" customFormat="1" ht="15" hidden="1" x14ac:dyDescent="0.25"/>
    <row r="677" customFormat="1" ht="15" hidden="1" x14ac:dyDescent="0.25"/>
    <row r="678" customFormat="1" ht="15" hidden="1" x14ac:dyDescent="0.25"/>
    <row r="679" customFormat="1" ht="15" hidden="1" x14ac:dyDescent="0.25"/>
    <row r="680" customFormat="1" ht="15" hidden="1" x14ac:dyDescent="0.25"/>
    <row r="681" customFormat="1" ht="15" hidden="1" x14ac:dyDescent="0.25"/>
    <row r="682" customFormat="1" ht="15" hidden="1" x14ac:dyDescent="0.25"/>
    <row r="683" customFormat="1" ht="15" hidden="1" x14ac:dyDescent="0.25"/>
    <row r="684" customFormat="1" ht="15" hidden="1" x14ac:dyDescent="0.25"/>
    <row r="685" customFormat="1" ht="15" hidden="1" x14ac:dyDescent="0.25"/>
    <row r="686" customFormat="1" ht="15" hidden="1" x14ac:dyDescent="0.25"/>
    <row r="687" customFormat="1" ht="15" hidden="1" x14ac:dyDescent="0.25"/>
    <row r="688" customFormat="1" ht="15" hidden="1" x14ac:dyDescent="0.25"/>
    <row r="689" customFormat="1" ht="15" hidden="1" x14ac:dyDescent="0.25"/>
    <row r="690" customFormat="1" ht="15" hidden="1" x14ac:dyDescent="0.25"/>
    <row r="691" customFormat="1" ht="15" hidden="1" x14ac:dyDescent="0.25"/>
    <row r="692" customFormat="1" ht="15" hidden="1" x14ac:dyDescent="0.25"/>
    <row r="693" customFormat="1" ht="15" hidden="1" x14ac:dyDescent="0.25"/>
    <row r="694" customFormat="1" ht="15" hidden="1" x14ac:dyDescent="0.25"/>
    <row r="695" customFormat="1" ht="15" hidden="1" x14ac:dyDescent="0.25"/>
    <row r="696" customFormat="1" ht="15" hidden="1" x14ac:dyDescent="0.25"/>
    <row r="697" customFormat="1" ht="15" hidden="1" x14ac:dyDescent="0.25"/>
    <row r="698" customFormat="1" ht="15" hidden="1" x14ac:dyDescent="0.25"/>
    <row r="699" customFormat="1" ht="15" hidden="1" x14ac:dyDescent="0.25"/>
    <row r="700" customFormat="1" ht="15" hidden="1" x14ac:dyDescent="0.25"/>
    <row r="701" customFormat="1" ht="15" hidden="1" x14ac:dyDescent="0.25"/>
    <row r="702" customFormat="1" ht="15" hidden="1" x14ac:dyDescent="0.25"/>
    <row r="703" customFormat="1" ht="15" hidden="1" x14ac:dyDescent="0.25"/>
    <row r="704" customFormat="1" ht="15" hidden="1" x14ac:dyDescent="0.25"/>
    <row r="705" customFormat="1" ht="15" hidden="1" x14ac:dyDescent="0.25"/>
    <row r="706" customFormat="1" ht="15" hidden="1" x14ac:dyDescent="0.25"/>
    <row r="707" customFormat="1" ht="15" hidden="1" x14ac:dyDescent="0.25"/>
    <row r="708" customFormat="1" ht="15" hidden="1" x14ac:dyDescent="0.25"/>
    <row r="709" customFormat="1" ht="15" hidden="1" x14ac:dyDescent="0.25"/>
    <row r="710" customFormat="1" ht="15" hidden="1" x14ac:dyDescent="0.25"/>
    <row r="711" customFormat="1" ht="15" hidden="1" x14ac:dyDescent="0.25"/>
    <row r="712" customFormat="1" ht="15" hidden="1" x14ac:dyDescent="0.25"/>
    <row r="713" customFormat="1" ht="15" hidden="1" x14ac:dyDescent="0.25"/>
    <row r="714" customFormat="1" ht="15" hidden="1" x14ac:dyDescent="0.25"/>
    <row r="715" customFormat="1" ht="15" hidden="1" x14ac:dyDescent="0.25"/>
    <row r="716" customFormat="1" ht="15" hidden="1" x14ac:dyDescent="0.25"/>
    <row r="717" customFormat="1" ht="15" hidden="1" x14ac:dyDescent="0.25"/>
    <row r="718" customFormat="1" ht="15" hidden="1" x14ac:dyDescent="0.25"/>
    <row r="719" customFormat="1" ht="15" hidden="1" x14ac:dyDescent="0.25"/>
    <row r="720" customFormat="1" ht="15" hidden="1" x14ac:dyDescent="0.25"/>
    <row r="721" customFormat="1" ht="15" hidden="1" x14ac:dyDescent="0.25"/>
    <row r="722" customFormat="1" ht="15" hidden="1" x14ac:dyDescent="0.25"/>
    <row r="723" customFormat="1" ht="15" hidden="1" x14ac:dyDescent="0.25"/>
    <row r="724" customFormat="1" ht="15" hidden="1" x14ac:dyDescent="0.25"/>
    <row r="725" customFormat="1" ht="15" hidden="1" x14ac:dyDescent="0.25"/>
    <row r="726" customFormat="1" ht="15" hidden="1" x14ac:dyDescent="0.25"/>
    <row r="727" customFormat="1" ht="15" hidden="1" x14ac:dyDescent="0.25"/>
    <row r="728" customFormat="1" ht="15" hidden="1" x14ac:dyDescent="0.25"/>
    <row r="729" customFormat="1" ht="15" hidden="1" x14ac:dyDescent="0.25"/>
    <row r="730" customFormat="1" ht="15" hidden="1" x14ac:dyDescent="0.25"/>
    <row r="731" customFormat="1" ht="15" hidden="1" x14ac:dyDescent="0.25"/>
    <row r="732" customFormat="1" ht="15" hidden="1" x14ac:dyDescent="0.25"/>
    <row r="733" customFormat="1" ht="15" hidden="1" x14ac:dyDescent="0.25"/>
    <row r="734" customFormat="1" ht="15" hidden="1" x14ac:dyDescent="0.25"/>
    <row r="735" customFormat="1" ht="15" hidden="1" x14ac:dyDescent="0.25"/>
    <row r="736" customFormat="1" ht="15" hidden="1" x14ac:dyDescent="0.25"/>
    <row r="737" customFormat="1" ht="15" hidden="1" x14ac:dyDescent="0.25"/>
    <row r="738" customFormat="1" ht="15" hidden="1" x14ac:dyDescent="0.25"/>
    <row r="739" customFormat="1" ht="15" hidden="1" x14ac:dyDescent="0.25"/>
    <row r="740" customFormat="1" ht="15" hidden="1" x14ac:dyDescent="0.25"/>
    <row r="741" customFormat="1" ht="15" hidden="1" x14ac:dyDescent="0.25"/>
    <row r="742" customFormat="1" ht="15" hidden="1" x14ac:dyDescent="0.25"/>
    <row r="743" customFormat="1" ht="15" hidden="1" x14ac:dyDescent="0.25"/>
    <row r="744" customFormat="1" ht="15" hidden="1" x14ac:dyDescent="0.25"/>
    <row r="745" customFormat="1" ht="15" hidden="1" x14ac:dyDescent="0.25"/>
    <row r="746" customFormat="1" ht="15" hidden="1" x14ac:dyDescent="0.25"/>
    <row r="747" customFormat="1" ht="15" hidden="1" x14ac:dyDescent="0.25"/>
    <row r="748" customFormat="1" ht="15" hidden="1" x14ac:dyDescent="0.25"/>
    <row r="749" customFormat="1" ht="15" hidden="1" x14ac:dyDescent="0.25"/>
    <row r="750" customFormat="1" ht="15" hidden="1" x14ac:dyDescent="0.25"/>
    <row r="751" customFormat="1" ht="15" hidden="1" x14ac:dyDescent="0.25"/>
    <row r="752" customFormat="1" ht="15" hidden="1" x14ac:dyDescent="0.25"/>
    <row r="753" customFormat="1" ht="15" hidden="1" x14ac:dyDescent="0.25"/>
    <row r="754" customFormat="1" ht="15" hidden="1" x14ac:dyDescent="0.25"/>
    <row r="755" customFormat="1" ht="15" hidden="1" x14ac:dyDescent="0.25"/>
    <row r="756" customFormat="1" ht="15" hidden="1" x14ac:dyDescent="0.25"/>
    <row r="757" customFormat="1" ht="15" hidden="1" x14ac:dyDescent="0.25"/>
    <row r="758" customFormat="1" ht="15" hidden="1" x14ac:dyDescent="0.25"/>
    <row r="759" customFormat="1" ht="15" hidden="1" x14ac:dyDescent="0.25"/>
    <row r="760" customFormat="1" ht="15" hidden="1" x14ac:dyDescent="0.25"/>
    <row r="761" customFormat="1" ht="15" hidden="1" x14ac:dyDescent="0.25"/>
    <row r="762" customFormat="1" ht="15" hidden="1" x14ac:dyDescent="0.25"/>
    <row r="763" customFormat="1" ht="15" hidden="1" x14ac:dyDescent="0.25"/>
    <row r="764" customFormat="1" ht="15" hidden="1" x14ac:dyDescent="0.25"/>
    <row r="765" customFormat="1" ht="15" hidden="1" x14ac:dyDescent="0.25"/>
    <row r="766" customFormat="1" ht="15" hidden="1" x14ac:dyDescent="0.25"/>
    <row r="767" customFormat="1" ht="15" hidden="1" x14ac:dyDescent="0.25"/>
    <row r="768" customFormat="1" ht="15" hidden="1" x14ac:dyDescent="0.25"/>
    <row r="769" customFormat="1" ht="15" hidden="1" x14ac:dyDescent="0.25"/>
    <row r="770" customFormat="1" ht="15" hidden="1" x14ac:dyDescent="0.25"/>
    <row r="771" customFormat="1" ht="15" hidden="1" x14ac:dyDescent="0.25"/>
    <row r="772" customFormat="1" ht="15" hidden="1" x14ac:dyDescent="0.25"/>
    <row r="773" customFormat="1" ht="15" hidden="1" x14ac:dyDescent="0.25"/>
    <row r="774" customFormat="1" ht="15" hidden="1" x14ac:dyDescent="0.25"/>
    <row r="775" customFormat="1" ht="15" hidden="1" x14ac:dyDescent="0.25"/>
    <row r="776" customFormat="1" ht="15" hidden="1" x14ac:dyDescent="0.25"/>
    <row r="777" customFormat="1" ht="15" hidden="1" x14ac:dyDescent="0.25"/>
    <row r="778" customFormat="1" ht="15" hidden="1" x14ac:dyDescent="0.25"/>
    <row r="779" customFormat="1" ht="15" hidden="1" x14ac:dyDescent="0.25"/>
    <row r="780" customFormat="1" ht="15" hidden="1" x14ac:dyDescent="0.25"/>
    <row r="781" customFormat="1" ht="15" hidden="1" x14ac:dyDescent="0.25"/>
    <row r="782" customFormat="1" ht="15" hidden="1" x14ac:dyDescent="0.25"/>
    <row r="783" customFormat="1" ht="15" hidden="1" x14ac:dyDescent="0.25"/>
    <row r="784" customFormat="1" ht="15" hidden="1" x14ac:dyDescent="0.25"/>
    <row r="785" customFormat="1" ht="15" hidden="1" x14ac:dyDescent="0.25"/>
    <row r="786" customFormat="1" ht="15" hidden="1" x14ac:dyDescent="0.25"/>
    <row r="787" customFormat="1" ht="15" hidden="1" x14ac:dyDescent="0.25"/>
    <row r="788" customFormat="1" ht="15" hidden="1" x14ac:dyDescent="0.25"/>
    <row r="789" customFormat="1" ht="15" hidden="1" x14ac:dyDescent="0.25"/>
    <row r="790" customFormat="1" ht="15" hidden="1" x14ac:dyDescent="0.25"/>
    <row r="791" customFormat="1" ht="15" hidden="1" x14ac:dyDescent="0.25"/>
    <row r="792" customFormat="1" ht="15" hidden="1" x14ac:dyDescent="0.25"/>
    <row r="793" customFormat="1" ht="15" hidden="1" x14ac:dyDescent="0.25"/>
    <row r="794" customFormat="1" ht="15" hidden="1" x14ac:dyDescent="0.25"/>
    <row r="795" customFormat="1" ht="15" hidden="1" x14ac:dyDescent="0.25"/>
    <row r="796" customFormat="1" ht="15" hidden="1" x14ac:dyDescent="0.25"/>
    <row r="797" customFormat="1" ht="15" hidden="1" x14ac:dyDescent="0.25"/>
    <row r="798" customFormat="1" ht="15" hidden="1" x14ac:dyDescent="0.25"/>
    <row r="799" customFormat="1" ht="15" hidden="1" x14ac:dyDescent="0.25"/>
    <row r="800" customFormat="1" ht="15" hidden="1" x14ac:dyDescent="0.25"/>
    <row r="801" customFormat="1" ht="15" hidden="1" x14ac:dyDescent="0.25"/>
    <row r="802" customFormat="1" ht="15" hidden="1" x14ac:dyDescent="0.25"/>
    <row r="803" customFormat="1" ht="15" hidden="1" x14ac:dyDescent="0.25"/>
    <row r="804" customFormat="1" ht="15" hidden="1" x14ac:dyDescent="0.25"/>
    <row r="805" customFormat="1" ht="15" hidden="1" x14ac:dyDescent="0.25"/>
    <row r="806" customFormat="1" ht="15" hidden="1" x14ac:dyDescent="0.25"/>
    <row r="807" customFormat="1" ht="15" hidden="1" x14ac:dyDescent="0.25"/>
    <row r="808" customFormat="1" ht="15" hidden="1" x14ac:dyDescent="0.25"/>
    <row r="809" customFormat="1" ht="15" hidden="1" x14ac:dyDescent="0.25"/>
    <row r="810" customFormat="1" ht="15" hidden="1" x14ac:dyDescent="0.25"/>
    <row r="811" customFormat="1" ht="15" hidden="1" x14ac:dyDescent="0.25"/>
    <row r="812" customFormat="1" ht="15" hidden="1" x14ac:dyDescent="0.25"/>
    <row r="813" customFormat="1" ht="15" hidden="1" x14ac:dyDescent="0.25"/>
    <row r="814" customFormat="1" ht="15" hidden="1" x14ac:dyDescent="0.25"/>
    <row r="815" customFormat="1" ht="15" hidden="1" x14ac:dyDescent="0.25"/>
    <row r="816" customFormat="1" ht="15" hidden="1" x14ac:dyDescent="0.25"/>
    <row r="817" customFormat="1" ht="15" hidden="1" x14ac:dyDescent="0.25"/>
    <row r="818" customFormat="1" ht="15" hidden="1" x14ac:dyDescent="0.25"/>
    <row r="819" customFormat="1" ht="15" hidden="1" x14ac:dyDescent="0.25"/>
    <row r="820" customFormat="1" ht="15" hidden="1" x14ac:dyDescent="0.25"/>
    <row r="821" customFormat="1" ht="15" hidden="1" x14ac:dyDescent="0.25"/>
    <row r="822" customFormat="1" ht="15" hidden="1" x14ac:dyDescent="0.25"/>
    <row r="823" customFormat="1" ht="15" hidden="1" x14ac:dyDescent="0.25"/>
    <row r="824" customFormat="1" ht="15" hidden="1" x14ac:dyDescent="0.25"/>
    <row r="825" customFormat="1" ht="15" hidden="1" x14ac:dyDescent="0.25"/>
    <row r="826" customFormat="1" ht="15" hidden="1" x14ac:dyDescent="0.25"/>
    <row r="827" customFormat="1" ht="15" hidden="1" x14ac:dyDescent="0.25"/>
    <row r="828" customFormat="1" ht="15" hidden="1" x14ac:dyDescent="0.25"/>
    <row r="829" customFormat="1" ht="15" hidden="1" x14ac:dyDescent="0.25"/>
    <row r="830" customFormat="1" ht="15" hidden="1" x14ac:dyDescent="0.25"/>
    <row r="831" customFormat="1" ht="15" hidden="1" x14ac:dyDescent="0.25"/>
    <row r="832" customFormat="1" ht="15" hidden="1" x14ac:dyDescent="0.25"/>
    <row r="833" customFormat="1" ht="15" hidden="1" x14ac:dyDescent="0.25"/>
    <row r="834" customFormat="1" ht="15" hidden="1" x14ac:dyDescent="0.25"/>
    <row r="835" customFormat="1" ht="15" hidden="1" x14ac:dyDescent="0.25"/>
    <row r="836" customFormat="1" ht="15" hidden="1" x14ac:dyDescent="0.25"/>
    <row r="837" customFormat="1" ht="15" hidden="1" x14ac:dyDescent="0.25"/>
    <row r="838" customFormat="1" ht="15" hidden="1" x14ac:dyDescent="0.25"/>
    <row r="839" customFormat="1" ht="15" hidden="1" x14ac:dyDescent="0.25"/>
    <row r="840" customFormat="1" ht="15" hidden="1" x14ac:dyDescent="0.25"/>
    <row r="841" customFormat="1" ht="15" hidden="1" x14ac:dyDescent="0.25"/>
    <row r="842" customFormat="1" ht="15" hidden="1" x14ac:dyDescent="0.25"/>
    <row r="843" customFormat="1" ht="15" hidden="1" x14ac:dyDescent="0.25"/>
    <row r="844" customFormat="1" ht="15" hidden="1" x14ac:dyDescent="0.25"/>
    <row r="845" customFormat="1" ht="15" hidden="1" x14ac:dyDescent="0.25"/>
    <row r="846" customFormat="1" ht="15" hidden="1" x14ac:dyDescent="0.25"/>
    <row r="847" customFormat="1" ht="15" hidden="1" x14ac:dyDescent="0.25"/>
    <row r="848" customFormat="1" ht="15" hidden="1" x14ac:dyDescent="0.25"/>
    <row r="849" customFormat="1" ht="15" hidden="1" x14ac:dyDescent="0.25"/>
    <row r="850" customFormat="1" ht="15" hidden="1" x14ac:dyDescent="0.25"/>
    <row r="851" customFormat="1" ht="15" hidden="1" x14ac:dyDescent="0.25"/>
    <row r="852" customFormat="1" ht="15" hidden="1" x14ac:dyDescent="0.25"/>
    <row r="853" customFormat="1" ht="15" hidden="1" x14ac:dyDescent="0.25"/>
    <row r="854" customFormat="1" ht="15" hidden="1" x14ac:dyDescent="0.25"/>
    <row r="855" customFormat="1" ht="15" hidden="1" x14ac:dyDescent="0.25"/>
    <row r="856" customFormat="1" ht="15" hidden="1" x14ac:dyDescent="0.25"/>
    <row r="857" customFormat="1" ht="15" hidden="1" x14ac:dyDescent="0.25"/>
    <row r="858" customFormat="1" ht="15" hidden="1" x14ac:dyDescent="0.25"/>
    <row r="859" customFormat="1" ht="15" hidden="1" x14ac:dyDescent="0.25"/>
    <row r="860" customFormat="1" ht="15" hidden="1" x14ac:dyDescent="0.25"/>
    <row r="861" customFormat="1" ht="15" hidden="1" x14ac:dyDescent="0.25"/>
    <row r="862" customFormat="1" ht="15" hidden="1" x14ac:dyDescent="0.25"/>
    <row r="863" customFormat="1" ht="15" hidden="1" x14ac:dyDescent="0.25"/>
    <row r="864" customFormat="1" ht="15" hidden="1" x14ac:dyDescent="0.25"/>
    <row r="865" customFormat="1" ht="15" hidden="1" x14ac:dyDescent="0.25"/>
    <row r="866" customFormat="1" ht="15" hidden="1" x14ac:dyDescent="0.25"/>
    <row r="867" customFormat="1" ht="15" hidden="1" x14ac:dyDescent="0.25"/>
    <row r="868" customFormat="1" ht="15" hidden="1" x14ac:dyDescent="0.25"/>
    <row r="869" customFormat="1" ht="15" hidden="1" x14ac:dyDescent="0.25"/>
    <row r="870" customFormat="1" ht="15" hidden="1" x14ac:dyDescent="0.25"/>
    <row r="871" customFormat="1" ht="15" hidden="1" x14ac:dyDescent="0.25"/>
    <row r="872" customFormat="1" ht="15" hidden="1" x14ac:dyDescent="0.25"/>
    <row r="873" customFormat="1" ht="15" hidden="1" x14ac:dyDescent="0.25"/>
    <row r="874" customFormat="1" ht="15" hidden="1" x14ac:dyDescent="0.25"/>
    <row r="875" customFormat="1" ht="15" hidden="1" x14ac:dyDescent="0.25"/>
    <row r="876" customFormat="1" ht="15" hidden="1" x14ac:dyDescent="0.25"/>
    <row r="877" customFormat="1" ht="15" hidden="1" x14ac:dyDescent="0.25"/>
    <row r="878" customFormat="1" ht="15" hidden="1" x14ac:dyDescent="0.25"/>
    <row r="879" customFormat="1" ht="15" hidden="1" x14ac:dyDescent="0.25"/>
    <row r="880" customFormat="1" ht="15" hidden="1" x14ac:dyDescent="0.25"/>
    <row r="881" customFormat="1" ht="15" hidden="1" x14ac:dyDescent="0.25"/>
    <row r="882" customFormat="1" ht="15" hidden="1" x14ac:dyDescent="0.25"/>
    <row r="883" customFormat="1" ht="15" hidden="1" x14ac:dyDescent="0.25"/>
    <row r="884" customFormat="1" ht="15" hidden="1" x14ac:dyDescent="0.25"/>
    <row r="885" customFormat="1" ht="15" hidden="1" x14ac:dyDescent="0.25"/>
    <row r="886" customFormat="1" ht="15" hidden="1" x14ac:dyDescent="0.25"/>
    <row r="887" customFormat="1" ht="15" hidden="1" x14ac:dyDescent="0.25"/>
    <row r="888" customFormat="1" ht="15" hidden="1" x14ac:dyDescent="0.25"/>
    <row r="889" customFormat="1" ht="15" hidden="1" x14ac:dyDescent="0.25"/>
    <row r="890" customFormat="1" ht="15" hidden="1" x14ac:dyDescent="0.25"/>
    <row r="891" customFormat="1" ht="15" hidden="1" x14ac:dyDescent="0.25"/>
    <row r="892" customFormat="1" ht="15" hidden="1" x14ac:dyDescent="0.25"/>
    <row r="893" customFormat="1" ht="15" hidden="1" x14ac:dyDescent="0.25"/>
    <row r="894" customFormat="1" ht="15" hidden="1" x14ac:dyDescent="0.25"/>
    <row r="895" customFormat="1" ht="15" hidden="1" x14ac:dyDescent="0.25"/>
    <row r="896" customFormat="1" ht="15" hidden="1" x14ac:dyDescent="0.25"/>
    <row r="897" customFormat="1" ht="15" hidden="1" x14ac:dyDescent="0.25"/>
    <row r="898" customFormat="1" ht="15" hidden="1" x14ac:dyDescent="0.25"/>
    <row r="899" customFormat="1" ht="15" hidden="1" x14ac:dyDescent="0.25"/>
    <row r="900" customFormat="1" ht="15" hidden="1" x14ac:dyDescent="0.25"/>
    <row r="901" customFormat="1" ht="15" hidden="1" x14ac:dyDescent="0.25"/>
    <row r="902" customFormat="1" ht="15" hidden="1" x14ac:dyDescent="0.25"/>
    <row r="903" customFormat="1" ht="15" hidden="1" x14ac:dyDescent="0.25"/>
    <row r="904" customFormat="1" ht="15" hidden="1" x14ac:dyDescent="0.25"/>
    <row r="905" customFormat="1" ht="15" hidden="1" x14ac:dyDescent="0.25"/>
    <row r="906" customFormat="1" ht="15" hidden="1" x14ac:dyDescent="0.25"/>
    <row r="907" customFormat="1" ht="15" hidden="1" x14ac:dyDescent="0.25"/>
    <row r="908" customFormat="1" ht="15" hidden="1" x14ac:dyDescent="0.25"/>
    <row r="909" customFormat="1" ht="15" hidden="1" x14ac:dyDescent="0.25"/>
    <row r="910" customFormat="1" ht="15" hidden="1" x14ac:dyDescent="0.25"/>
    <row r="911" customFormat="1" ht="15" hidden="1" x14ac:dyDescent="0.25"/>
    <row r="912" customFormat="1" ht="15" hidden="1" x14ac:dyDescent="0.25"/>
    <row r="913" customFormat="1" ht="15" hidden="1" x14ac:dyDescent="0.25"/>
    <row r="914" customFormat="1" ht="15" hidden="1" x14ac:dyDescent="0.25"/>
    <row r="915" customFormat="1" ht="15" hidden="1" x14ac:dyDescent="0.25"/>
    <row r="916" customFormat="1" ht="15" hidden="1" x14ac:dyDescent="0.25"/>
    <row r="917" customFormat="1" ht="15" hidden="1" x14ac:dyDescent="0.25"/>
    <row r="918" customFormat="1" ht="15" hidden="1" x14ac:dyDescent="0.25"/>
    <row r="919" customFormat="1" ht="15" hidden="1" x14ac:dyDescent="0.25"/>
    <row r="920" customFormat="1" ht="15" hidden="1" x14ac:dyDescent="0.25"/>
    <row r="921" customFormat="1" ht="15" hidden="1" x14ac:dyDescent="0.25"/>
    <row r="922" customFormat="1" ht="15" hidden="1" x14ac:dyDescent="0.25"/>
    <row r="923" customFormat="1" ht="15" hidden="1" x14ac:dyDescent="0.25"/>
    <row r="924" customFormat="1" ht="15" hidden="1" x14ac:dyDescent="0.25"/>
    <row r="925" customFormat="1" ht="15" hidden="1" x14ac:dyDescent="0.25"/>
    <row r="926" customFormat="1" ht="15" hidden="1" x14ac:dyDescent="0.25"/>
    <row r="927" customFormat="1" ht="15" hidden="1" x14ac:dyDescent="0.25"/>
    <row r="928" customFormat="1" ht="15" hidden="1" x14ac:dyDescent="0.25"/>
    <row r="929" customFormat="1" ht="15" hidden="1" x14ac:dyDescent="0.25"/>
    <row r="930" customFormat="1" ht="15" hidden="1" x14ac:dyDescent="0.25"/>
    <row r="931" customFormat="1" ht="15" hidden="1" x14ac:dyDescent="0.25"/>
    <row r="932" customFormat="1" ht="15" hidden="1" x14ac:dyDescent="0.25"/>
    <row r="933" customFormat="1" ht="15" hidden="1" x14ac:dyDescent="0.25"/>
    <row r="934" customFormat="1" ht="15" hidden="1" x14ac:dyDescent="0.25"/>
    <row r="935" customFormat="1" ht="15" hidden="1" x14ac:dyDescent="0.25"/>
    <row r="936" customFormat="1" ht="15" hidden="1" x14ac:dyDescent="0.25"/>
    <row r="937" customFormat="1" ht="15" hidden="1" x14ac:dyDescent="0.25"/>
    <row r="938" customFormat="1" ht="15" hidden="1" x14ac:dyDescent="0.25"/>
    <row r="939" customFormat="1" ht="15" hidden="1" x14ac:dyDescent="0.25"/>
    <row r="940" customFormat="1" ht="15" hidden="1" x14ac:dyDescent="0.25"/>
    <row r="941" customFormat="1" ht="15" hidden="1" x14ac:dyDescent="0.25"/>
    <row r="942" customFormat="1" ht="15" hidden="1" x14ac:dyDescent="0.25"/>
    <row r="943" customFormat="1" ht="15" hidden="1" x14ac:dyDescent="0.25"/>
    <row r="944" customFormat="1" ht="15" hidden="1" x14ac:dyDescent="0.25"/>
    <row r="945" customFormat="1" ht="15" hidden="1" x14ac:dyDescent="0.25"/>
    <row r="946" customFormat="1" ht="15" hidden="1" x14ac:dyDescent="0.25"/>
    <row r="947" customFormat="1" ht="15" hidden="1" x14ac:dyDescent="0.25"/>
    <row r="948" customFormat="1" ht="15" hidden="1" x14ac:dyDescent="0.25"/>
    <row r="949" customFormat="1" ht="15" hidden="1" x14ac:dyDescent="0.25"/>
    <row r="950" customFormat="1" ht="15" hidden="1" x14ac:dyDescent="0.25"/>
    <row r="951" customFormat="1" ht="15" hidden="1" x14ac:dyDescent="0.25"/>
    <row r="952" customFormat="1" ht="15" hidden="1" x14ac:dyDescent="0.25"/>
    <row r="953" customFormat="1" ht="15" hidden="1" x14ac:dyDescent="0.25"/>
    <row r="954" customFormat="1" ht="15" hidden="1" x14ac:dyDescent="0.25"/>
    <row r="955" customFormat="1" ht="15" hidden="1" x14ac:dyDescent="0.25"/>
    <row r="956" customFormat="1" ht="15" hidden="1" x14ac:dyDescent="0.25"/>
    <row r="957" customFormat="1" ht="15" hidden="1" x14ac:dyDescent="0.25"/>
    <row r="958" customFormat="1" ht="15" hidden="1" x14ac:dyDescent="0.25"/>
    <row r="959" customFormat="1" ht="15" hidden="1" x14ac:dyDescent="0.25"/>
    <row r="960" customFormat="1" ht="15" hidden="1" x14ac:dyDescent="0.25"/>
    <row r="961" customFormat="1" ht="15" hidden="1" x14ac:dyDescent="0.25"/>
    <row r="962" customFormat="1" ht="15" hidden="1" x14ac:dyDescent="0.25"/>
    <row r="963" customFormat="1" ht="15" hidden="1" x14ac:dyDescent="0.25"/>
    <row r="964" customFormat="1" ht="15" hidden="1" x14ac:dyDescent="0.25"/>
    <row r="965" customFormat="1" ht="15" hidden="1" x14ac:dyDescent="0.25"/>
    <row r="966" customFormat="1" ht="15" hidden="1" x14ac:dyDescent="0.25"/>
    <row r="967" customFormat="1" ht="15" hidden="1" x14ac:dyDescent="0.25"/>
    <row r="968" customFormat="1" ht="15" hidden="1" x14ac:dyDescent="0.25"/>
    <row r="969" customFormat="1" ht="15" hidden="1" x14ac:dyDescent="0.25"/>
    <row r="970" customFormat="1" ht="15" hidden="1" x14ac:dyDescent="0.25"/>
    <row r="971" customFormat="1" ht="15" hidden="1" x14ac:dyDescent="0.25"/>
    <row r="972" customFormat="1" ht="15" hidden="1" x14ac:dyDescent="0.25"/>
    <row r="973" customFormat="1" ht="15" hidden="1" x14ac:dyDescent="0.25"/>
    <row r="974" customFormat="1" ht="15" hidden="1" x14ac:dyDescent="0.25"/>
    <row r="975" customFormat="1" ht="15" hidden="1" x14ac:dyDescent="0.25"/>
    <row r="976" customFormat="1" ht="15" hidden="1" x14ac:dyDescent="0.25"/>
    <row r="977" customFormat="1" ht="15" hidden="1" x14ac:dyDescent="0.25"/>
    <row r="978" customFormat="1" ht="15" hidden="1" x14ac:dyDescent="0.25"/>
    <row r="979" customFormat="1" ht="15" hidden="1" x14ac:dyDescent="0.25"/>
    <row r="980" customFormat="1" ht="15" hidden="1" x14ac:dyDescent="0.25"/>
    <row r="981" customFormat="1" ht="15" hidden="1" x14ac:dyDescent="0.25"/>
    <row r="982" customFormat="1" ht="15" hidden="1" x14ac:dyDescent="0.25"/>
    <row r="983" customFormat="1" ht="15" hidden="1" x14ac:dyDescent="0.25"/>
    <row r="984" customFormat="1" ht="15" hidden="1" x14ac:dyDescent="0.25"/>
    <row r="985" customFormat="1" ht="15" hidden="1" x14ac:dyDescent="0.25"/>
    <row r="986" customFormat="1" ht="15" hidden="1" x14ac:dyDescent="0.25"/>
    <row r="987" customFormat="1" ht="15" hidden="1" x14ac:dyDescent="0.25"/>
    <row r="988" customFormat="1" ht="15" hidden="1" x14ac:dyDescent="0.25"/>
    <row r="989" customFormat="1" ht="15" hidden="1" x14ac:dyDescent="0.25"/>
    <row r="990" customFormat="1" ht="15" hidden="1" x14ac:dyDescent="0.25"/>
    <row r="991" customFormat="1" ht="15" hidden="1" x14ac:dyDescent="0.25"/>
    <row r="992" customFormat="1" ht="15" hidden="1" x14ac:dyDescent="0.25"/>
    <row r="993" customFormat="1" ht="15" hidden="1" x14ac:dyDescent="0.25"/>
    <row r="994" customFormat="1" ht="15" hidden="1" x14ac:dyDescent="0.25"/>
    <row r="995" customFormat="1" ht="15" hidden="1" x14ac:dyDescent="0.25"/>
    <row r="996" customFormat="1" ht="15" hidden="1" x14ac:dyDescent="0.25"/>
    <row r="997" customFormat="1" ht="15" hidden="1" x14ac:dyDescent="0.25"/>
    <row r="998" customFormat="1" ht="15" hidden="1" x14ac:dyDescent="0.25"/>
    <row r="999" customFormat="1" ht="15" hidden="1" x14ac:dyDescent="0.25"/>
    <row r="1000" customFormat="1" ht="15" hidden="1" x14ac:dyDescent="0.25"/>
  </sheetData>
  <sheetProtection algorithmName="SHA-512" hashValue="ajF6JqgUH3R5SuXCqm6YSoI4L0rpmcDGv8XxMrOc32XsQlw0HdwdM3GEf6HF+1/AH02v2yv1/gGekp0WDT2+6A==" saltValue="jtJ9WQhqhRMdSyq64xokHQ==" spinCount="100000" sheet="1" objects="1" scenarios="1"/>
  <mergeCells count="3">
    <mergeCell ref="C3:D3"/>
    <mergeCell ref="E3:G3"/>
    <mergeCell ref="D16:G16"/>
  </mergeCells>
  <dataValidations count="3">
    <dataValidation type="whole" allowBlank="1" showErrorMessage="1" errorTitle="ExcessAmtOverDebPL" error="ExcessAmtOverDebPL  Non negative, no decimal, upto 99,999,999,999,999" sqref="G5:G13">
      <formula1>0</formula1>
      <formula2>99999999999999</formula2>
    </dataValidation>
    <dataValidation type="whole" allowBlank="1" showErrorMessage="1" errorTitle="AmtUs35Allowable" error="AmtUs35Allowable  Non negative, no decimal, upto 99,999,999,999,999" sqref="F5:F13">
      <formula1>0</formula1>
      <formula2>99999999999999</formula2>
    </dataValidation>
    <dataValidation type="whole" allowBlank="1" showErrorMessage="1" errorTitle="AmtDebPL" error="AmtDebPL  Non negative, no decimal, upto 99,999,999,999,999" sqref="F14:G15 E5:E15">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4209" r:id="rId5" name="Button 1">
              <controlPr defaultSize="0" print="0" autoFill="0" autoPict="0" macro="[0]!validateESRClick">
                <anchor>
                  <from>
                    <xdr:col>8</xdr:col>
                    <xdr:colOff>76200</xdr:colOff>
                    <xdr:row>2</xdr:row>
                    <xdr:rowOff>114300</xdr:rowOff>
                  </from>
                  <to>
                    <xdr:col>8</xdr:col>
                    <xdr:colOff>1447800</xdr:colOff>
                    <xdr:row>3</xdr:row>
                    <xdr:rowOff>247650</xdr:rowOff>
                  </to>
                </anchor>
              </controlPr>
            </control>
          </mc:Choice>
        </mc:AlternateContent>
        <mc:AlternateContent xmlns:mc="http://schemas.openxmlformats.org/markup-compatibility/2006">
          <mc:Choice Requires="x14">
            <control shapeId="94211" r:id="rId6" name="Button 3">
              <controlPr defaultSize="0" print="0" autoFill="0" autoPict="0" macro="[0]!Prev_Sheet">
                <anchor>
                  <from>
                    <xdr:col>8</xdr:col>
                    <xdr:colOff>76200</xdr:colOff>
                    <xdr:row>3</xdr:row>
                    <xdr:rowOff>552450</xdr:rowOff>
                  </from>
                  <to>
                    <xdr:col>8</xdr:col>
                    <xdr:colOff>1447800</xdr:colOff>
                    <xdr:row>5</xdr:row>
                    <xdr:rowOff>95250</xdr:rowOff>
                  </to>
                </anchor>
              </controlPr>
            </control>
          </mc:Choice>
        </mc:AlternateContent>
        <mc:AlternateContent xmlns:mc="http://schemas.openxmlformats.org/markup-compatibility/2006">
          <mc:Choice Requires="x14">
            <control shapeId="94212" r:id="rId7" name="Button 4">
              <controlPr defaultSize="0" print="0" autoFill="0" autoPict="0" macro="[0]!Img_Home_Click">
                <anchor>
                  <from>
                    <xdr:col>8</xdr:col>
                    <xdr:colOff>76200</xdr:colOff>
                    <xdr:row>0</xdr:row>
                    <xdr:rowOff>171450</xdr:rowOff>
                  </from>
                  <to>
                    <xdr:col>8</xdr:col>
                    <xdr:colOff>1447800</xdr:colOff>
                    <xdr:row>2</xdr:row>
                    <xdr:rowOff>95250</xdr:rowOff>
                  </to>
                </anchor>
              </controlPr>
            </control>
          </mc:Choice>
        </mc:AlternateContent>
        <mc:AlternateContent xmlns:mc="http://schemas.openxmlformats.org/markup-compatibility/2006">
          <mc:Choice Requires="x14">
            <control shapeId="94214" r:id="rId8" name="Button 6">
              <controlPr defaultSize="0" print="0" autoFill="0" autoPict="0" macro="[0]!Next_Sheet">
                <anchor>
                  <from>
                    <xdr:col>8</xdr:col>
                    <xdr:colOff>76200</xdr:colOff>
                    <xdr:row>3</xdr:row>
                    <xdr:rowOff>257175</xdr:rowOff>
                  </from>
                  <to>
                    <xdr:col>8</xdr:col>
                    <xdr:colOff>1447800</xdr:colOff>
                    <xdr:row>3</xdr:row>
                    <xdr:rowOff>523875</xdr:rowOff>
                  </to>
                </anchor>
              </controlPr>
            </control>
          </mc:Choice>
        </mc:AlternateContent>
        <mc:AlternateContent xmlns:mc="http://schemas.openxmlformats.org/markup-compatibility/2006">
          <mc:Choice Requires="x14">
            <control shapeId="94215" r:id="rId9" name="Button 7">
              <controlPr defaultSize="0" print="0" autoFill="0" autoPict="0" macro="[0]!Instruction_Sheet">
                <anchor>
                  <from>
                    <xdr:col>8</xdr:col>
                    <xdr:colOff>76200</xdr:colOff>
                    <xdr:row>9</xdr:row>
                    <xdr:rowOff>66675</xdr:rowOff>
                  </from>
                  <to>
                    <xdr:col>8</xdr:col>
                    <xdr:colOff>1447800</xdr:colOff>
                    <xdr:row>11</xdr:row>
                    <xdr:rowOff>28575</xdr:rowOff>
                  </to>
                </anchor>
              </controlPr>
            </control>
          </mc:Choice>
        </mc:AlternateContent>
        <mc:AlternateContent xmlns:mc="http://schemas.openxmlformats.org/markup-compatibility/2006">
          <mc:Choice Requires="x14">
            <control shapeId="94216" r:id="rId10" name="Button 8">
              <controlPr defaultSize="0" print="0" autoFill="0" autoPict="0" macro="[0]!WorksheetsPrint">
                <anchor>
                  <from>
                    <xdr:col>8</xdr:col>
                    <xdr:colOff>76200</xdr:colOff>
                    <xdr:row>7</xdr:row>
                    <xdr:rowOff>95250</xdr:rowOff>
                  </from>
                  <to>
                    <xdr:col>8</xdr:col>
                    <xdr:colOff>1447800</xdr:colOff>
                    <xdr:row>9</xdr:row>
                    <xdr:rowOff>57150</xdr:rowOff>
                  </to>
                </anchor>
              </controlPr>
            </control>
          </mc:Choice>
        </mc:AlternateContent>
        <mc:AlternateContent xmlns:mc="http://schemas.openxmlformats.org/markup-compatibility/2006">
          <mc:Choice Requires="x14">
            <control shapeId="94217" r:id="rId11" name="Button 9">
              <controlPr defaultSize="0" print="0" autoFill="0" autoPict="0" macro="[0]!GenerateJSON.GenerateJSON">
                <anchor>
                  <from>
                    <xdr:col>8</xdr:col>
                    <xdr:colOff>76200</xdr:colOff>
                    <xdr:row>5</xdr:row>
                    <xdr:rowOff>133350</xdr:rowOff>
                  </from>
                  <to>
                    <xdr:col>8</xdr:col>
                    <xdr:colOff>1447800</xdr:colOff>
                    <xdr:row>7</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XFC1000"/>
  <sheetViews>
    <sheetView showGridLines="0" showRowColHeaders="0" zoomScaleNormal="100" workbookViewId="0"/>
  </sheetViews>
  <sheetFormatPr defaultColWidth="0" defaultRowHeight="0" customHeight="1" zeroHeight="1" x14ac:dyDescent="0.25"/>
  <cols>
    <col min="1" max="1" width="2.85546875" customWidth="1"/>
    <col min="2" max="2" width="2.7109375" customWidth="1"/>
    <col min="3" max="3" width="2.5703125" customWidth="1"/>
    <col min="4" max="4" width="2.140625" customWidth="1"/>
    <col min="5" max="5" width="3.5703125" customWidth="1"/>
    <col min="6" max="6" width="4.5703125" customWidth="1"/>
    <col min="7" max="7" width="8.42578125" customWidth="1"/>
    <col min="8" max="8" width="16.42578125" customWidth="1"/>
    <col min="9" max="9" width="20" customWidth="1"/>
    <col min="10" max="11" width="18" customWidth="1"/>
    <col min="12" max="12" width="24.140625" customWidth="1"/>
    <col min="13" max="13" width="18.42578125" customWidth="1"/>
    <col min="14" max="14" width="20.140625" customWidth="1"/>
    <col min="15" max="15" width="20.42578125" customWidth="1"/>
    <col min="16" max="16" width="19.140625" customWidth="1"/>
    <col min="17" max="17" width="20" customWidth="1"/>
    <col min="18" max="18" width="13.5703125" customWidth="1"/>
    <col min="19" max="19" width="15.28515625" customWidth="1"/>
    <col min="20" max="20" width="3.85546875" customWidth="1"/>
    <col min="21" max="21" width="27.42578125" customWidth="1"/>
    <col min="22" max="16383" width="3.5703125" hidden="1"/>
    <col min="16384" max="16384" width="4.140625" hidden="1"/>
  </cols>
  <sheetData>
    <row r="1" spans="2:42" s="121" customFormat="1" ht="15.75" thickBot="1" x14ac:dyDescent="0.3">
      <c r="T1" s="1793"/>
      <c r="U1" s="1793"/>
      <c r="V1" s="1793"/>
      <c r="W1" s="1793"/>
      <c r="AC1" s="3384" t="s">
        <v>9311</v>
      </c>
      <c r="AD1" s="3384"/>
      <c r="AE1" s="740">
        <v>24</v>
      </c>
      <c r="AK1"/>
      <c r="AL1"/>
      <c r="AM1"/>
      <c r="AN1"/>
      <c r="AO1"/>
      <c r="AP1"/>
    </row>
    <row r="2" spans="2:42" s="121" customFormat="1" ht="15" x14ac:dyDescent="0.25">
      <c r="B2" s="1794"/>
      <c r="C2" s="1795"/>
      <c r="D2" s="1795"/>
      <c r="E2" s="1795"/>
      <c r="F2" s="1795"/>
      <c r="G2" s="1795"/>
      <c r="H2" s="1795"/>
      <c r="I2" s="1795"/>
      <c r="J2" s="1795"/>
      <c r="K2" s="1795"/>
      <c r="L2" s="1795"/>
      <c r="M2" s="1795"/>
      <c r="N2" s="1795"/>
      <c r="O2" s="1795"/>
      <c r="P2" s="1795"/>
      <c r="Q2" s="1795"/>
      <c r="R2" s="1795"/>
      <c r="S2" s="1795"/>
      <c r="T2" s="1796"/>
      <c r="U2" s="1793"/>
      <c r="V2" s="1793"/>
      <c r="W2" s="1793"/>
      <c r="AC2" s="3384" t="s">
        <v>9310</v>
      </c>
      <c r="AD2" s="3384"/>
      <c r="AE2" s="740">
        <v>1</v>
      </c>
      <c r="AK2"/>
      <c r="AL2"/>
      <c r="AM2"/>
      <c r="AN2"/>
      <c r="AO2"/>
      <c r="AP2"/>
    </row>
    <row r="3" spans="2:42" s="121" customFormat="1" ht="12.75" customHeight="1" x14ac:dyDescent="0.25">
      <c r="B3" s="1797"/>
      <c r="C3" s="3643" t="s">
        <v>893</v>
      </c>
      <c r="D3" s="3644"/>
      <c r="E3" s="3644"/>
      <c r="F3" s="3644"/>
      <c r="G3" s="3065" t="s">
        <v>770</v>
      </c>
      <c r="H3" s="3065"/>
      <c r="I3" s="3065"/>
      <c r="J3" s="3065"/>
      <c r="K3" s="3065"/>
      <c r="L3" s="3065"/>
      <c r="M3" s="3065"/>
      <c r="N3" s="3065"/>
      <c r="O3" s="3065"/>
      <c r="P3" s="3065"/>
      <c r="Q3" s="3065"/>
      <c r="R3" s="3065"/>
      <c r="S3" s="3066"/>
      <c r="T3" s="1798"/>
      <c r="U3" s="1793"/>
      <c r="V3" s="1793"/>
      <c r="W3" s="1793"/>
      <c r="AC3" s="3384" t="s">
        <v>9312</v>
      </c>
      <c r="AD3" s="3384"/>
      <c r="AE3" s="740">
        <v>34</v>
      </c>
      <c r="AK3"/>
      <c r="AL3"/>
      <c r="AM3"/>
      <c r="AN3"/>
      <c r="AO3"/>
      <c r="AP3"/>
    </row>
    <row r="4" spans="2:42" s="121" customFormat="1" ht="22.5" customHeight="1" x14ac:dyDescent="0.25">
      <c r="B4" s="1797"/>
      <c r="C4" s="1264"/>
      <c r="D4" s="2042" t="s">
        <v>309</v>
      </c>
      <c r="E4" s="3627" t="s">
        <v>8802</v>
      </c>
      <c r="F4" s="3628"/>
      <c r="G4" s="3628"/>
      <c r="H4" s="3628"/>
      <c r="I4" s="3628"/>
      <c r="J4" s="3628"/>
      <c r="K4" s="3628"/>
      <c r="L4" s="3628"/>
      <c r="M4" s="3628"/>
      <c r="N4" s="3628"/>
      <c r="O4" s="3628"/>
      <c r="P4" s="3628"/>
      <c r="Q4" s="3629"/>
      <c r="R4" s="496"/>
      <c r="S4" s="497"/>
      <c r="T4" s="1798"/>
      <c r="U4" s="1793"/>
      <c r="V4" s="1793"/>
      <c r="W4" s="1793"/>
      <c r="AC4" s="3384" t="s">
        <v>9310</v>
      </c>
      <c r="AD4" s="3384"/>
      <c r="AE4" s="740">
        <v>1</v>
      </c>
      <c r="AK4"/>
      <c r="AL4"/>
      <c r="AM4"/>
      <c r="AN4"/>
      <c r="AO4"/>
      <c r="AP4"/>
    </row>
    <row r="5" spans="2:42" s="121" customFormat="1" ht="15" customHeight="1" x14ac:dyDescent="0.25">
      <c r="B5" s="1797"/>
      <c r="C5" s="1786"/>
      <c r="D5" s="1265"/>
      <c r="E5" s="1938">
        <v>1</v>
      </c>
      <c r="F5" s="3386" t="s">
        <v>12676</v>
      </c>
      <c r="G5" s="3386"/>
      <c r="H5" s="3386"/>
      <c r="I5" s="3386"/>
      <c r="J5" s="3386"/>
      <c r="K5" s="3386"/>
      <c r="L5" s="3386"/>
      <c r="M5" s="3386"/>
      <c r="N5" s="3386"/>
      <c r="O5" s="3386"/>
      <c r="P5" s="3386"/>
      <c r="Q5" s="3387"/>
      <c r="R5" s="498"/>
      <c r="S5" s="499"/>
      <c r="T5" s="1798"/>
      <c r="U5" s="1793"/>
      <c r="V5" s="1793"/>
      <c r="W5" s="1793"/>
      <c r="Y5" s="500" t="s">
        <v>7182</v>
      </c>
      <c r="AB5" s="3384" t="s">
        <v>7184</v>
      </c>
      <c r="AC5" s="3384"/>
      <c r="AK5"/>
      <c r="AL5"/>
      <c r="AM5"/>
      <c r="AN5"/>
      <c r="AO5"/>
      <c r="AP5"/>
    </row>
    <row r="6" spans="2:42" s="121" customFormat="1" ht="15" customHeight="1" x14ac:dyDescent="0.25">
      <c r="B6" s="1797"/>
      <c r="C6" s="2493"/>
      <c r="D6" s="612"/>
      <c r="E6" s="2488"/>
      <c r="F6" s="3385" t="s">
        <v>13101</v>
      </c>
      <c r="G6" s="3386"/>
      <c r="H6" s="3386"/>
      <c r="I6" s="3386"/>
      <c r="J6" s="3386"/>
      <c r="K6" s="3386"/>
      <c r="L6" s="3386"/>
      <c r="M6" s="3386"/>
      <c r="N6" s="3386"/>
      <c r="O6" s="3386"/>
      <c r="P6" s="3386"/>
      <c r="Q6" s="1920" t="s">
        <v>23</v>
      </c>
      <c r="R6" s="498"/>
      <c r="S6" s="499"/>
      <c r="T6" s="1798"/>
      <c r="U6" s="1793"/>
      <c r="V6" s="1793"/>
      <c r="W6" s="1793"/>
      <c r="Y6" s="500"/>
      <c r="AB6" s="2492"/>
      <c r="AC6" s="3384" t="s">
        <v>9310</v>
      </c>
      <c r="AD6" s="3384"/>
      <c r="AE6" s="740">
        <v>1</v>
      </c>
      <c r="AK6" s="2492"/>
      <c r="AL6" s="2492"/>
      <c r="AM6" s="2492"/>
      <c r="AN6" s="2492"/>
      <c r="AO6" s="2492"/>
      <c r="AP6" s="2492"/>
    </row>
    <row r="7" spans="2:42" s="121" customFormat="1" ht="15" customHeight="1" x14ac:dyDescent="0.25">
      <c r="B7" s="1797"/>
      <c r="C7" s="2493"/>
      <c r="D7" s="612"/>
      <c r="E7" s="2488"/>
      <c r="F7" s="3385" t="s">
        <v>13102</v>
      </c>
      <c r="G7" s="3386"/>
      <c r="H7" s="3386"/>
      <c r="I7" s="3386"/>
      <c r="J7" s="3386"/>
      <c r="K7" s="3386"/>
      <c r="L7" s="3386"/>
      <c r="M7" s="3386"/>
      <c r="N7" s="3386"/>
      <c r="O7" s="3386"/>
      <c r="P7" s="3386"/>
      <c r="Q7" s="1920" t="s">
        <v>23</v>
      </c>
      <c r="R7" s="498"/>
      <c r="S7" s="499"/>
      <c r="T7" s="1798"/>
      <c r="U7" s="1793"/>
      <c r="V7" s="1793"/>
      <c r="W7" s="1793"/>
      <c r="Y7" s="500"/>
      <c r="AB7" s="2492"/>
      <c r="AC7" s="2492"/>
      <c r="AK7" s="2492"/>
      <c r="AL7" s="2492"/>
      <c r="AM7" s="2492"/>
      <c r="AN7" s="2492"/>
      <c r="AO7" s="2492"/>
      <c r="AP7" s="2492"/>
    </row>
    <row r="8" spans="2:42" s="121" customFormat="1" ht="12.75" customHeight="1" x14ac:dyDescent="0.25">
      <c r="B8" s="1797"/>
      <c r="C8" s="1786"/>
      <c r="D8" s="612"/>
      <c r="E8" s="1939"/>
      <c r="F8" s="3645" t="s">
        <v>865</v>
      </c>
      <c r="G8" s="502" t="s">
        <v>287</v>
      </c>
      <c r="H8" s="3375" t="s">
        <v>895</v>
      </c>
      <c r="I8" s="3376"/>
      <c r="J8" s="3376"/>
      <c r="K8" s="3376"/>
      <c r="L8" s="3376"/>
      <c r="M8" s="3376"/>
      <c r="N8" s="3376"/>
      <c r="O8" s="3377"/>
      <c r="P8" s="1791" t="s">
        <v>307</v>
      </c>
      <c r="Q8" s="1389"/>
      <c r="R8" s="498"/>
      <c r="S8" s="1273">
        <f>Q8</f>
        <v>0</v>
      </c>
      <c r="T8" s="1798"/>
      <c r="U8" s="1793"/>
      <c r="V8" s="1793"/>
      <c r="W8" s="1793"/>
      <c r="Y8" s="740">
        <f>IF(STCG.Aai_FullConsideration1&lt;&gt;0,1,0)</f>
        <v>0</v>
      </c>
      <c r="Z8" s="500" t="s">
        <v>7183</v>
      </c>
      <c r="AA8" s="740"/>
      <c r="AB8" s="111" t="s">
        <v>911</v>
      </c>
      <c r="AC8" s="504">
        <f>STCG.A1e_CapgainonAssets</f>
        <v>0</v>
      </c>
      <c r="AK8"/>
      <c r="AL8"/>
      <c r="AM8"/>
      <c r="AN8"/>
      <c r="AO8"/>
      <c r="AP8"/>
    </row>
    <row r="9" spans="2:42" s="121" customFormat="1" ht="12.75" customHeight="1" x14ac:dyDescent="0.25">
      <c r="B9" s="1797"/>
      <c r="C9" s="1786"/>
      <c r="D9" s="612"/>
      <c r="E9" s="1939"/>
      <c r="F9" s="3646"/>
      <c r="G9" s="505" t="s">
        <v>290</v>
      </c>
      <c r="H9" s="3375" t="s">
        <v>896</v>
      </c>
      <c r="I9" s="3376"/>
      <c r="J9" s="3376"/>
      <c r="K9" s="3376"/>
      <c r="L9" s="3376"/>
      <c r="M9" s="3376"/>
      <c r="N9" s="3376"/>
      <c r="O9" s="3377"/>
      <c r="P9" s="506" t="s">
        <v>339</v>
      </c>
      <c r="Q9" s="1389"/>
      <c r="R9" s="498"/>
      <c r="S9" s="1274"/>
      <c r="T9" s="1798"/>
      <c r="U9" s="1793"/>
      <c r="V9" s="1793"/>
      <c r="W9" s="1793"/>
      <c r="Y9" s="740">
        <f>IF(STCG.Aaii_PropertyValuation1&lt;&gt;0,1,0)</f>
        <v>0</v>
      </c>
      <c r="Z9" s="740">
        <f>COUNTIF(CG_RANGE,"=1")</f>
        <v>0</v>
      </c>
      <c r="AA9" s="740"/>
      <c r="AB9" s="111" t="s">
        <v>915</v>
      </c>
      <c r="AC9" s="504">
        <f>STCG.A20ic_CapgainonAssets</f>
        <v>0</v>
      </c>
      <c r="AK9"/>
      <c r="AL9"/>
      <c r="AM9"/>
      <c r="AN9"/>
      <c r="AO9"/>
      <c r="AP9" s="1985" t="str">
        <f>IF(MID(Sheet1.115H,1,1)="N","NO","YES")</f>
        <v>YES</v>
      </c>
    </row>
    <row r="10" spans="2:42" s="121" customFormat="1" ht="25.5" customHeight="1" x14ac:dyDescent="0.25">
      <c r="B10" s="1797"/>
      <c r="C10" s="1786"/>
      <c r="D10" s="612"/>
      <c r="E10" s="1939"/>
      <c r="F10" s="3646"/>
      <c r="G10" s="507" t="s">
        <v>293</v>
      </c>
      <c r="H10" s="3570" t="s">
        <v>12782</v>
      </c>
      <c r="I10" s="3571"/>
      <c r="J10" s="3571"/>
      <c r="K10" s="3571"/>
      <c r="L10" s="3571"/>
      <c r="M10" s="3571"/>
      <c r="N10" s="3571"/>
      <c r="O10" s="3572"/>
      <c r="P10" s="507" t="s">
        <v>318</v>
      </c>
      <c r="Q10" s="1457">
        <f>IF(Q9&gt;(1.1*Q8),Q9,Q8)</f>
        <v>0</v>
      </c>
      <c r="R10" s="498"/>
      <c r="S10" s="503"/>
      <c r="T10" s="1798"/>
      <c r="U10" s="1793"/>
      <c r="V10" s="1793"/>
      <c r="W10" s="1793"/>
      <c r="Y10" s="740">
        <f>IF(STCG.Aaiii_FullConsiderationFiftyC1&lt;&gt;0,1,0)</f>
        <v>0</v>
      </c>
      <c r="AA10" s="121">
        <v>0</v>
      </c>
      <c r="AB10" s="111" t="s">
        <v>930</v>
      </c>
      <c r="AC10" s="504">
        <f>STCG.A2ie_CapgainonAssets</f>
        <v>0</v>
      </c>
      <c r="AK10"/>
      <c r="AL10"/>
      <c r="AM10"/>
      <c r="AN10"/>
      <c r="AO10"/>
      <c r="AP10"/>
    </row>
    <row r="11" spans="2:42" s="121" customFormat="1" ht="12.75" customHeight="1" x14ac:dyDescent="0.25">
      <c r="B11" s="1797"/>
      <c r="C11" s="1786"/>
      <c r="D11" s="612"/>
      <c r="E11" s="1939"/>
      <c r="F11" s="3582" t="s">
        <v>28</v>
      </c>
      <c r="G11" s="3375" t="s">
        <v>897</v>
      </c>
      <c r="H11" s="3376"/>
      <c r="I11" s="3376"/>
      <c r="J11" s="3376"/>
      <c r="K11" s="3376"/>
      <c r="L11" s="3376"/>
      <c r="M11" s="3376"/>
      <c r="N11" s="3376"/>
      <c r="O11" s="3376"/>
      <c r="P11" s="3376"/>
      <c r="Q11" s="3377"/>
      <c r="R11" s="498"/>
      <c r="S11" s="503"/>
      <c r="T11" s="1798"/>
      <c r="U11" s="1793"/>
      <c r="V11" s="1793"/>
      <c r="W11" s="1793"/>
      <c r="Y11" s="740"/>
      <c r="AB11" s="111" t="s">
        <v>940</v>
      </c>
      <c r="AC11" s="504">
        <f>STCG.A2iie_CapgainonAssets</f>
        <v>0</v>
      </c>
      <c r="AK11"/>
      <c r="AL11"/>
      <c r="AM11"/>
      <c r="AN11"/>
      <c r="AO11"/>
      <c r="AP11"/>
    </row>
    <row r="12" spans="2:42" s="121" customFormat="1" ht="12.75" customHeight="1" x14ac:dyDescent="0.25">
      <c r="B12" s="1797"/>
      <c r="C12" s="3584" t="s">
        <v>894</v>
      </c>
      <c r="D12" s="612"/>
      <c r="E12" s="1939"/>
      <c r="F12" s="3583"/>
      <c r="G12" s="508" t="s">
        <v>287</v>
      </c>
      <c r="H12" s="3375" t="s">
        <v>898</v>
      </c>
      <c r="I12" s="3376"/>
      <c r="J12" s="3376"/>
      <c r="K12" s="3376"/>
      <c r="L12" s="3376"/>
      <c r="M12" s="3376"/>
      <c r="N12" s="3376"/>
      <c r="O12" s="3377"/>
      <c r="P12" s="508" t="s">
        <v>289</v>
      </c>
      <c r="Q12" s="1389"/>
      <c r="R12" s="498"/>
      <c r="S12" s="503"/>
      <c r="T12" s="1798"/>
      <c r="U12" s="1793"/>
      <c r="V12" s="1793"/>
      <c r="W12" s="1793"/>
      <c r="Y12" s="740">
        <f>IF(STCG.Abi_AquisitCost1&lt;&gt;0,1,0)</f>
        <v>0</v>
      </c>
      <c r="AB12" s="111" t="s">
        <v>1028</v>
      </c>
      <c r="AC12" s="504">
        <f>STCG.A3a_NRItaxSTTPaid</f>
        <v>0</v>
      </c>
      <c r="AK12"/>
      <c r="AL12"/>
      <c r="AM12"/>
      <c r="AN12"/>
      <c r="AO12"/>
      <c r="AP12"/>
    </row>
    <row r="13" spans="2:42" s="121" customFormat="1" ht="12.75" customHeight="1" x14ac:dyDescent="0.25">
      <c r="B13" s="1797"/>
      <c r="C13" s="3584"/>
      <c r="D13" s="612"/>
      <c r="E13" s="1939"/>
      <c r="F13" s="3583"/>
      <c r="G13" s="508" t="s">
        <v>290</v>
      </c>
      <c r="H13" s="3375" t="s">
        <v>899</v>
      </c>
      <c r="I13" s="3376"/>
      <c r="J13" s="3376"/>
      <c r="K13" s="3376"/>
      <c r="L13" s="3376"/>
      <c r="M13" s="3376"/>
      <c r="N13" s="3376"/>
      <c r="O13" s="3377"/>
      <c r="P13" s="508" t="s">
        <v>292</v>
      </c>
      <c r="Q13" s="1389"/>
      <c r="R13" s="498"/>
      <c r="S13" s="503"/>
      <c r="T13" s="1798"/>
      <c r="U13" s="1793"/>
      <c r="V13" s="1793"/>
      <c r="W13" s="1793"/>
      <c r="Y13" s="740">
        <f>IF(STCG.Abii_ImproveCost1&lt;&gt;0,1,0)</f>
        <v>0</v>
      </c>
      <c r="AB13" s="111" t="s">
        <v>1030</v>
      </c>
      <c r="AC13" s="504">
        <f>STCG.A3b_NRItaxSTTNotPaid</f>
        <v>0</v>
      </c>
      <c r="AK13"/>
      <c r="AL13"/>
      <c r="AM13"/>
      <c r="AN13"/>
      <c r="AO13"/>
      <c r="AP13"/>
    </row>
    <row r="14" spans="2:42" s="121" customFormat="1" ht="25.5" customHeight="1" x14ac:dyDescent="0.25">
      <c r="B14" s="1797"/>
      <c r="C14" s="3584"/>
      <c r="D14" s="612"/>
      <c r="E14" s="1939"/>
      <c r="F14" s="3583"/>
      <c r="G14" s="509" t="s">
        <v>293</v>
      </c>
      <c r="H14" s="3570" t="s">
        <v>900</v>
      </c>
      <c r="I14" s="3571"/>
      <c r="J14" s="3571"/>
      <c r="K14" s="3571"/>
      <c r="L14" s="3571"/>
      <c r="M14" s="3571"/>
      <c r="N14" s="3571"/>
      <c r="O14" s="3572"/>
      <c r="P14" s="509" t="s">
        <v>295</v>
      </c>
      <c r="Q14" s="1389"/>
      <c r="R14" s="498"/>
      <c r="S14" s="503"/>
      <c r="T14" s="1798"/>
      <c r="U14" s="1793"/>
      <c r="V14" s="1793"/>
      <c r="W14" s="1793"/>
      <c r="Y14" s="740">
        <f>IF(STCG.Abiii_ExpOnTrans1&lt;&gt;0,1,0)</f>
        <v>0</v>
      </c>
      <c r="AB14" s="111" t="s">
        <v>1032</v>
      </c>
      <c r="AC14" s="504">
        <f>STCG.A4e_CapgainonAssets</f>
        <v>0</v>
      </c>
      <c r="AK14"/>
      <c r="AL14"/>
      <c r="AM14"/>
      <c r="AN14"/>
      <c r="AO14"/>
      <c r="AP14"/>
    </row>
    <row r="15" spans="2:42" s="121" customFormat="1" ht="15" x14ac:dyDescent="0.25">
      <c r="B15" s="1797"/>
      <c r="C15" s="3584"/>
      <c r="D15" s="612"/>
      <c r="E15" s="1939"/>
      <c r="F15" s="3583"/>
      <c r="G15" s="510" t="s">
        <v>296</v>
      </c>
      <c r="H15" s="3630" t="s">
        <v>344</v>
      </c>
      <c r="I15" s="3631"/>
      <c r="J15" s="3631"/>
      <c r="K15" s="3631"/>
      <c r="L15" s="3631"/>
      <c r="M15" s="3631"/>
      <c r="N15" s="3631"/>
      <c r="O15" s="3632"/>
      <c r="P15" s="510" t="s">
        <v>298</v>
      </c>
      <c r="Q15" s="1457">
        <f>SUM(Q12:Q14)</f>
        <v>0</v>
      </c>
      <c r="R15" s="498"/>
      <c r="S15" s="503"/>
      <c r="T15" s="1798"/>
      <c r="U15" s="1793"/>
      <c r="V15" s="1793"/>
      <c r="W15" s="1793"/>
      <c r="Y15" s="740"/>
      <c r="AB15" s="511" t="s">
        <v>7592</v>
      </c>
      <c r="AC15" s="504">
        <f>STCG.A5e_CapgainonAssets</f>
        <v>0</v>
      </c>
      <c r="AK15"/>
      <c r="AL15"/>
      <c r="AM15"/>
      <c r="AN15"/>
      <c r="AO15"/>
      <c r="AP15"/>
    </row>
    <row r="16" spans="2:42" s="121" customFormat="1" ht="15" x14ac:dyDescent="0.25">
      <c r="B16" s="1797"/>
      <c r="C16" s="3584"/>
      <c r="D16" s="612"/>
      <c r="E16" s="1939"/>
      <c r="F16" s="1266" t="s">
        <v>29</v>
      </c>
      <c r="G16" s="3633" t="s">
        <v>901</v>
      </c>
      <c r="H16" s="3634"/>
      <c r="I16" s="3634"/>
      <c r="J16" s="3634"/>
      <c r="K16" s="3634"/>
      <c r="L16" s="3634"/>
      <c r="M16" s="3634"/>
      <c r="N16" s="3634"/>
      <c r="O16" s="3635"/>
      <c r="P16" s="1467" t="s">
        <v>29</v>
      </c>
      <c r="Q16" s="1457">
        <f>(Q10-Q15)</f>
        <v>0</v>
      </c>
      <c r="R16" s="498"/>
      <c r="S16" s="503"/>
      <c r="T16" s="1798"/>
      <c r="U16" s="1793"/>
      <c r="V16" s="1793"/>
      <c r="W16" s="1793"/>
      <c r="Y16" s="740"/>
      <c r="AB16" s="511" t="s">
        <v>953</v>
      </c>
      <c r="AC16" s="504">
        <f>STCG.A7_AmtDeemed</f>
        <v>0</v>
      </c>
      <c r="AK16"/>
      <c r="AL16"/>
      <c r="AM16"/>
      <c r="AN16"/>
      <c r="AO16"/>
      <c r="AP16"/>
    </row>
    <row r="17" spans="2:42" s="121" customFormat="1" ht="15" x14ac:dyDescent="0.25">
      <c r="B17" s="1797"/>
      <c r="C17" s="3584"/>
      <c r="D17" s="612"/>
      <c r="E17" s="1939"/>
      <c r="F17" s="1267" t="s">
        <v>902</v>
      </c>
      <c r="G17" s="3388" t="s">
        <v>903</v>
      </c>
      <c r="H17" s="3389"/>
      <c r="I17" s="3389"/>
      <c r="J17" s="3389"/>
      <c r="K17" s="3389"/>
      <c r="L17" s="3389"/>
      <c r="M17" s="3389"/>
      <c r="N17" s="3389"/>
      <c r="O17" s="3390"/>
      <c r="P17" s="1468" t="s">
        <v>902</v>
      </c>
      <c r="Q17" s="1389"/>
      <c r="R17" s="498"/>
      <c r="S17" s="503"/>
      <c r="T17" s="1798"/>
      <c r="U17" s="1793"/>
      <c r="V17" s="1793"/>
      <c r="W17" s="1793"/>
      <c r="Y17" s="740">
        <f>IF(STCG.Adi_ExemptionAmount1&lt;&gt;0,1,0)</f>
        <v>0</v>
      </c>
      <c r="AB17" s="511" t="s">
        <v>955</v>
      </c>
      <c r="AC17" s="504">
        <f>STCG.A8_DeemedStcgOnAssets</f>
        <v>0</v>
      </c>
      <c r="AK17"/>
      <c r="AL17"/>
      <c r="AM17"/>
      <c r="AN17"/>
      <c r="AO17"/>
      <c r="AP17"/>
    </row>
    <row r="18" spans="2:42" s="121" customFormat="1" ht="15" x14ac:dyDescent="0.25">
      <c r="B18" s="1797"/>
      <c r="C18" s="3584"/>
      <c r="D18" s="612"/>
      <c r="E18" s="1939"/>
      <c r="F18" s="1267" t="s">
        <v>904</v>
      </c>
      <c r="G18" s="3388" t="s">
        <v>905</v>
      </c>
      <c r="H18" s="3389"/>
      <c r="I18" s="3389"/>
      <c r="J18" s="3389"/>
      <c r="K18" s="3389"/>
      <c r="L18" s="3389"/>
      <c r="M18" s="3389"/>
      <c r="N18" s="3389"/>
      <c r="O18" s="3390"/>
      <c r="P18" s="1468" t="s">
        <v>904</v>
      </c>
      <c r="Q18" s="1389"/>
      <c r="R18" s="498"/>
      <c r="S18" s="503"/>
      <c r="T18" s="1798"/>
      <c r="U18" s="1793"/>
      <c r="V18" s="1793"/>
      <c r="W18" s="1793"/>
      <c r="Y18" s="740">
        <f>IF(STCG.Adii_ExemptionAmount1&lt;&gt;0,1,0)</f>
        <v>0</v>
      </c>
      <c r="AK18"/>
      <c r="AL18"/>
      <c r="AM18"/>
      <c r="AN18"/>
      <c r="AO18"/>
      <c r="AP18"/>
    </row>
    <row r="19" spans="2:42" s="121" customFormat="1" ht="15" x14ac:dyDescent="0.25">
      <c r="B19" s="1797"/>
      <c r="C19" s="3584"/>
      <c r="D19" s="612"/>
      <c r="E19" s="1939"/>
      <c r="F19" s="1267" t="s">
        <v>390</v>
      </c>
      <c r="G19" s="3388" t="s">
        <v>906</v>
      </c>
      <c r="H19" s="3389"/>
      <c r="I19" s="3389"/>
      <c r="J19" s="3389"/>
      <c r="K19" s="3389"/>
      <c r="L19" s="3389"/>
      <c r="M19" s="3389"/>
      <c r="N19" s="3389"/>
      <c r="O19" s="3390"/>
      <c r="P19" s="1468" t="s">
        <v>390</v>
      </c>
      <c r="Q19" s="1389"/>
      <c r="R19" s="498"/>
      <c r="S19" s="503"/>
      <c r="T19" s="1798"/>
      <c r="U19" s="1793"/>
      <c r="V19" s="1793"/>
      <c r="W19" s="1793"/>
      <c r="Y19" s="740">
        <f>IF(STCG.Adiii_ExemptionAmount1&lt;&gt;0,1,0)</f>
        <v>0</v>
      </c>
      <c r="AK19"/>
    </row>
    <row r="20" spans="2:42" s="121" customFormat="1" ht="15" x14ac:dyDescent="0.25">
      <c r="B20" s="1797"/>
      <c r="C20" s="1786"/>
      <c r="D20" s="612"/>
      <c r="E20" s="1939"/>
      <c r="F20" s="1267" t="s">
        <v>907</v>
      </c>
      <c r="G20" s="3388" t="s">
        <v>908</v>
      </c>
      <c r="H20" s="3389"/>
      <c r="I20" s="3389"/>
      <c r="J20" s="3389"/>
      <c r="K20" s="3389"/>
      <c r="L20" s="3389"/>
      <c r="M20" s="3389"/>
      <c r="N20" s="3389"/>
      <c r="O20" s="3390"/>
      <c r="P20" s="1468" t="s">
        <v>907</v>
      </c>
      <c r="Q20" s="1389"/>
      <c r="R20" s="498"/>
      <c r="S20" s="503"/>
      <c r="T20" s="1798"/>
      <c r="U20" s="1793"/>
      <c r="V20" s="1793"/>
      <c r="W20" s="1793"/>
      <c r="Y20" s="740">
        <f>IF(STCG.Adiv_ExemptionAmount1&lt;&gt;0,1,0)</f>
        <v>0</v>
      </c>
      <c r="AK20"/>
    </row>
    <row r="21" spans="2:42" s="121" customFormat="1" ht="15" x14ac:dyDescent="0.25">
      <c r="B21" s="1797"/>
      <c r="C21" s="1786"/>
      <c r="D21" s="612"/>
      <c r="E21" s="1939"/>
      <c r="F21" s="1268" t="s">
        <v>36</v>
      </c>
      <c r="G21" s="3585" t="s">
        <v>909</v>
      </c>
      <c r="H21" s="3586"/>
      <c r="I21" s="3586"/>
      <c r="J21" s="3586"/>
      <c r="K21" s="3586"/>
      <c r="L21" s="3586"/>
      <c r="M21" s="3586"/>
      <c r="N21" s="3586"/>
      <c r="O21" s="3587"/>
      <c r="P21" s="1799" t="s">
        <v>36</v>
      </c>
      <c r="Q21" s="1457">
        <f>SUM(Q17:Q20)</f>
        <v>0</v>
      </c>
      <c r="R21" s="498"/>
      <c r="S21" s="503"/>
      <c r="T21" s="1798"/>
      <c r="U21" s="1793"/>
      <c r="V21" s="1793"/>
      <c r="W21" s="1793"/>
      <c r="Y21" s="740"/>
      <c r="AK21"/>
    </row>
    <row r="22" spans="2:42" s="121" customFormat="1" ht="15" x14ac:dyDescent="0.25">
      <c r="B22" s="1797"/>
      <c r="C22" s="1786"/>
      <c r="D22" s="612"/>
      <c r="E22" s="1939"/>
      <c r="F22" s="1270" t="s">
        <v>869</v>
      </c>
      <c r="G22" s="3524" t="s">
        <v>910</v>
      </c>
      <c r="H22" s="3525"/>
      <c r="I22" s="3525"/>
      <c r="J22" s="3525"/>
      <c r="K22" s="3525"/>
      <c r="L22" s="3525"/>
      <c r="M22" s="3525"/>
      <c r="N22" s="3525"/>
      <c r="O22" s="3636"/>
      <c r="P22" s="3636"/>
      <c r="Q22" s="3637"/>
      <c r="R22" s="559" t="s">
        <v>911</v>
      </c>
      <c r="S22" s="259">
        <f>IF(Q16&lt;0,Q16,IF(Q21&gt;Q16,0,Q16-Q21))</f>
        <v>0</v>
      </c>
      <c r="T22" s="1798"/>
      <c r="U22" s="1793"/>
      <c r="V22" s="1793"/>
      <c r="W22" s="1793"/>
      <c r="Y22" s="740"/>
      <c r="AK22"/>
    </row>
    <row r="23" spans="2:42" s="121" customFormat="1" ht="15" x14ac:dyDescent="0.25">
      <c r="B23" s="1797"/>
      <c r="C23" s="1786"/>
      <c r="D23" s="612"/>
      <c r="E23" s="1269"/>
      <c r="F23" s="1790" t="s">
        <v>40</v>
      </c>
      <c r="G23" s="1262" t="s">
        <v>9305</v>
      </c>
      <c r="H23" s="1263"/>
      <c r="I23" s="1263"/>
      <c r="J23" s="1263"/>
      <c r="K23" s="1263"/>
      <c r="L23" s="1263"/>
      <c r="M23" s="1263"/>
      <c r="N23" s="1263"/>
      <c r="O23" s="1263"/>
      <c r="P23" s="1263"/>
      <c r="Q23" s="1263"/>
      <c r="R23" s="1263"/>
      <c r="S23" s="2415"/>
      <c r="T23" s="1798"/>
      <c r="U23" s="1793"/>
      <c r="V23" s="1793"/>
      <c r="W23" s="1793"/>
      <c r="Y23" s="740"/>
      <c r="AK23"/>
    </row>
    <row r="24" spans="2:42" s="121" customFormat="1" ht="57" customHeight="1" x14ac:dyDescent="0.25">
      <c r="B24" s="1797"/>
      <c r="C24" s="1786"/>
      <c r="D24" s="612"/>
      <c r="E24" s="1269"/>
      <c r="F24" s="1271"/>
      <c r="G24" s="1790" t="s">
        <v>7563</v>
      </c>
      <c r="H24" s="3529" t="s">
        <v>9306</v>
      </c>
      <c r="I24" s="3530"/>
      <c r="J24" s="3529" t="s">
        <v>9307</v>
      </c>
      <c r="K24" s="3530"/>
      <c r="L24" s="2414" t="s">
        <v>12054</v>
      </c>
      <c r="M24" s="2412" t="s">
        <v>9313</v>
      </c>
      <c r="N24" s="506" t="s">
        <v>9314</v>
      </c>
      <c r="O24" s="599" t="s">
        <v>9308</v>
      </c>
      <c r="P24" s="2411" t="s">
        <v>1163</v>
      </c>
      <c r="Q24" s="2411" t="s">
        <v>18</v>
      </c>
      <c r="R24" s="2411" t="s">
        <v>17</v>
      </c>
      <c r="S24" s="599" t="s">
        <v>13200</v>
      </c>
      <c r="T24" s="1798"/>
      <c r="U24" s="1793"/>
      <c r="V24" s="1793"/>
      <c r="W24" s="1793"/>
      <c r="Y24" s="740"/>
      <c r="AK24"/>
    </row>
    <row r="25" spans="2:42" s="121" customFormat="1" ht="15" x14ac:dyDescent="0.25">
      <c r="B25" s="1797"/>
      <c r="C25" s="1786"/>
      <c r="D25" s="612"/>
      <c r="E25" s="1269"/>
      <c r="F25" s="1271"/>
      <c r="G25" s="1790">
        <v>1</v>
      </c>
      <c r="H25" s="3580"/>
      <c r="I25" s="3581"/>
      <c r="J25" s="3580"/>
      <c r="K25" s="3581"/>
      <c r="L25" s="2404"/>
      <c r="M25" s="1275"/>
      <c r="N25" s="2408"/>
      <c r="O25" s="1975"/>
      <c r="P25" s="2413" t="s">
        <v>12</v>
      </c>
      <c r="Q25" s="2420"/>
      <c r="R25" s="2413" t="s">
        <v>12</v>
      </c>
      <c r="S25" s="2469"/>
      <c r="T25" s="1798"/>
      <c r="U25" s="1793"/>
      <c r="V25" s="1793"/>
      <c r="W25" s="1793"/>
      <c r="Y25" s="740"/>
      <c r="AK25"/>
    </row>
    <row r="26" spans="2:42" s="121" customFormat="1" ht="15" x14ac:dyDescent="0.25">
      <c r="B26" s="1797"/>
      <c r="C26" s="1786"/>
      <c r="D26" s="612"/>
      <c r="E26" s="1269"/>
      <c r="F26" s="1272"/>
      <c r="G26" s="1790">
        <f>G25+1</f>
        <v>2</v>
      </c>
      <c r="H26" s="3580"/>
      <c r="I26" s="3581"/>
      <c r="J26" s="3580"/>
      <c r="K26" s="3581"/>
      <c r="L26" s="2404"/>
      <c r="M26" s="1275"/>
      <c r="N26" s="2408"/>
      <c r="O26" s="1975"/>
      <c r="P26" s="2413" t="s">
        <v>12</v>
      </c>
      <c r="Q26" s="2420"/>
      <c r="R26" s="2413" t="s">
        <v>12</v>
      </c>
      <c r="S26" s="2096"/>
      <c r="T26" s="1798"/>
      <c r="U26" s="1793"/>
      <c r="V26" s="1793"/>
      <c r="W26" s="1793"/>
      <c r="Y26" s="740"/>
      <c r="AK26"/>
    </row>
    <row r="27" spans="2:42" s="121" customFormat="1" ht="15" x14ac:dyDescent="0.25">
      <c r="B27" s="1797"/>
      <c r="C27" s="2264"/>
      <c r="D27" s="612"/>
      <c r="E27" s="1269"/>
      <c r="F27" s="1272"/>
      <c r="G27" s="506">
        <f>G26+1</f>
        <v>3</v>
      </c>
      <c r="H27" s="3580"/>
      <c r="I27" s="3581"/>
      <c r="J27" s="3580"/>
      <c r="K27" s="3581"/>
      <c r="L27" s="2404"/>
      <c r="M27" s="1275"/>
      <c r="N27" s="2408"/>
      <c r="O27" s="1975"/>
      <c r="P27" s="2413" t="s">
        <v>12</v>
      </c>
      <c r="Q27" s="2420"/>
      <c r="R27" s="2413" t="s">
        <v>12</v>
      </c>
      <c r="S27" s="2096"/>
      <c r="T27" s="1798"/>
      <c r="U27" s="1793"/>
      <c r="V27" s="1793"/>
      <c r="W27" s="1793"/>
      <c r="Y27" s="740"/>
      <c r="AK27" s="2263"/>
    </row>
    <row r="28" spans="2:42" s="121" customFormat="1" ht="15" x14ac:dyDescent="0.25">
      <c r="B28" s="1797"/>
      <c r="C28" s="1786"/>
      <c r="D28" s="612"/>
      <c r="E28" s="1939"/>
      <c r="F28" s="2410"/>
      <c r="G28" s="521"/>
      <c r="H28" s="521"/>
      <c r="I28" s="521"/>
      <c r="J28" s="521"/>
      <c r="K28" s="521"/>
      <c r="L28" s="521"/>
      <c r="M28" s="521"/>
      <c r="N28" s="521"/>
      <c r="O28" s="521"/>
      <c r="P28" s="521"/>
      <c r="Q28" s="521"/>
      <c r="R28" s="521"/>
      <c r="S28" s="522"/>
      <c r="T28" s="1798"/>
      <c r="U28" s="1793"/>
      <c r="V28" s="1793"/>
      <c r="W28" s="1793"/>
      <c r="Y28" s="740"/>
      <c r="AK28"/>
    </row>
    <row r="29" spans="2:42" s="121" customFormat="1" ht="29.25" customHeight="1" x14ac:dyDescent="0.25">
      <c r="B29" s="1797"/>
      <c r="C29" s="1786"/>
      <c r="D29" s="612"/>
      <c r="E29" s="1940"/>
      <c r="F29" s="3588"/>
      <c r="G29" s="3589"/>
      <c r="H29" s="3589"/>
      <c r="I29" s="3589"/>
      <c r="J29" s="3589"/>
      <c r="K29" s="3589"/>
      <c r="L29" s="3589"/>
      <c r="M29" s="3589"/>
      <c r="N29" s="3589"/>
      <c r="O29" s="3589"/>
      <c r="P29" s="3590"/>
      <c r="Q29" s="3590"/>
      <c r="R29" s="498"/>
      <c r="S29" s="503"/>
      <c r="T29" s="1798"/>
      <c r="U29" s="1793"/>
      <c r="V29" s="1793"/>
      <c r="W29" s="1793"/>
      <c r="Y29" s="740"/>
      <c r="Z29" s="518" t="s">
        <v>911</v>
      </c>
      <c r="AA29" s="262">
        <v>0</v>
      </c>
      <c r="AK29"/>
    </row>
    <row r="30" spans="2:42" s="121" customFormat="1" ht="29.25" customHeight="1" x14ac:dyDescent="0.25">
      <c r="B30" s="1797"/>
      <c r="C30" s="1786"/>
      <c r="D30" s="612"/>
      <c r="E30" s="1939"/>
      <c r="F30" s="3570" t="s">
        <v>9753</v>
      </c>
      <c r="G30" s="3571"/>
      <c r="H30" s="3571"/>
      <c r="I30" s="3571"/>
      <c r="J30" s="3571"/>
      <c r="K30" s="3571"/>
      <c r="L30" s="3571"/>
      <c r="M30" s="3571"/>
      <c r="N30" s="3571"/>
      <c r="O30" s="3571"/>
      <c r="P30" s="3571"/>
      <c r="Q30" s="3572"/>
      <c r="R30" s="498"/>
      <c r="S30" s="503"/>
      <c r="T30" s="1798"/>
      <c r="U30" s="1793"/>
      <c r="V30" s="1793"/>
      <c r="W30" s="1793"/>
      <c r="Y30" s="740"/>
      <c r="Z30" s="1640"/>
      <c r="AA30" s="1641"/>
      <c r="AK30"/>
    </row>
    <row r="31" spans="2:42" s="121" customFormat="1" ht="12" customHeight="1" x14ac:dyDescent="0.25">
      <c r="B31" s="1797"/>
      <c r="C31" s="1786"/>
      <c r="D31" s="501"/>
      <c r="E31" s="3435">
        <v>2</v>
      </c>
      <c r="F31" s="3507" t="s">
        <v>912</v>
      </c>
      <c r="G31" s="3508"/>
      <c r="H31" s="3508"/>
      <c r="I31" s="3508"/>
      <c r="J31" s="3508"/>
      <c r="K31" s="3508"/>
      <c r="L31" s="3508"/>
      <c r="M31" s="3508"/>
      <c r="N31" s="3508"/>
      <c r="O31" s="3508"/>
      <c r="P31" s="3508"/>
      <c r="Q31" s="3508"/>
      <c r="R31" s="498"/>
      <c r="S31" s="503"/>
      <c r="T31" s="1798"/>
      <c r="U31" s="1793"/>
      <c r="V31" s="1793"/>
      <c r="W31" s="1793"/>
      <c r="Y31" s="740"/>
      <c r="AK31"/>
    </row>
    <row r="32" spans="2:42" s="121" customFormat="1" ht="12" customHeight="1" x14ac:dyDescent="0.25">
      <c r="B32" s="1797"/>
      <c r="C32" s="2475"/>
      <c r="D32" s="501"/>
      <c r="E32" s="3435"/>
      <c r="F32" s="2480" t="s">
        <v>307</v>
      </c>
      <c r="G32" s="3507" t="s">
        <v>13080</v>
      </c>
      <c r="H32" s="3508"/>
      <c r="I32" s="3508"/>
      <c r="J32" s="3508"/>
      <c r="K32" s="3508"/>
      <c r="L32" s="3508"/>
      <c r="M32" s="3508"/>
      <c r="N32" s="3508"/>
      <c r="O32" s="3508"/>
      <c r="P32" s="2480" t="s">
        <v>1300</v>
      </c>
      <c r="Q32" s="1458"/>
      <c r="R32" s="498"/>
      <c r="S32" s="503"/>
      <c r="T32" s="1798"/>
      <c r="U32" s="1793"/>
      <c r="V32" s="1793"/>
      <c r="W32" s="1793"/>
      <c r="Y32" s="740"/>
      <c r="AK32" s="2474"/>
    </row>
    <row r="33" spans="2:39" s="121" customFormat="1" ht="12" customHeight="1" x14ac:dyDescent="0.25">
      <c r="B33" s="1797"/>
      <c r="C33" s="2475"/>
      <c r="D33" s="501"/>
      <c r="E33" s="3435"/>
      <c r="F33" s="2480" t="s">
        <v>339</v>
      </c>
      <c r="G33" s="3507" t="s">
        <v>13081</v>
      </c>
      <c r="H33" s="3508"/>
      <c r="I33" s="3508"/>
      <c r="J33" s="3508"/>
      <c r="K33" s="3508"/>
      <c r="L33" s="3508"/>
      <c r="M33" s="3508"/>
      <c r="N33" s="3508"/>
      <c r="O33" s="3508"/>
      <c r="P33" s="2480" t="s">
        <v>1302</v>
      </c>
      <c r="Q33" s="1458"/>
      <c r="R33" s="498"/>
      <c r="S33" s="503"/>
      <c r="T33" s="1798"/>
      <c r="U33" s="1793"/>
      <c r="V33" s="1793"/>
      <c r="W33" s="1793"/>
      <c r="Y33" s="740"/>
      <c r="AK33" s="2474"/>
    </row>
    <row r="34" spans="2:39" s="121" customFormat="1" ht="12.75" customHeight="1" x14ac:dyDescent="0.25">
      <c r="B34" s="1797"/>
      <c r="C34" s="1786"/>
      <c r="D34" s="501"/>
      <c r="E34" s="3435"/>
      <c r="F34" s="2480" t="s">
        <v>318</v>
      </c>
      <c r="G34" s="3376" t="s">
        <v>13082</v>
      </c>
      <c r="H34" s="3376"/>
      <c r="I34" s="3376"/>
      <c r="J34" s="3376"/>
      <c r="K34" s="3376"/>
      <c r="L34" s="3376"/>
      <c r="M34" s="3376"/>
      <c r="N34" s="3376"/>
      <c r="O34" s="3377"/>
      <c r="P34" s="514" t="s">
        <v>1304</v>
      </c>
      <c r="Q34" s="1459">
        <f>MAX(Q32,Q33)</f>
        <v>0</v>
      </c>
      <c r="R34" s="498"/>
      <c r="S34" s="503"/>
      <c r="T34" s="1798"/>
      <c r="U34" s="1793"/>
      <c r="V34" s="1793"/>
      <c r="W34" s="1793"/>
      <c r="Y34" s="740">
        <f>IF(STCG.A20ia_FullConsideration&lt;&gt;0,1,0)</f>
        <v>0</v>
      </c>
      <c r="AK34"/>
    </row>
    <row r="35" spans="2:39" s="121" customFormat="1" ht="12.75" customHeight="1" x14ac:dyDescent="0.25">
      <c r="B35" s="1797"/>
      <c r="C35" s="1264"/>
      <c r="D35" s="524"/>
      <c r="E35" s="3435"/>
      <c r="F35" s="519" t="s">
        <v>28</v>
      </c>
      <c r="G35" s="3375" t="s">
        <v>914</v>
      </c>
      <c r="H35" s="3376"/>
      <c r="I35" s="3376"/>
      <c r="J35" s="3376"/>
      <c r="K35" s="3376"/>
      <c r="L35" s="3376"/>
      <c r="M35" s="3376"/>
      <c r="N35" s="3376"/>
      <c r="O35" s="3377"/>
      <c r="P35" s="514" t="s">
        <v>699</v>
      </c>
      <c r="Q35" s="1458"/>
      <c r="R35" s="498"/>
      <c r="S35" s="1460"/>
      <c r="T35" s="1798"/>
      <c r="U35" s="1793"/>
      <c r="V35" s="1793"/>
      <c r="W35" s="1793"/>
      <c r="Y35" s="740">
        <f>IF(STCG.A20ib_NetWorthOfDivision&lt;&gt;0,1,0)</f>
        <v>0</v>
      </c>
      <c r="AJ35" s="121" t="s">
        <v>1593</v>
      </c>
      <c r="AK35"/>
    </row>
    <row r="36" spans="2:39" s="121" customFormat="1" ht="12.75" customHeight="1" x14ac:dyDescent="0.25">
      <c r="B36" s="1797"/>
      <c r="C36" s="1786"/>
      <c r="D36" s="524"/>
      <c r="E36" s="3436"/>
      <c r="F36" s="520" t="s">
        <v>29</v>
      </c>
      <c r="G36" s="3540" t="s">
        <v>13083</v>
      </c>
      <c r="H36" s="3541"/>
      <c r="I36" s="3541"/>
      <c r="J36" s="3541"/>
      <c r="K36" s="3541"/>
      <c r="L36" s="3541"/>
      <c r="M36" s="3541"/>
      <c r="N36" s="3541"/>
      <c r="O36" s="3541"/>
      <c r="P36" s="3541"/>
      <c r="Q36" s="3542"/>
      <c r="R36" s="1320" t="s">
        <v>915</v>
      </c>
      <c r="S36" s="1459">
        <f>(STCG.A20ia_FullConsideration-STCG.A20ib_NetWorthOfDivision)</f>
        <v>0</v>
      </c>
      <c r="T36" s="1798"/>
      <c r="U36" s="1793"/>
      <c r="V36" s="1793"/>
      <c r="W36" s="1793"/>
      <c r="Y36" s="740"/>
      <c r="AK36"/>
    </row>
    <row r="37" spans="2:39" s="121" customFormat="1" ht="12.75" customHeight="1" x14ac:dyDescent="0.25">
      <c r="B37" s="1797"/>
      <c r="C37" s="501"/>
      <c r="D37" s="524"/>
      <c r="E37" s="3434">
        <v>3</v>
      </c>
      <c r="F37" s="3385" t="s">
        <v>9002</v>
      </c>
      <c r="G37" s="3534"/>
      <c r="H37" s="3534"/>
      <c r="I37" s="3534"/>
      <c r="J37" s="3534"/>
      <c r="K37" s="3534"/>
      <c r="L37" s="3534"/>
      <c r="M37" s="3534"/>
      <c r="N37" s="3534"/>
      <c r="O37" s="3534"/>
      <c r="P37" s="3386"/>
      <c r="Q37" s="3387"/>
      <c r="R37" s="525"/>
      <c r="S37" s="1461"/>
      <c r="T37" s="501"/>
      <c r="U37" s="1793"/>
      <c r="V37" s="1793"/>
      <c r="W37" s="1793"/>
      <c r="Y37" s="740"/>
      <c r="AK37"/>
    </row>
    <row r="38" spans="2:39" s="121" customFormat="1" ht="12.75" customHeight="1" x14ac:dyDescent="0.25">
      <c r="B38" s="1797"/>
      <c r="C38" s="501"/>
      <c r="D38" s="524"/>
      <c r="E38" s="3435"/>
      <c r="F38" s="513" t="s">
        <v>916</v>
      </c>
      <c r="G38" s="3375" t="s">
        <v>913</v>
      </c>
      <c r="H38" s="3376"/>
      <c r="I38" s="3376"/>
      <c r="J38" s="3376"/>
      <c r="K38" s="3376"/>
      <c r="L38" s="3376"/>
      <c r="M38" s="3376"/>
      <c r="N38" s="3376"/>
      <c r="O38" s="3377"/>
      <c r="P38" s="527" t="s">
        <v>917</v>
      </c>
      <c r="Q38" s="1389"/>
      <c r="R38" s="525"/>
      <c r="S38" s="526"/>
      <c r="T38" s="501"/>
      <c r="U38" s="1793"/>
      <c r="V38" s="1793"/>
      <c r="W38" s="1793"/>
      <c r="Y38" s="740">
        <f>IF(STCG.A2ia_FullConsideration&lt;&gt;0,1,0)</f>
        <v>0</v>
      </c>
      <c r="AC38" s="3384" t="s">
        <v>1585</v>
      </c>
      <c r="AD38" s="3384"/>
      <c r="AG38" s="3384" t="s">
        <v>1591</v>
      </c>
      <c r="AH38" s="3384"/>
      <c r="AI38" s="3384"/>
      <c r="AK38"/>
      <c r="AL38"/>
      <c r="AM38"/>
    </row>
    <row r="39" spans="2:39" s="121" customFormat="1" ht="12.75" customHeight="1" x14ac:dyDescent="0.25">
      <c r="B39" s="1797"/>
      <c r="C39" s="501"/>
      <c r="D39" s="524"/>
      <c r="E39" s="3435"/>
      <c r="F39" s="3422" t="s">
        <v>918</v>
      </c>
      <c r="G39" s="3535" t="s">
        <v>919</v>
      </c>
      <c r="H39" s="3536"/>
      <c r="I39" s="3536"/>
      <c r="J39" s="3536"/>
      <c r="K39" s="3536"/>
      <c r="L39" s="3536"/>
      <c r="M39" s="3536"/>
      <c r="N39" s="3536"/>
      <c r="O39" s="3536"/>
      <c r="P39" s="3420"/>
      <c r="Q39" s="3421"/>
      <c r="R39" s="525"/>
      <c r="S39" s="526"/>
      <c r="T39" s="501"/>
      <c r="U39" s="1793"/>
      <c r="V39" s="1793"/>
      <c r="W39" s="1793"/>
      <c r="Y39" s="740"/>
      <c r="AB39" s="3384" t="s">
        <v>1579</v>
      </c>
      <c r="AC39" s="740" t="s">
        <v>1584</v>
      </c>
      <c r="AD39" s="740">
        <f>SUM(STCG.A2ie_CapgainonAssets,STCG.A3a_NRItaxSTTPaid,-STCG_DTAA_A3ie,-STCG_DTAA_A4a)</f>
        <v>0</v>
      </c>
      <c r="AK39"/>
      <c r="AL39"/>
      <c r="AM39"/>
    </row>
    <row r="40" spans="2:39" s="121" customFormat="1" ht="12.75" customHeight="1" x14ac:dyDescent="0.25">
      <c r="B40" s="1797"/>
      <c r="C40" s="501"/>
      <c r="D40" s="524"/>
      <c r="E40" s="3435"/>
      <c r="F40" s="3423"/>
      <c r="G40" s="508" t="s">
        <v>680</v>
      </c>
      <c r="H40" s="3375" t="s">
        <v>898</v>
      </c>
      <c r="I40" s="3376"/>
      <c r="J40" s="3376"/>
      <c r="K40" s="3376"/>
      <c r="L40" s="3376"/>
      <c r="M40" s="3376"/>
      <c r="N40" s="3376"/>
      <c r="O40" s="3377"/>
      <c r="P40" s="381" t="s">
        <v>9755</v>
      </c>
      <c r="Q40" s="1389"/>
      <c r="R40" s="525"/>
      <c r="S40" s="526"/>
      <c r="T40" s="501"/>
      <c r="U40" s="1793"/>
      <c r="V40" s="1793"/>
      <c r="W40" s="1793"/>
      <c r="Y40" s="740">
        <f>IF(STCG.A2ibi_AquisitCost&lt;&gt;0,1,0)</f>
        <v>0</v>
      </c>
      <c r="AB40" s="3384"/>
      <c r="AC40" s="740"/>
      <c r="AD40" s="740"/>
      <c r="AH40" s="121">
        <f>AD39+AD41</f>
        <v>0</v>
      </c>
      <c r="AK40"/>
      <c r="AL40"/>
      <c r="AM40"/>
    </row>
    <row r="41" spans="2:39" s="121" customFormat="1" ht="12.75" customHeight="1" x14ac:dyDescent="0.25">
      <c r="B41" s="1797"/>
      <c r="C41" s="501"/>
      <c r="D41" s="524"/>
      <c r="E41" s="3435"/>
      <c r="F41" s="3423"/>
      <c r="G41" s="508" t="s">
        <v>681</v>
      </c>
      <c r="H41" s="3375" t="s">
        <v>899</v>
      </c>
      <c r="I41" s="3376"/>
      <c r="J41" s="3376"/>
      <c r="K41" s="3376"/>
      <c r="L41" s="3376"/>
      <c r="M41" s="3376"/>
      <c r="N41" s="3376"/>
      <c r="O41" s="3377"/>
      <c r="P41" s="381" t="s">
        <v>9756</v>
      </c>
      <c r="Q41" s="1389"/>
      <c r="R41" s="525"/>
      <c r="S41" s="526"/>
      <c r="T41" s="501"/>
      <c r="U41" s="1793"/>
      <c r="V41" s="1793"/>
      <c r="W41" s="1793"/>
      <c r="Y41" s="740">
        <f>IF(STCG.A2ibii_ImproveCost&lt;&gt;0,1,0)</f>
        <v>0</v>
      </c>
      <c r="AB41" s="3384"/>
      <c r="AC41" s="740" t="s">
        <v>1588</v>
      </c>
      <c r="AD41" s="740">
        <f>SUM(STCG.A2iie_CapgainonAssets,-STCG_DTAA_A3iie)</f>
        <v>0</v>
      </c>
      <c r="AK41"/>
      <c r="AL41"/>
      <c r="AM41"/>
    </row>
    <row r="42" spans="2:39" s="121" customFormat="1" ht="12.75" customHeight="1" x14ac:dyDescent="0.25">
      <c r="B42" s="1797"/>
      <c r="C42" s="501"/>
      <c r="D42" s="524"/>
      <c r="E42" s="3435"/>
      <c r="F42" s="3423"/>
      <c r="G42" s="509" t="s">
        <v>682</v>
      </c>
      <c r="H42" s="3375" t="s">
        <v>900</v>
      </c>
      <c r="I42" s="3376"/>
      <c r="J42" s="3376"/>
      <c r="K42" s="3376"/>
      <c r="L42" s="3376"/>
      <c r="M42" s="3376"/>
      <c r="N42" s="3376"/>
      <c r="O42" s="3377"/>
      <c r="P42" s="2042" t="s">
        <v>9757</v>
      </c>
      <c r="Q42" s="1389"/>
      <c r="R42" s="525"/>
      <c r="S42" s="526"/>
      <c r="T42" s="501"/>
      <c r="U42" s="1793"/>
      <c r="V42" s="1793"/>
      <c r="W42" s="1793"/>
      <c r="Y42" s="740">
        <f>IF(STCG.A2ibiii_ExpOnTrans&lt;&gt;0,1,0)</f>
        <v>0</v>
      </c>
      <c r="AC42" s="740" t="s">
        <v>7595</v>
      </c>
      <c r="AD42" s="740">
        <f>SUM(STCG.A8_PassThroughIncome15,-STCG_DTAA_A8a)</f>
        <v>0</v>
      </c>
      <c r="AK42"/>
      <c r="AL42"/>
      <c r="AM42"/>
    </row>
    <row r="43" spans="2:39" s="121" customFormat="1" ht="12.75" customHeight="1" x14ac:dyDescent="0.25">
      <c r="B43" s="1797"/>
      <c r="C43" s="501"/>
      <c r="D43" s="524"/>
      <c r="E43" s="3435"/>
      <c r="F43" s="3424"/>
      <c r="G43" s="518" t="s">
        <v>920</v>
      </c>
      <c r="H43" s="3391" t="s">
        <v>13241</v>
      </c>
      <c r="I43" s="3392"/>
      <c r="J43" s="3392"/>
      <c r="K43" s="3392"/>
      <c r="L43" s="3392"/>
      <c r="M43" s="3392"/>
      <c r="N43" s="3392"/>
      <c r="O43" s="3393"/>
      <c r="P43" s="518" t="s">
        <v>922</v>
      </c>
      <c r="Q43" s="1457">
        <f>SUM(Q40:Q42)</f>
        <v>0</v>
      </c>
      <c r="R43" s="525"/>
      <c r="S43" s="526"/>
      <c r="T43" s="501"/>
      <c r="U43" s="1793"/>
      <c r="V43" s="1793"/>
      <c r="W43" s="1793"/>
      <c r="Y43" s="740"/>
      <c r="AK43"/>
      <c r="AL43"/>
      <c r="AM43"/>
    </row>
    <row r="44" spans="2:39" s="121" customFormat="1" ht="12.75" customHeight="1" x14ac:dyDescent="0.25">
      <c r="B44" s="1797"/>
      <c r="C44" s="501"/>
      <c r="D44" s="524"/>
      <c r="E44" s="3435"/>
      <c r="F44" s="516" t="s">
        <v>923</v>
      </c>
      <c r="G44" s="3391" t="s">
        <v>1341</v>
      </c>
      <c r="H44" s="3392"/>
      <c r="I44" s="3392"/>
      <c r="J44" s="3392"/>
      <c r="K44" s="3392"/>
      <c r="L44" s="3392"/>
      <c r="M44" s="3392"/>
      <c r="N44" s="3392"/>
      <c r="O44" s="3393"/>
      <c r="P44" s="523" t="s">
        <v>925</v>
      </c>
      <c r="Q44" s="1457">
        <f>(STCG.A2ia_FullConsideration-STCG.A2ibiv_TotalDedn)</f>
        <v>0</v>
      </c>
      <c r="R44" s="525"/>
      <c r="S44" s="526"/>
      <c r="T44" s="501"/>
      <c r="U44" s="1793"/>
      <c r="V44" s="1793"/>
      <c r="W44" s="1793"/>
      <c r="Y44" s="740"/>
      <c r="AK44"/>
      <c r="AL44"/>
      <c r="AM44"/>
    </row>
    <row r="45" spans="2:39" s="121" customFormat="1" ht="33.75" customHeight="1" x14ac:dyDescent="0.25">
      <c r="B45" s="1797"/>
      <c r="C45" s="501"/>
      <c r="D45" s="524"/>
      <c r="E45" s="3435"/>
      <c r="F45" s="507" t="s">
        <v>926</v>
      </c>
      <c r="G45" s="3385" t="s">
        <v>9748</v>
      </c>
      <c r="H45" s="3386"/>
      <c r="I45" s="3386"/>
      <c r="J45" s="3386"/>
      <c r="K45" s="3386"/>
      <c r="L45" s="3386"/>
      <c r="M45" s="3386"/>
      <c r="N45" s="3386"/>
      <c r="O45" s="3387"/>
      <c r="P45" s="528" t="s">
        <v>928</v>
      </c>
      <c r="Q45" s="1389"/>
      <c r="R45" s="525"/>
      <c r="S45" s="526"/>
      <c r="T45" s="501"/>
      <c r="U45" s="1793"/>
      <c r="V45" s="1793"/>
      <c r="W45" s="1793"/>
      <c r="Y45" s="740">
        <f>IF(STCG.A2id_LossSec94of7Or94of8&lt;&gt;0,1,0)</f>
        <v>0</v>
      </c>
      <c r="AB45" s="3384" t="s">
        <v>1592</v>
      </c>
      <c r="AC45" s="740" t="s">
        <v>1580</v>
      </c>
      <c r="AD45" s="740">
        <f>SUM(LTCG.B3e_CapgainonAssets,-LTCG_DTAA_B4ie)</f>
        <v>0</v>
      </c>
      <c r="AK45"/>
      <c r="AL45"/>
      <c r="AM45"/>
    </row>
    <row r="46" spans="2:39" s="121" customFormat="1" ht="12.75" customHeight="1" x14ac:dyDescent="0.25">
      <c r="B46" s="1797"/>
      <c r="C46" s="501"/>
      <c r="D46" s="524"/>
      <c r="E46" s="3435"/>
      <c r="F46" s="529" t="s">
        <v>929</v>
      </c>
      <c r="G46" s="3391" t="s">
        <v>8220</v>
      </c>
      <c r="H46" s="3392"/>
      <c r="I46" s="3392"/>
      <c r="J46" s="3392"/>
      <c r="K46" s="3392"/>
      <c r="L46" s="3392"/>
      <c r="M46" s="3392"/>
      <c r="N46" s="3392"/>
      <c r="O46" s="3392"/>
      <c r="P46" s="3392"/>
      <c r="Q46" s="3393"/>
      <c r="R46" s="520" t="s">
        <v>930</v>
      </c>
      <c r="S46" s="1019">
        <f>SUM(Q44,Q45)</f>
        <v>0</v>
      </c>
      <c r="T46" s="501"/>
      <c r="U46" s="1793"/>
      <c r="V46" s="1793"/>
      <c r="W46" s="1793"/>
      <c r="Y46" s="740"/>
      <c r="AB46" s="3384"/>
      <c r="AC46" s="740" t="s">
        <v>1581</v>
      </c>
      <c r="AD46" s="740">
        <f>SUM(LTCG.Bi5e_CapgainonAssets,-LTCG_DTAA_B7ie)</f>
        <v>0</v>
      </c>
      <c r="AK46"/>
      <c r="AL46"/>
      <c r="AM46"/>
    </row>
    <row r="47" spans="2:39" s="121" customFormat="1" ht="12.75" customHeight="1" x14ac:dyDescent="0.25">
      <c r="B47" s="1797"/>
      <c r="C47" s="501"/>
      <c r="D47" s="524"/>
      <c r="E47" s="3435"/>
      <c r="F47" s="3385" t="s">
        <v>8221</v>
      </c>
      <c r="G47" s="3534"/>
      <c r="H47" s="3534"/>
      <c r="I47" s="3534"/>
      <c r="J47" s="3534"/>
      <c r="K47" s="3534"/>
      <c r="L47" s="3534"/>
      <c r="M47" s="3534"/>
      <c r="N47" s="3534"/>
      <c r="O47" s="3534"/>
      <c r="P47" s="3386"/>
      <c r="Q47" s="3387"/>
      <c r="R47" s="525"/>
      <c r="S47" s="526"/>
      <c r="T47" s="501"/>
      <c r="U47" s="1793"/>
      <c r="V47" s="1793"/>
      <c r="W47" s="1793"/>
      <c r="Y47" s="740"/>
      <c r="AB47" s="3384"/>
      <c r="AC47" s="740" t="s">
        <v>1582</v>
      </c>
      <c r="AD47" s="740">
        <f>SUM(LTCG.Bii5e_CapgainonAssets,-LTCG_DTAA_B7iie)</f>
        <v>0</v>
      </c>
      <c r="AE47" s="740" t="s">
        <v>12076</v>
      </c>
      <c r="AF47" s="740">
        <f>SUM(LTCG.B12_PassThroughIncome10_112A,-LTCG_DTAA_B12a1)</f>
        <v>0</v>
      </c>
      <c r="AK47"/>
      <c r="AL47"/>
      <c r="AM47"/>
    </row>
    <row r="48" spans="2:39" s="121" customFormat="1" ht="12.75" customHeight="1" x14ac:dyDescent="0.25">
      <c r="B48" s="1797"/>
      <c r="C48" s="501"/>
      <c r="D48" s="524"/>
      <c r="E48" s="3435"/>
      <c r="F48" s="513" t="s">
        <v>931</v>
      </c>
      <c r="G48" s="3564" t="s">
        <v>913</v>
      </c>
      <c r="H48" s="3565"/>
      <c r="I48" s="3565"/>
      <c r="J48" s="3565"/>
      <c r="K48" s="3565"/>
      <c r="L48" s="3565"/>
      <c r="M48" s="3565"/>
      <c r="N48" s="3565"/>
      <c r="O48" s="3566"/>
      <c r="P48" s="527" t="s">
        <v>932</v>
      </c>
      <c r="Q48" s="2593"/>
      <c r="R48" s="525"/>
      <c r="S48" s="526"/>
      <c r="T48" s="501"/>
      <c r="U48" s="1793"/>
      <c r="V48" s="1793"/>
      <c r="W48" s="1793"/>
      <c r="Y48" s="740">
        <f>IF(STCG.A2iia_FullConsideration&lt;&gt;0,1,0)</f>
        <v>0</v>
      </c>
      <c r="AB48" s="3384"/>
      <c r="AC48" s="740" t="s">
        <v>1583</v>
      </c>
      <c r="AD48" s="740">
        <f>SUM(LTCG.Bii3e_CapgainonAssets,-LTCG_DTAA_B4iie)</f>
        <v>0</v>
      </c>
      <c r="AE48" s="740" t="s">
        <v>7595</v>
      </c>
      <c r="AF48" s="740">
        <f>SUM(LTCG.B12_PassThroughIncome10,-LTCG_DTAA_B12a2)</f>
        <v>0</v>
      </c>
      <c r="AK48"/>
      <c r="AL48"/>
      <c r="AM48"/>
    </row>
    <row r="49" spans="2:39" s="121" customFormat="1" ht="12.75" customHeight="1" x14ac:dyDescent="0.25">
      <c r="B49" s="1797"/>
      <c r="C49" s="501"/>
      <c r="D49" s="524"/>
      <c r="E49" s="3435"/>
      <c r="F49" s="3422" t="s">
        <v>933</v>
      </c>
      <c r="G49" s="3535" t="s">
        <v>919</v>
      </c>
      <c r="H49" s="3536"/>
      <c r="I49" s="3536"/>
      <c r="J49" s="3536"/>
      <c r="K49" s="3536"/>
      <c r="L49" s="3536"/>
      <c r="M49" s="3536"/>
      <c r="N49" s="3536"/>
      <c r="O49" s="3536"/>
      <c r="P49" s="3420"/>
      <c r="Q49" s="3421"/>
      <c r="R49" s="525"/>
      <c r="S49" s="526"/>
      <c r="T49" s="501"/>
      <c r="U49" s="1793"/>
      <c r="V49" s="1793"/>
      <c r="W49" s="1793"/>
      <c r="Y49" s="740"/>
      <c r="AB49" s="3384"/>
      <c r="AC49" s="740" t="s">
        <v>1586</v>
      </c>
      <c r="AD49" s="740">
        <f>SUM(LTCG.Biii5e_CapgainonAssets,-LTCG_DTAA_B7iiie)</f>
        <v>0</v>
      </c>
      <c r="AE49" s="1687" t="s">
        <v>9286</v>
      </c>
      <c r="AF49" s="740">
        <f>SUM(LTCG.5.LTCG_AssetsB8Above,-LTCG_DTAA_B8c)</f>
        <v>0</v>
      </c>
      <c r="AK49"/>
      <c r="AL49"/>
      <c r="AM49"/>
    </row>
    <row r="50" spans="2:39" s="121" customFormat="1" ht="12.75" customHeight="1" x14ac:dyDescent="0.25">
      <c r="B50" s="1797"/>
      <c r="C50" s="501"/>
      <c r="D50" s="524"/>
      <c r="E50" s="3435"/>
      <c r="F50" s="3423"/>
      <c r="G50" s="508" t="s">
        <v>680</v>
      </c>
      <c r="H50" s="3375" t="s">
        <v>898</v>
      </c>
      <c r="I50" s="3376"/>
      <c r="J50" s="3376"/>
      <c r="K50" s="3376"/>
      <c r="L50" s="3376"/>
      <c r="M50" s="3376"/>
      <c r="N50" s="3376"/>
      <c r="O50" s="3377"/>
      <c r="P50" s="381" t="s">
        <v>9758</v>
      </c>
      <c r="Q50" s="2088"/>
      <c r="R50" s="525"/>
      <c r="S50" s="526"/>
      <c r="T50" s="501"/>
      <c r="U50" s="1793"/>
      <c r="V50" s="1793"/>
      <c r="W50" s="1793"/>
      <c r="Y50" s="740">
        <f>IF(STCG.A2iibi_AquisitCost&lt;&gt;0,1,0)</f>
        <v>0</v>
      </c>
      <c r="AB50" s="3384"/>
      <c r="AC50" s="740" t="s">
        <v>1587</v>
      </c>
      <c r="AD50" s="740">
        <f>SUM(LTCG.B6c_BalonSpeciAsset,-LTCG_DTAA_B9c)</f>
        <v>0</v>
      </c>
      <c r="AE50" s="740" t="s">
        <v>9287</v>
      </c>
      <c r="AF50" s="740">
        <f>SUM(LTCG.5.LTCG_OnSaleCapitalAssets,-LTCG_DTAA_B5c)</f>
        <v>0</v>
      </c>
      <c r="AK50"/>
      <c r="AL50"/>
      <c r="AM50"/>
    </row>
    <row r="51" spans="2:39" s="121" customFormat="1" ht="12.75" customHeight="1" x14ac:dyDescent="0.25">
      <c r="B51" s="1797"/>
      <c r="C51" s="501"/>
      <c r="D51" s="524"/>
      <c r="E51" s="3435"/>
      <c r="F51" s="3423"/>
      <c r="G51" s="508" t="s">
        <v>681</v>
      </c>
      <c r="H51" s="3375" t="s">
        <v>899</v>
      </c>
      <c r="I51" s="3376"/>
      <c r="J51" s="3376"/>
      <c r="K51" s="3376"/>
      <c r="L51" s="3376"/>
      <c r="M51" s="3376"/>
      <c r="N51" s="3376"/>
      <c r="O51" s="3377"/>
      <c r="P51" s="381" t="s">
        <v>9759</v>
      </c>
      <c r="Q51" s="2088"/>
      <c r="R51" s="525"/>
      <c r="S51" s="526"/>
      <c r="T51" s="501"/>
      <c r="U51" s="1793"/>
      <c r="V51" s="1793"/>
      <c r="W51" s="1793"/>
      <c r="Y51" s="740">
        <f>IF(STCG.A2iibii_ImproveCost&lt;&gt;0,1,0)</f>
        <v>0</v>
      </c>
      <c r="AK51"/>
      <c r="AL51"/>
      <c r="AM51"/>
    </row>
    <row r="52" spans="2:39" s="121" customFormat="1" ht="12.75" customHeight="1" x14ac:dyDescent="0.25">
      <c r="B52" s="1797"/>
      <c r="C52" s="501"/>
      <c r="D52" s="524"/>
      <c r="E52" s="3435"/>
      <c r="F52" s="3423"/>
      <c r="G52" s="509" t="s">
        <v>682</v>
      </c>
      <c r="H52" s="3375" t="s">
        <v>900</v>
      </c>
      <c r="I52" s="3376"/>
      <c r="J52" s="3376"/>
      <c r="K52" s="3376"/>
      <c r="L52" s="3376"/>
      <c r="M52" s="3376"/>
      <c r="N52" s="3376"/>
      <c r="O52" s="3377"/>
      <c r="P52" s="2042" t="s">
        <v>9760</v>
      </c>
      <c r="Q52" s="2088"/>
      <c r="R52" s="525"/>
      <c r="S52" s="526"/>
      <c r="T52" s="501"/>
      <c r="U52" s="1793"/>
      <c r="V52" s="1793"/>
      <c r="W52" s="1793"/>
      <c r="Y52" s="740">
        <f>IF(STCG.A2iibiii_ExpOnTrans&lt;&gt;0,1,0)</f>
        <v>0</v>
      </c>
      <c r="AK52"/>
      <c r="AL52"/>
      <c r="AM52"/>
    </row>
    <row r="53" spans="2:39" s="121" customFormat="1" ht="12.75" customHeight="1" x14ac:dyDescent="0.25">
      <c r="B53" s="1797"/>
      <c r="C53" s="501"/>
      <c r="D53" s="524"/>
      <c r="E53" s="3435"/>
      <c r="F53" s="3424"/>
      <c r="G53" s="518" t="s">
        <v>920</v>
      </c>
      <c r="H53" s="3391" t="s">
        <v>921</v>
      </c>
      <c r="I53" s="3392"/>
      <c r="J53" s="3392"/>
      <c r="K53" s="3392"/>
      <c r="L53" s="3392"/>
      <c r="M53" s="3392"/>
      <c r="N53" s="3392"/>
      <c r="O53" s="3393"/>
      <c r="P53" s="518" t="s">
        <v>934</v>
      </c>
      <c r="Q53" s="486">
        <f>SUM(Q50:Q52)</f>
        <v>0</v>
      </c>
      <c r="R53" s="525"/>
      <c r="S53" s="526"/>
      <c r="T53" s="501"/>
      <c r="U53" s="1793"/>
      <c r="V53" s="1793"/>
      <c r="W53" s="1793"/>
      <c r="Y53" s="740"/>
      <c r="AK53"/>
      <c r="AL53"/>
      <c r="AM53"/>
    </row>
    <row r="54" spans="2:39" s="121" customFormat="1" ht="12.75" customHeight="1" x14ac:dyDescent="0.2">
      <c r="B54" s="1797"/>
      <c r="C54" s="501"/>
      <c r="D54" s="524"/>
      <c r="E54" s="3435"/>
      <c r="F54" s="516" t="s">
        <v>935</v>
      </c>
      <c r="G54" s="3391" t="s">
        <v>924</v>
      </c>
      <c r="H54" s="3392"/>
      <c r="I54" s="3392"/>
      <c r="J54" s="3392"/>
      <c r="K54" s="3392"/>
      <c r="L54" s="3392"/>
      <c r="M54" s="3392"/>
      <c r="N54" s="3392"/>
      <c r="O54" s="3393"/>
      <c r="P54" s="523" t="s">
        <v>936</v>
      </c>
      <c r="Q54" s="486">
        <f>(STCG.A2iia_FullConsideration-STCG.A2iibiv_TotalDedn)</f>
        <v>0</v>
      </c>
      <c r="R54" s="525"/>
      <c r="S54" s="526"/>
      <c r="T54" s="501"/>
      <c r="U54" s="1793"/>
      <c r="V54" s="1793"/>
      <c r="W54" s="1793"/>
      <c r="Y54" s="740"/>
      <c r="AB54" s="3384" t="s">
        <v>1590</v>
      </c>
      <c r="AC54" s="1678">
        <v>112</v>
      </c>
      <c r="AD54" s="1800">
        <f>SUM(LTCG.B1e_CapgainonAssets,LTCG.B02e_CapgainonAssets,LTCG.B2e_CapgainonAssets,LTCG.B4e_LTCGOnUnlistedSecurity,LTCG.B7e_CapgainonAssets,LTCG.B8_ExemptionGrandTotal,LTCG.B9_AmtDeemed,-LTCG_DTAA_B1e,-LTCG_DTAA_B2e,-LTCG_DTAA_B3e,-LTCG_DTAA_B6c,-LTCG_DTAA_B10e,-LTCG_DTAA_B11)</f>
        <v>0</v>
      </c>
    </row>
    <row r="55" spans="2:39" s="121" customFormat="1" ht="33.75" customHeight="1" x14ac:dyDescent="0.2">
      <c r="B55" s="1797"/>
      <c r="C55" s="501"/>
      <c r="D55" s="524"/>
      <c r="E55" s="3435"/>
      <c r="F55" s="507" t="s">
        <v>937</v>
      </c>
      <c r="G55" s="3385" t="s">
        <v>927</v>
      </c>
      <c r="H55" s="3386"/>
      <c r="I55" s="3386"/>
      <c r="J55" s="3386"/>
      <c r="K55" s="3386"/>
      <c r="L55" s="3386"/>
      <c r="M55" s="3386"/>
      <c r="N55" s="3386"/>
      <c r="O55" s="3387"/>
      <c r="P55" s="528" t="s">
        <v>938</v>
      </c>
      <c r="Q55" s="2088"/>
      <c r="R55" s="525"/>
      <c r="S55" s="526"/>
      <c r="T55" s="501"/>
      <c r="U55" s="1793"/>
      <c r="V55" s="1793"/>
      <c r="W55" s="1793"/>
      <c r="Y55" s="740">
        <f>IF(STCG.A2iid_LossSec94of7Or94of8&lt;&gt;0,1,0)</f>
        <v>0</v>
      </c>
      <c r="AB55" s="3384"/>
      <c r="AC55" s="740" t="s">
        <v>1589</v>
      </c>
      <c r="AD55" s="740">
        <f>SUM(LTCG.B6f_BalOtherthanSpecAsset,-LTCG_DTAA_B9f)</f>
        <v>0</v>
      </c>
    </row>
    <row r="56" spans="2:39" s="121" customFormat="1" ht="24.75" customHeight="1" x14ac:dyDescent="0.2">
      <c r="B56" s="1797"/>
      <c r="C56" s="501"/>
      <c r="D56" s="524"/>
      <c r="E56" s="3436"/>
      <c r="F56" s="529" t="s">
        <v>939</v>
      </c>
      <c r="G56" s="3385" t="s">
        <v>8222</v>
      </c>
      <c r="H56" s="3386"/>
      <c r="I56" s="3386"/>
      <c r="J56" s="3386"/>
      <c r="K56" s="3386"/>
      <c r="L56" s="3386"/>
      <c r="M56" s="3386"/>
      <c r="N56" s="3386"/>
      <c r="O56" s="3386"/>
      <c r="P56" s="3386"/>
      <c r="Q56" s="3387"/>
      <c r="R56" s="520" t="s">
        <v>940</v>
      </c>
      <c r="S56" s="1019">
        <f>(STCG.A2iic_BalanceCG+STCG.A2iid_LossSec94of7Or94of8)</f>
        <v>0</v>
      </c>
      <c r="T56" s="501"/>
      <c r="U56" s="1793"/>
      <c r="V56" s="1793"/>
      <c r="W56" s="1793"/>
      <c r="Y56" s="740"/>
      <c r="AC56" s="740" t="s">
        <v>7595</v>
      </c>
      <c r="AD56" s="740">
        <f>SUM(LTCG.B12_PassThroughIncome20,-LTCG_DTAA_B12b)</f>
        <v>0</v>
      </c>
    </row>
    <row r="57" spans="2:39" s="121" customFormat="1" ht="12.75" hidden="1" customHeight="1" x14ac:dyDescent="0.2">
      <c r="B57" s="1797"/>
      <c r="C57" s="501"/>
      <c r="D57" s="524"/>
      <c r="E57" s="1938">
        <v>4</v>
      </c>
      <c r="F57" s="3498" t="s">
        <v>7330</v>
      </c>
      <c r="G57" s="3499"/>
      <c r="H57" s="3499"/>
      <c r="I57" s="3499"/>
      <c r="J57" s="3499"/>
      <c r="K57" s="3499"/>
      <c r="L57" s="3499"/>
      <c r="M57" s="3499"/>
      <c r="N57" s="3499"/>
      <c r="O57" s="3499"/>
      <c r="P57" s="3499"/>
      <c r="Q57" s="3500"/>
      <c r="R57" s="531"/>
      <c r="S57" s="532"/>
      <c r="T57" s="501"/>
      <c r="U57" s="1793"/>
      <c r="V57" s="1793"/>
      <c r="W57" s="1793"/>
      <c r="Y57" s="740"/>
    </row>
    <row r="58" spans="2:39" s="121" customFormat="1" ht="12.75" hidden="1" customHeight="1" x14ac:dyDescent="0.2">
      <c r="B58" s="1797"/>
      <c r="C58" s="501"/>
      <c r="D58" s="524"/>
      <c r="E58" s="533"/>
      <c r="F58" s="506" t="s">
        <v>27</v>
      </c>
      <c r="G58" s="3407" t="s">
        <v>1027</v>
      </c>
      <c r="H58" s="3408"/>
      <c r="I58" s="3408"/>
      <c r="J58" s="3408"/>
      <c r="K58" s="3408"/>
      <c r="L58" s="3408"/>
      <c r="M58" s="3408"/>
      <c r="N58" s="3408"/>
      <c r="O58" s="3408"/>
      <c r="P58" s="3408"/>
      <c r="Q58" s="3409"/>
      <c r="R58" s="2040" t="s">
        <v>1028</v>
      </c>
      <c r="S58" s="2618"/>
      <c r="T58" s="501"/>
      <c r="U58" s="1793"/>
      <c r="V58" s="1793"/>
      <c r="W58" s="1793"/>
      <c r="Y58" s="740"/>
      <c r="AB58" s="3384" t="s">
        <v>9288</v>
      </c>
      <c r="AC58" s="740" t="s">
        <v>9289</v>
      </c>
      <c r="AD58" s="740">
        <f>SUM(STCG.A4e_CapgainonAssets,-STCG_DTAA_A5e)</f>
        <v>0</v>
      </c>
    </row>
    <row r="59" spans="2:39" s="121" customFormat="1" ht="12.75" hidden="1" customHeight="1" x14ac:dyDescent="0.2">
      <c r="B59" s="1797"/>
      <c r="C59" s="501"/>
      <c r="D59" s="524"/>
      <c r="E59" s="535"/>
      <c r="F59" s="513" t="s">
        <v>28</v>
      </c>
      <c r="G59" s="3407" t="s">
        <v>1029</v>
      </c>
      <c r="H59" s="3408"/>
      <c r="I59" s="3408"/>
      <c r="J59" s="3408"/>
      <c r="K59" s="3408"/>
      <c r="L59" s="3408"/>
      <c r="M59" s="3408"/>
      <c r="N59" s="3408"/>
      <c r="O59" s="3408"/>
      <c r="P59" s="3408"/>
      <c r="Q59" s="3409"/>
      <c r="R59" s="2041" t="s">
        <v>1030</v>
      </c>
      <c r="S59" s="2618"/>
      <c r="T59" s="501"/>
      <c r="U59" s="1793"/>
      <c r="V59" s="1793"/>
      <c r="W59" s="1793"/>
      <c r="Y59" s="740"/>
      <c r="AB59" s="3384"/>
      <c r="AC59" s="740" t="s">
        <v>7595</v>
      </c>
      <c r="AD59" s="740">
        <f>SUM(STCG.A8_PassThroughIncome30,-STCG_DTAA_A8b)</f>
        <v>0</v>
      </c>
    </row>
    <row r="60" spans="2:39" s="121" customFormat="1" ht="12.75" hidden="1" customHeight="1" x14ac:dyDescent="0.2">
      <c r="B60" s="1797"/>
      <c r="C60" s="501"/>
      <c r="D60" s="524"/>
      <c r="E60" s="538">
        <v>5</v>
      </c>
      <c r="F60" s="3381" t="s">
        <v>7331</v>
      </c>
      <c r="G60" s="3382"/>
      <c r="H60" s="3382"/>
      <c r="I60" s="3382"/>
      <c r="J60" s="3382"/>
      <c r="K60" s="3382"/>
      <c r="L60" s="3382"/>
      <c r="M60" s="3382"/>
      <c r="N60" s="3382"/>
      <c r="O60" s="3382"/>
      <c r="P60" s="3382"/>
      <c r="Q60" s="3383"/>
      <c r="R60" s="525"/>
      <c r="S60" s="526"/>
      <c r="T60" s="501"/>
      <c r="U60" s="1793"/>
      <c r="V60" s="1793"/>
      <c r="W60" s="1793"/>
      <c r="Y60" s="740"/>
    </row>
    <row r="61" spans="2:39" s="124" customFormat="1" ht="15" hidden="1" customHeight="1" x14ac:dyDescent="0.2">
      <c r="B61" s="1801"/>
      <c r="C61" s="501"/>
      <c r="D61" s="524"/>
      <c r="E61" s="641"/>
      <c r="F61" s="3378" t="s">
        <v>27</v>
      </c>
      <c r="G61" s="3378" t="s">
        <v>287</v>
      </c>
      <c r="H61" s="3410" t="s">
        <v>8310</v>
      </c>
      <c r="I61" s="3411"/>
      <c r="J61" s="3411"/>
      <c r="K61" s="3411"/>
      <c r="L61" s="3411"/>
      <c r="M61" s="3411"/>
      <c r="N61" s="3411"/>
      <c r="O61" s="3411"/>
      <c r="P61" s="3411"/>
      <c r="Q61" s="3412"/>
      <c r="R61" s="568"/>
      <c r="S61" s="1000"/>
      <c r="T61" s="501"/>
      <c r="U61" s="1793"/>
      <c r="V61" s="1793"/>
      <c r="W61" s="1793"/>
      <c r="Y61" s="1802"/>
    </row>
    <row r="62" spans="2:39" s="124" customFormat="1" ht="12.75" hidden="1" customHeight="1" x14ac:dyDescent="0.2">
      <c r="B62" s="1801"/>
      <c r="C62" s="501"/>
      <c r="D62" s="524"/>
      <c r="E62" s="641"/>
      <c r="F62" s="3379"/>
      <c r="G62" s="3379"/>
      <c r="H62" s="544" t="s">
        <v>27</v>
      </c>
      <c r="I62" s="3381" t="s">
        <v>8311</v>
      </c>
      <c r="J62" s="3382"/>
      <c r="K62" s="3382"/>
      <c r="L62" s="3382"/>
      <c r="M62" s="3382"/>
      <c r="N62" s="3382"/>
      <c r="O62" s="3383"/>
      <c r="P62" s="528" t="s">
        <v>8775</v>
      </c>
      <c r="Q62" s="2655"/>
      <c r="R62" s="568"/>
      <c r="S62" s="1000"/>
      <c r="T62" s="501"/>
      <c r="U62" s="1793"/>
      <c r="V62" s="1793"/>
      <c r="W62" s="1793"/>
      <c r="Y62" s="1802">
        <f>IF(STCG.A4aia_FullConsideration&lt;&gt;0,1,0)</f>
        <v>0</v>
      </c>
      <c r="AB62" s="3384" t="s">
        <v>9290</v>
      </c>
      <c r="AC62" s="1802" t="s">
        <v>9291</v>
      </c>
      <c r="AD62" s="1802">
        <f>SUM(STCG.A1e_CapgainonAssets,STCG.A20ic_CapgainonAssets,STCG.A3b_NRItaxSTTNotPaid,STCG.A5e_CapgainonAssets,STCG.A7_AmtDeemed,-STCG_DTAA_A1e,-STCG_DTAA_A2c,-STCG_DTAA_A4b,-Stcg_DTAA_A6f,-STCG_DTAA_A7)</f>
        <v>0</v>
      </c>
    </row>
    <row r="63" spans="2:39" s="124" customFormat="1" ht="12.75" hidden="1" customHeight="1" x14ac:dyDescent="0.2">
      <c r="B63" s="1801"/>
      <c r="C63" s="501"/>
      <c r="D63" s="524"/>
      <c r="E63" s="641"/>
      <c r="F63" s="3379"/>
      <c r="G63" s="3379"/>
      <c r="H63" s="544" t="s">
        <v>28</v>
      </c>
      <c r="I63" s="3381" t="s">
        <v>8312</v>
      </c>
      <c r="J63" s="3382"/>
      <c r="K63" s="3382"/>
      <c r="L63" s="3382"/>
      <c r="M63" s="3382"/>
      <c r="N63" s="3382"/>
      <c r="O63" s="3383"/>
      <c r="P63" s="528" t="s">
        <v>8773</v>
      </c>
      <c r="Q63" s="2655"/>
      <c r="R63" s="568"/>
      <c r="S63" s="1000"/>
      <c r="T63" s="501"/>
      <c r="U63" s="1793"/>
      <c r="V63" s="1793"/>
      <c r="W63" s="1793"/>
      <c r="Y63" s="1802">
        <f>IF(STCG.A4aib_FullMarketvalue&lt;&gt;0,1,0)</f>
        <v>0</v>
      </c>
      <c r="AB63" s="3384"/>
      <c r="AC63" s="1802" t="s">
        <v>7595</v>
      </c>
      <c r="AD63" s="1802">
        <f>SUM(STCG.A8_PassThroughIncome_ApplicableRate,STCG_DTAA_A8c)</f>
        <v>0</v>
      </c>
    </row>
    <row r="64" spans="2:39" s="124" customFormat="1" ht="29.25" hidden="1" customHeight="1" x14ac:dyDescent="0.2">
      <c r="B64" s="1801"/>
      <c r="C64" s="501"/>
      <c r="D64" s="524"/>
      <c r="E64" s="641"/>
      <c r="F64" s="3379"/>
      <c r="G64" s="3380"/>
      <c r="H64" s="544" t="s">
        <v>29</v>
      </c>
      <c r="I64" s="3428" t="s">
        <v>8313</v>
      </c>
      <c r="J64" s="3429"/>
      <c r="K64" s="3429"/>
      <c r="L64" s="3429"/>
      <c r="M64" s="3429"/>
      <c r="N64" s="3429"/>
      <c r="O64" s="3430"/>
      <c r="P64" s="523" t="s">
        <v>8774</v>
      </c>
      <c r="Q64" s="210">
        <f>MAX(STCG.A4aia_FullConsideration,STCG.A4aib_FullMarketvalue)</f>
        <v>0</v>
      </c>
      <c r="R64" s="568"/>
      <c r="S64" s="1000"/>
      <c r="T64" s="501"/>
      <c r="U64" s="1793"/>
      <c r="V64" s="1793"/>
      <c r="W64" s="1793"/>
      <c r="Y64" s="1802">
        <f>IF(STCG.A4aic_FullConsideration50CA&lt;&gt;0,1,0)</f>
        <v>0</v>
      </c>
    </row>
    <row r="65" spans="2:25" s="124" customFormat="1" ht="12.75" hidden="1" customHeight="1" x14ac:dyDescent="0.2">
      <c r="B65" s="1801"/>
      <c r="C65" s="501"/>
      <c r="D65" s="524"/>
      <c r="E65" s="641"/>
      <c r="F65" s="3379"/>
      <c r="G65" s="544" t="s">
        <v>290</v>
      </c>
      <c r="H65" s="3381" t="s">
        <v>8314</v>
      </c>
      <c r="I65" s="3382"/>
      <c r="J65" s="3382"/>
      <c r="K65" s="3382"/>
      <c r="L65" s="3382"/>
      <c r="M65" s="3382"/>
      <c r="N65" s="3382"/>
      <c r="O65" s="3383"/>
      <c r="P65" s="1034" t="s">
        <v>8776</v>
      </c>
      <c r="Q65" s="2655"/>
      <c r="R65" s="568"/>
      <c r="S65" s="1000"/>
      <c r="T65" s="501"/>
      <c r="U65" s="1793"/>
      <c r="V65" s="1793"/>
      <c r="W65" s="1793"/>
      <c r="Y65" s="1802">
        <f>IF(STCG.A4aii_FullConsiderationS&lt;&gt;0,1,0)</f>
        <v>0</v>
      </c>
    </row>
    <row r="66" spans="2:25" s="124" customFormat="1" ht="12.75" hidden="1" customHeight="1" x14ac:dyDescent="0.2">
      <c r="B66" s="1801"/>
      <c r="C66" s="501"/>
      <c r="D66" s="524"/>
      <c r="E66" s="641"/>
      <c r="F66" s="3380"/>
      <c r="G66" s="544" t="s">
        <v>293</v>
      </c>
      <c r="H66" s="3381" t="s">
        <v>8315</v>
      </c>
      <c r="I66" s="3382"/>
      <c r="J66" s="3382"/>
      <c r="K66" s="3382"/>
      <c r="L66" s="3382"/>
      <c r="M66" s="3382"/>
      <c r="N66" s="3382"/>
      <c r="O66" s="3383"/>
      <c r="P66" s="1034" t="s">
        <v>8777</v>
      </c>
      <c r="Q66" s="210">
        <f>SUM(STCG.A4aic_FullConsideration50CA,STCG.A4aii_FullConsiderationS)</f>
        <v>0</v>
      </c>
      <c r="R66" s="568"/>
      <c r="S66" s="1000"/>
      <c r="T66" s="501"/>
      <c r="U66" s="1793"/>
      <c r="V66" s="1793"/>
      <c r="W66" s="1793"/>
      <c r="Y66" s="1802"/>
    </row>
    <row r="67" spans="2:25" s="121" customFormat="1" ht="12.75" hidden="1" customHeight="1" x14ac:dyDescent="0.2">
      <c r="B67" s="1797"/>
      <c r="C67" s="501"/>
      <c r="D67" s="524"/>
      <c r="E67" s="539"/>
      <c r="F67" s="3422" t="s">
        <v>28</v>
      </c>
      <c r="G67" s="3577" t="s">
        <v>897</v>
      </c>
      <c r="H67" s="3578"/>
      <c r="I67" s="3578"/>
      <c r="J67" s="3578"/>
      <c r="K67" s="3578"/>
      <c r="L67" s="3578"/>
      <c r="M67" s="3578"/>
      <c r="N67" s="3578"/>
      <c r="O67" s="3578"/>
      <c r="P67" s="3578"/>
      <c r="Q67" s="3579"/>
      <c r="R67" s="543"/>
      <c r="S67" s="526"/>
      <c r="T67" s="501"/>
      <c r="U67" s="1793"/>
      <c r="V67" s="1793"/>
      <c r="W67" s="1793"/>
      <c r="Y67" s="740"/>
    </row>
    <row r="68" spans="2:25" s="121" customFormat="1" ht="12.75" hidden="1" customHeight="1" x14ac:dyDescent="0.2">
      <c r="B68" s="1797"/>
      <c r="C68" s="501"/>
      <c r="D68" s="524"/>
      <c r="E68" s="539"/>
      <c r="F68" s="3423"/>
      <c r="G68" s="544" t="s">
        <v>287</v>
      </c>
      <c r="H68" s="3410" t="s">
        <v>898</v>
      </c>
      <c r="I68" s="3411"/>
      <c r="J68" s="3411"/>
      <c r="K68" s="3411"/>
      <c r="L68" s="3411"/>
      <c r="M68" s="3411"/>
      <c r="N68" s="3411"/>
      <c r="O68" s="3412"/>
      <c r="P68" s="29" t="s">
        <v>289</v>
      </c>
      <c r="Q68" s="2655"/>
      <c r="R68" s="525"/>
      <c r="S68" s="526"/>
      <c r="T68" s="501"/>
      <c r="U68" s="1793"/>
      <c r="V68" s="1793"/>
      <c r="W68" s="1793"/>
      <c r="Y68" s="740"/>
    </row>
    <row r="69" spans="2:25" s="121" customFormat="1" ht="12.75" hidden="1" customHeight="1" x14ac:dyDescent="0.2">
      <c r="B69" s="1797"/>
      <c r="C69" s="501"/>
      <c r="D69" s="524"/>
      <c r="E69" s="539"/>
      <c r="F69" s="3423"/>
      <c r="G69" s="544" t="s">
        <v>290</v>
      </c>
      <c r="H69" s="3518" t="s">
        <v>980</v>
      </c>
      <c r="I69" s="3519"/>
      <c r="J69" s="3519"/>
      <c r="K69" s="3519"/>
      <c r="L69" s="3519"/>
      <c r="M69" s="3519"/>
      <c r="N69" s="3519"/>
      <c r="O69" s="3520"/>
      <c r="P69" s="381" t="s">
        <v>292</v>
      </c>
      <c r="Q69" s="2655"/>
      <c r="R69" s="525"/>
      <c r="S69" s="526"/>
      <c r="T69" s="501"/>
      <c r="U69" s="1793"/>
      <c r="V69" s="1793"/>
      <c r="W69" s="1793"/>
      <c r="Y69" s="740"/>
    </row>
    <row r="70" spans="2:25" s="121" customFormat="1" ht="12.75" hidden="1" customHeight="1" x14ac:dyDescent="0.2">
      <c r="B70" s="1797"/>
      <c r="C70" s="501"/>
      <c r="D70" s="524"/>
      <c r="E70" s="539"/>
      <c r="F70" s="3423"/>
      <c r="G70" s="546" t="s">
        <v>293</v>
      </c>
      <c r="H70" s="3518" t="s">
        <v>900</v>
      </c>
      <c r="I70" s="3519"/>
      <c r="J70" s="3519"/>
      <c r="K70" s="3519"/>
      <c r="L70" s="3519"/>
      <c r="M70" s="3519"/>
      <c r="N70" s="3519"/>
      <c r="O70" s="3520"/>
      <c r="P70" s="2042" t="s">
        <v>295</v>
      </c>
      <c r="Q70" s="2655"/>
      <c r="R70" s="525"/>
      <c r="S70" s="526"/>
      <c r="T70" s="501"/>
      <c r="U70" s="1793"/>
      <c r="V70" s="1793"/>
      <c r="W70" s="1793"/>
      <c r="Y70" s="740"/>
    </row>
    <row r="71" spans="2:25" s="121" customFormat="1" ht="12.75" hidden="1" customHeight="1" x14ac:dyDescent="0.2">
      <c r="B71" s="1797"/>
      <c r="C71" s="501"/>
      <c r="D71" s="524"/>
      <c r="E71" s="539"/>
      <c r="F71" s="3424"/>
      <c r="G71" s="516" t="s">
        <v>296</v>
      </c>
      <c r="H71" s="3574" t="s">
        <v>344</v>
      </c>
      <c r="I71" s="3575"/>
      <c r="J71" s="3575"/>
      <c r="K71" s="3575"/>
      <c r="L71" s="3575"/>
      <c r="M71" s="3575"/>
      <c r="N71" s="3575"/>
      <c r="O71" s="3576"/>
      <c r="P71" s="520" t="s">
        <v>298</v>
      </c>
      <c r="Q71" s="262">
        <f>SUM(Q68:Q70)</f>
        <v>0</v>
      </c>
      <c r="R71" s="525"/>
      <c r="S71" s="526"/>
      <c r="T71" s="501"/>
      <c r="U71" s="1793"/>
      <c r="V71" s="1793"/>
      <c r="W71" s="1793"/>
      <c r="Y71" s="740"/>
    </row>
    <row r="72" spans="2:25" s="121" customFormat="1" ht="12.75" hidden="1" customHeight="1" x14ac:dyDescent="0.2">
      <c r="B72" s="1797"/>
      <c r="C72" s="501"/>
      <c r="D72" s="524"/>
      <c r="E72" s="539"/>
      <c r="F72" s="520" t="s">
        <v>29</v>
      </c>
      <c r="G72" s="3574" t="s">
        <v>8316</v>
      </c>
      <c r="H72" s="3575"/>
      <c r="I72" s="3575"/>
      <c r="J72" s="3575"/>
      <c r="K72" s="3575"/>
      <c r="L72" s="3575"/>
      <c r="M72" s="3575"/>
      <c r="N72" s="3575"/>
      <c r="O72" s="3576"/>
      <c r="P72" s="520" t="s">
        <v>530</v>
      </c>
      <c r="Q72" s="262">
        <f>(STCG.A4a_FullConsideration-Q71)</f>
        <v>0</v>
      </c>
      <c r="R72" s="525"/>
      <c r="S72" s="526"/>
      <c r="T72" s="501"/>
      <c r="U72" s="1793"/>
      <c r="V72" s="1793"/>
      <c r="W72" s="1793"/>
      <c r="Y72" s="740"/>
    </row>
    <row r="73" spans="2:25" s="121" customFormat="1" ht="12.75" hidden="1" customHeight="1" x14ac:dyDescent="0.2">
      <c r="B73" s="1797"/>
      <c r="C73" s="501"/>
      <c r="D73" s="524"/>
      <c r="E73" s="539"/>
      <c r="F73" s="549" t="s">
        <v>36</v>
      </c>
      <c r="G73" s="3624" t="s">
        <v>1031</v>
      </c>
      <c r="H73" s="3625"/>
      <c r="I73" s="3625"/>
      <c r="J73" s="3625"/>
      <c r="K73" s="3625"/>
      <c r="L73" s="3625"/>
      <c r="M73" s="3625"/>
      <c r="N73" s="3625"/>
      <c r="O73" s="3626"/>
      <c r="P73" s="549" t="s">
        <v>532</v>
      </c>
      <c r="Q73" s="2655"/>
      <c r="R73" s="550"/>
      <c r="S73" s="551"/>
      <c r="T73" s="501"/>
      <c r="U73" s="1793"/>
      <c r="V73" s="1793"/>
      <c r="W73" s="1793"/>
      <c r="Y73" s="740"/>
    </row>
    <row r="74" spans="2:25" s="121" customFormat="1" ht="12.75" hidden="1" customHeight="1" x14ac:dyDescent="0.2">
      <c r="B74" s="1797"/>
      <c r="C74" s="501"/>
      <c r="D74" s="524"/>
      <c r="E74" s="552"/>
      <c r="F74" s="518" t="s">
        <v>869</v>
      </c>
      <c r="G74" s="3574" t="s">
        <v>7968</v>
      </c>
      <c r="H74" s="3575"/>
      <c r="I74" s="3575"/>
      <c r="J74" s="3575"/>
      <c r="K74" s="3575"/>
      <c r="L74" s="3575"/>
      <c r="M74" s="3575"/>
      <c r="N74" s="3575"/>
      <c r="O74" s="3575"/>
      <c r="P74" s="3575"/>
      <c r="Q74" s="3576"/>
      <c r="R74" s="520" t="s">
        <v>1032</v>
      </c>
      <c r="S74" s="553">
        <f>(Q72+Q73)</f>
        <v>0</v>
      </c>
      <c r="T74" s="501"/>
      <c r="U74" s="1793"/>
      <c r="V74" s="1793"/>
      <c r="W74" s="1793"/>
      <c r="Y74" s="740"/>
    </row>
    <row r="75" spans="2:25" s="121" customFormat="1" ht="12.75" customHeight="1" x14ac:dyDescent="0.2">
      <c r="B75" s="1797"/>
      <c r="C75" s="501"/>
      <c r="D75" s="524"/>
      <c r="E75" s="3434">
        <v>6</v>
      </c>
      <c r="F75" s="3573" t="s">
        <v>941</v>
      </c>
      <c r="G75" s="3573"/>
      <c r="H75" s="3573"/>
      <c r="I75" s="3573"/>
      <c r="J75" s="3573"/>
      <c r="K75" s="3573"/>
      <c r="L75" s="3573"/>
      <c r="M75" s="3573"/>
      <c r="N75" s="3573"/>
      <c r="O75" s="3573"/>
      <c r="P75" s="3573"/>
      <c r="Q75" s="3419"/>
      <c r="R75" s="525"/>
      <c r="S75" s="526"/>
      <c r="T75" s="501"/>
      <c r="U75" s="1793"/>
      <c r="V75" s="1793"/>
      <c r="W75" s="1793"/>
      <c r="Y75" s="740"/>
    </row>
    <row r="76" spans="2:25" s="121" customFormat="1" ht="12.75" customHeight="1" x14ac:dyDescent="0.2">
      <c r="B76" s="1797"/>
      <c r="C76" s="501"/>
      <c r="D76" s="524"/>
      <c r="E76" s="3435"/>
      <c r="F76" s="3378" t="s">
        <v>27</v>
      </c>
      <c r="G76" s="3378" t="s">
        <v>287</v>
      </c>
      <c r="H76" s="3064" t="s">
        <v>8310</v>
      </c>
      <c r="I76" s="3065"/>
      <c r="J76" s="3065"/>
      <c r="K76" s="3065"/>
      <c r="L76" s="3065"/>
      <c r="M76" s="3065"/>
      <c r="N76" s="3065"/>
      <c r="O76" s="3065"/>
      <c r="P76" s="3065"/>
      <c r="Q76" s="3066"/>
      <c r="R76" s="525"/>
      <c r="S76" s="526"/>
      <c r="T76" s="501"/>
      <c r="U76" s="1793"/>
      <c r="V76" s="1793"/>
      <c r="W76" s="1793"/>
      <c r="Y76" s="740"/>
    </row>
    <row r="77" spans="2:25" s="121" customFormat="1" ht="12.75" customHeight="1" x14ac:dyDescent="0.2">
      <c r="B77" s="1797"/>
      <c r="C77" s="501"/>
      <c r="D77" s="524"/>
      <c r="E77" s="3435"/>
      <c r="F77" s="3379"/>
      <c r="G77" s="3379"/>
      <c r="H77" s="544" t="s">
        <v>27</v>
      </c>
      <c r="I77" s="3064" t="s">
        <v>8311</v>
      </c>
      <c r="J77" s="3065"/>
      <c r="K77" s="3065"/>
      <c r="L77" s="3065"/>
      <c r="M77" s="3065"/>
      <c r="N77" s="3065"/>
      <c r="O77" s="3066"/>
      <c r="P77" s="1078" t="s">
        <v>8772</v>
      </c>
      <c r="Q77" s="1973"/>
      <c r="R77" s="525"/>
      <c r="S77" s="526"/>
      <c r="T77" s="501"/>
      <c r="U77" s="1793"/>
      <c r="V77" s="1793"/>
      <c r="W77" s="1793"/>
      <c r="Y77" s="740">
        <f>IF(STCG.A5aia_FullConsideration&lt;&gt;0,1,0)</f>
        <v>0</v>
      </c>
    </row>
    <row r="78" spans="2:25" s="121" customFormat="1" ht="12.75" customHeight="1" x14ac:dyDescent="0.2">
      <c r="B78" s="1797"/>
      <c r="C78" s="501"/>
      <c r="D78" s="524"/>
      <c r="E78" s="3435"/>
      <c r="F78" s="3379"/>
      <c r="G78" s="3379"/>
      <c r="H78" s="544" t="s">
        <v>28</v>
      </c>
      <c r="I78" s="3064" t="s">
        <v>8312</v>
      </c>
      <c r="J78" s="3065"/>
      <c r="K78" s="3065"/>
      <c r="L78" s="3065"/>
      <c r="M78" s="3065"/>
      <c r="N78" s="3065"/>
      <c r="O78" s="3066"/>
      <c r="P78" s="1078" t="s">
        <v>8773</v>
      </c>
      <c r="Q78" s="1973"/>
      <c r="R78" s="525"/>
      <c r="S78" s="526"/>
      <c r="T78" s="501"/>
      <c r="U78" s="1793"/>
      <c r="V78" s="1793"/>
      <c r="W78" s="1793"/>
      <c r="Y78" s="740">
        <f>IF(STCG.A5aib_Fullmarketvalue&lt;&gt;0,1,0)</f>
        <v>0</v>
      </c>
    </row>
    <row r="79" spans="2:25" s="121" customFormat="1" ht="25.5" customHeight="1" x14ac:dyDescent="0.2">
      <c r="B79" s="1797"/>
      <c r="C79" s="501"/>
      <c r="D79" s="524"/>
      <c r="E79" s="3435"/>
      <c r="F79" s="3379"/>
      <c r="G79" s="3380"/>
      <c r="H79" s="544" t="s">
        <v>29</v>
      </c>
      <c r="I79" s="3537" t="s">
        <v>8313</v>
      </c>
      <c r="J79" s="3538"/>
      <c r="K79" s="3538"/>
      <c r="L79" s="3538"/>
      <c r="M79" s="3538"/>
      <c r="N79" s="3538"/>
      <c r="O79" s="3539"/>
      <c r="P79" s="518" t="s">
        <v>8774</v>
      </c>
      <c r="Q79" s="1391">
        <f>MAX(STCG.A5aia_FullConsideration,STCG.A5aib_Fullmarketvalue)</f>
        <v>0</v>
      </c>
      <c r="R79" s="525"/>
      <c r="S79" s="526"/>
      <c r="T79" s="501"/>
      <c r="U79" s="1793"/>
      <c r="V79" s="1793"/>
      <c r="W79" s="1793"/>
      <c r="Y79" s="740">
        <f>IF(STCG.A5aic_FullConsideration50CA&lt;&gt;0,1,0)</f>
        <v>0</v>
      </c>
    </row>
    <row r="80" spans="2:25" s="121" customFormat="1" ht="12.75" customHeight="1" x14ac:dyDescent="0.2">
      <c r="B80" s="1797"/>
      <c r="C80" s="501"/>
      <c r="D80" s="524"/>
      <c r="E80" s="3435"/>
      <c r="F80" s="3379"/>
      <c r="G80" s="544" t="s">
        <v>290</v>
      </c>
      <c r="H80" s="3064" t="s">
        <v>8314</v>
      </c>
      <c r="I80" s="3065"/>
      <c r="J80" s="3065"/>
      <c r="K80" s="3065"/>
      <c r="L80" s="3065"/>
      <c r="M80" s="3065"/>
      <c r="N80" s="3065"/>
      <c r="O80" s="3066"/>
      <c r="P80" s="1078" t="s">
        <v>339</v>
      </c>
      <c r="Q80" s="1973"/>
      <c r="R80" s="525"/>
      <c r="S80" s="526"/>
      <c r="T80" s="501"/>
      <c r="U80" s="1793"/>
      <c r="V80" s="1793"/>
      <c r="W80" s="1793"/>
      <c r="Y80" s="740">
        <f>IF(STCG.A5aii_FullConsideration&lt;&gt;0,1,0)</f>
        <v>0</v>
      </c>
    </row>
    <row r="81" spans="2:29" s="121" customFormat="1" ht="12.75" customHeight="1" x14ac:dyDescent="0.2">
      <c r="B81" s="1797"/>
      <c r="C81" s="501"/>
      <c r="D81" s="524"/>
      <c r="E81" s="3435"/>
      <c r="F81" s="3380"/>
      <c r="G81" s="544" t="s">
        <v>293</v>
      </c>
      <c r="H81" s="3064" t="s">
        <v>8315</v>
      </c>
      <c r="I81" s="3065"/>
      <c r="J81" s="3065"/>
      <c r="K81" s="3065"/>
      <c r="L81" s="3065"/>
      <c r="M81" s="3065"/>
      <c r="N81" s="3065"/>
      <c r="O81" s="3066"/>
      <c r="P81" s="518" t="s">
        <v>318</v>
      </c>
      <c r="Q81" s="1391">
        <f>SUM(STCG.A5aic_FullConsideration50CA,STCG.A5aii_FullConsideration)</f>
        <v>0</v>
      </c>
      <c r="R81" s="525"/>
      <c r="S81" s="526"/>
      <c r="T81" s="501"/>
      <c r="U81" s="1793"/>
      <c r="V81" s="1793"/>
      <c r="W81" s="1793"/>
      <c r="Y81" s="740"/>
    </row>
    <row r="82" spans="2:29" s="121" customFormat="1" ht="12.75" hidden="1" customHeight="1" x14ac:dyDescent="0.2">
      <c r="B82" s="1797"/>
      <c r="C82" s="501"/>
      <c r="D82" s="524"/>
      <c r="E82" s="3435"/>
      <c r="F82" s="381" t="s">
        <v>27</v>
      </c>
      <c r="G82" s="3413" t="s">
        <v>913</v>
      </c>
      <c r="H82" s="3414"/>
      <c r="I82" s="3414"/>
      <c r="J82" s="3414"/>
      <c r="K82" s="3414"/>
      <c r="L82" s="3414"/>
      <c r="M82" s="3414"/>
      <c r="N82" s="3414"/>
      <c r="O82" s="3415"/>
      <c r="P82" s="381" t="s">
        <v>405</v>
      </c>
      <c r="Q82" s="525"/>
      <c r="R82" s="525"/>
      <c r="S82" s="526"/>
      <c r="T82" s="501"/>
      <c r="U82" s="1793"/>
      <c r="V82" s="1793"/>
      <c r="W82" s="1793"/>
      <c r="Y82" s="740">
        <f>IF(STCG.A5a_FullConsideration&lt;&gt;0,1,0)</f>
        <v>0</v>
      </c>
    </row>
    <row r="83" spans="2:29" s="121" customFormat="1" ht="12.75" customHeight="1" x14ac:dyDescent="0.2">
      <c r="B83" s="1797"/>
      <c r="C83" s="501"/>
      <c r="D83" s="524"/>
      <c r="E83" s="3435"/>
      <c r="F83" s="3431" t="s">
        <v>28</v>
      </c>
      <c r="G83" s="3388" t="s">
        <v>897</v>
      </c>
      <c r="H83" s="3389"/>
      <c r="I83" s="3389"/>
      <c r="J83" s="3389"/>
      <c r="K83" s="3389"/>
      <c r="L83" s="3389"/>
      <c r="M83" s="3389"/>
      <c r="N83" s="3389"/>
      <c r="O83" s="3389"/>
      <c r="P83" s="3389"/>
      <c r="Q83" s="3390"/>
      <c r="R83" s="525"/>
      <c r="S83" s="526"/>
      <c r="T83" s="501"/>
      <c r="U83" s="1793"/>
      <c r="V83" s="1793"/>
      <c r="W83" s="1793"/>
      <c r="Y83" s="740"/>
    </row>
    <row r="84" spans="2:29" s="121" customFormat="1" ht="12.75" customHeight="1" x14ac:dyDescent="0.2">
      <c r="B84" s="1797"/>
      <c r="C84" s="501"/>
      <c r="D84" s="524"/>
      <c r="E84" s="3435"/>
      <c r="F84" s="3432"/>
      <c r="G84" s="555" t="s">
        <v>287</v>
      </c>
      <c r="H84" s="3064" t="s">
        <v>898</v>
      </c>
      <c r="I84" s="3065"/>
      <c r="J84" s="3065"/>
      <c r="K84" s="3065"/>
      <c r="L84" s="3065"/>
      <c r="M84" s="3065"/>
      <c r="N84" s="3065"/>
      <c r="O84" s="3066"/>
      <c r="P84" s="381" t="s">
        <v>289</v>
      </c>
      <c r="Q84" s="1973"/>
      <c r="R84" s="525"/>
      <c r="S84" s="526"/>
      <c r="T84" s="501"/>
      <c r="U84" s="1793"/>
      <c r="V84" s="1793"/>
      <c r="W84" s="1793"/>
      <c r="Y84" s="740">
        <f>IF(STCG.A5bi_AquisitCost&lt;&gt;0,1,0)</f>
        <v>0</v>
      </c>
    </row>
    <row r="85" spans="2:29" s="121" customFormat="1" ht="12.75" customHeight="1" x14ac:dyDescent="0.2">
      <c r="B85" s="1797"/>
      <c r="C85" s="501"/>
      <c r="D85" s="524"/>
      <c r="E85" s="3435"/>
      <c r="F85" s="3432"/>
      <c r="G85" s="555" t="s">
        <v>290</v>
      </c>
      <c r="H85" s="3064" t="s">
        <v>899</v>
      </c>
      <c r="I85" s="3065"/>
      <c r="J85" s="3065"/>
      <c r="K85" s="3065"/>
      <c r="L85" s="3065"/>
      <c r="M85" s="3065"/>
      <c r="N85" s="3065"/>
      <c r="O85" s="3066"/>
      <c r="P85" s="381" t="s">
        <v>292</v>
      </c>
      <c r="Q85" s="1973"/>
      <c r="R85" s="525"/>
      <c r="S85" s="526"/>
      <c r="T85" s="501"/>
      <c r="U85" s="1793"/>
      <c r="V85" s="1793"/>
      <c r="W85" s="1793"/>
      <c r="Y85" s="740">
        <f>IF(STCG.A5bii_ImproveCost&lt;&gt;0,1,0)</f>
        <v>0</v>
      </c>
    </row>
    <row r="86" spans="2:29" s="121" customFormat="1" ht="12.75" customHeight="1" x14ac:dyDescent="0.2">
      <c r="B86" s="1797"/>
      <c r="C86" s="501"/>
      <c r="D86" s="524"/>
      <c r="E86" s="3435"/>
      <c r="F86" s="3432"/>
      <c r="G86" s="555" t="s">
        <v>293</v>
      </c>
      <c r="H86" s="3064" t="s">
        <v>900</v>
      </c>
      <c r="I86" s="3065"/>
      <c r="J86" s="3065"/>
      <c r="K86" s="3065"/>
      <c r="L86" s="3065"/>
      <c r="M86" s="3065"/>
      <c r="N86" s="3065"/>
      <c r="O86" s="3066"/>
      <c r="P86" s="381" t="s">
        <v>295</v>
      </c>
      <c r="Q86" s="1973"/>
      <c r="R86" s="525"/>
      <c r="S86" s="526"/>
      <c r="T86" s="501"/>
      <c r="U86" s="1793"/>
      <c r="V86" s="1793"/>
      <c r="W86" s="1793"/>
      <c r="Y86" s="740">
        <f>IF(STCG.A5biii_ExpOnTrans&lt;&gt;0,1,0)</f>
        <v>0</v>
      </c>
    </row>
    <row r="87" spans="2:29" s="121" customFormat="1" ht="12.75" customHeight="1" x14ac:dyDescent="0.2">
      <c r="B87" s="1797"/>
      <c r="C87" s="501"/>
      <c r="D87" s="524"/>
      <c r="E87" s="3435"/>
      <c r="F87" s="3433"/>
      <c r="G87" s="556" t="s">
        <v>296</v>
      </c>
      <c r="H87" s="3391" t="s">
        <v>344</v>
      </c>
      <c r="I87" s="3392"/>
      <c r="J87" s="3392"/>
      <c r="K87" s="3392"/>
      <c r="L87" s="3392"/>
      <c r="M87" s="3392"/>
      <c r="N87" s="3392"/>
      <c r="O87" s="3393"/>
      <c r="P87" s="518" t="s">
        <v>298</v>
      </c>
      <c r="Q87" s="1019">
        <f>SUM(Q84:Q86)</f>
        <v>0</v>
      </c>
      <c r="R87" s="525"/>
      <c r="S87" s="526"/>
      <c r="T87" s="501"/>
      <c r="U87" s="1793"/>
      <c r="V87" s="1793"/>
      <c r="W87" s="1793"/>
      <c r="Y87" s="740"/>
    </row>
    <row r="88" spans="2:29" s="121" customFormat="1" ht="12.75" customHeight="1" x14ac:dyDescent="0.2">
      <c r="B88" s="1797"/>
      <c r="C88" s="501"/>
      <c r="D88" s="524"/>
      <c r="E88" s="3435"/>
      <c r="F88" s="518" t="s">
        <v>29</v>
      </c>
      <c r="G88" s="3391" t="s">
        <v>8317</v>
      </c>
      <c r="H88" s="3392"/>
      <c r="I88" s="3392"/>
      <c r="J88" s="3392"/>
      <c r="K88" s="3392"/>
      <c r="L88" s="3392"/>
      <c r="M88" s="3392"/>
      <c r="N88" s="3392"/>
      <c r="O88" s="3393"/>
      <c r="P88" s="518" t="s">
        <v>409</v>
      </c>
      <c r="Q88" s="1019">
        <f>(STCG.A5a_FullConsideration-STCG.A5biv_TotalDedn)</f>
        <v>0</v>
      </c>
      <c r="R88" s="525"/>
      <c r="S88" s="526"/>
      <c r="T88" s="501"/>
      <c r="U88" s="1793"/>
      <c r="V88" s="1793"/>
      <c r="W88" s="1793"/>
      <c r="Y88" s="740"/>
    </row>
    <row r="89" spans="2:29" s="121" customFormat="1" ht="33.75" customHeight="1" x14ac:dyDescent="0.2">
      <c r="B89" s="1797"/>
      <c r="C89" s="501"/>
      <c r="D89" s="524"/>
      <c r="E89" s="3435"/>
      <c r="F89" s="528" t="s">
        <v>36</v>
      </c>
      <c r="G89" s="3171" t="s">
        <v>942</v>
      </c>
      <c r="H89" s="3166"/>
      <c r="I89" s="3166"/>
      <c r="J89" s="3166"/>
      <c r="K89" s="3166"/>
      <c r="L89" s="3166"/>
      <c r="M89" s="3166"/>
      <c r="N89" s="3166"/>
      <c r="O89" s="3167"/>
      <c r="P89" s="528" t="s">
        <v>411</v>
      </c>
      <c r="Q89" s="1973"/>
      <c r="R89" s="525"/>
      <c r="S89" s="526"/>
      <c r="T89" s="501"/>
      <c r="U89" s="1793"/>
      <c r="V89" s="1793"/>
      <c r="W89" s="1793"/>
      <c r="Y89" s="740">
        <f>IF(STCG.A5d_LossSec94of7Or94of8&lt;&gt;0,1,0)</f>
        <v>0</v>
      </c>
      <c r="AC89" s="121" t="s">
        <v>1702</v>
      </c>
    </row>
    <row r="90" spans="2:29" s="121" customFormat="1" ht="12.75" customHeight="1" x14ac:dyDescent="0.2">
      <c r="B90" s="1797"/>
      <c r="C90" s="501"/>
      <c r="D90" s="524"/>
      <c r="E90" s="3435"/>
      <c r="F90" s="528" t="s">
        <v>38</v>
      </c>
      <c r="G90" s="3017" t="s">
        <v>954</v>
      </c>
      <c r="H90" s="3015"/>
      <c r="I90" s="3015"/>
      <c r="J90" s="3015"/>
      <c r="K90" s="3015"/>
      <c r="L90" s="3015"/>
      <c r="M90" s="3015"/>
      <c r="N90" s="3015"/>
      <c r="O90" s="3016"/>
      <c r="P90" s="557" t="s">
        <v>38</v>
      </c>
      <c r="Q90" s="1019">
        <f>DCG.TotalDepreciation</f>
        <v>0</v>
      </c>
      <c r="R90" s="525"/>
      <c r="S90" s="526"/>
      <c r="T90" s="501"/>
      <c r="U90" s="1793"/>
      <c r="V90" s="1793"/>
      <c r="W90" s="1793"/>
      <c r="Y90" s="740"/>
    </row>
    <row r="91" spans="2:29" s="121" customFormat="1" ht="12.75" customHeight="1" x14ac:dyDescent="0.2">
      <c r="B91" s="1797"/>
      <c r="C91" s="501"/>
      <c r="D91" s="524"/>
      <c r="E91" s="3435"/>
      <c r="F91" s="528" t="s">
        <v>7589</v>
      </c>
      <c r="G91" s="3171" t="s">
        <v>943</v>
      </c>
      <c r="H91" s="3166"/>
      <c r="I91" s="3166"/>
      <c r="J91" s="3166"/>
      <c r="K91" s="3166"/>
      <c r="L91" s="3166"/>
      <c r="M91" s="3166"/>
      <c r="N91" s="3166"/>
      <c r="O91" s="3167"/>
      <c r="P91" s="528" t="s">
        <v>7589</v>
      </c>
      <c r="Q91" s="1973"/>
      <c r="R91" s="525"/>
      <c r="S91" s="526"/>
      <c r="T91" s="501"/>
      <c r="U91" s="1793"/>
      <c r="V91" s="1793"/>
      <c r="W91" s="1793"/>
      <c r="Y91" s="740">
        <f>IF(STCG.A5ei_ExemptionAmount&lt;&gt;0,1,0)</f>
        <v>0</v>
      </c>
      <c r="AB91" s="1676">
        <v>54</v>
      </c>
    </row>
    <row r="92" spans="2:29" s="121" customFormat="1" ht="12.75" customHeight="1" x14ac:dyDescent="0.2">
      <c r="B92" s="1797"/>
      <c r="C92" s="501"/>
      <c r="D92" s="524"/>
      <c r="E92" s="3435"/>
      <c r="F92" s="528" t="s">
        <v>7590</v>
      </c>
      <c r="G92" s="3171" t="s">
        <v>944</v>
      </c>
      <c r="H92" s="3166"/>
      <c r="I92" s="3166"/>
      <c r="J92" s="3166"/>
      <c r="K92" s="3166"/>
      <c r="L92" s="3166"/>
      <c r="M92" s="3166"/>
      <c r="N92" s="3166"/>
      <c r="O92" s="3167"/>
      <c r="P92" s="528" t="s">
        <v>7590</v>
      </c>
      <c r="Q92" s="1973"/>
      <c r="R92" s="525"/>
      <c r="S92" s="526"/>
      <c r="T92" s="501"/>
      <c r="U92" s="1793"/>
      <c r="V92" s="1793"/>
      <c r="W92" s="1793"/>
      <c r="Y92" s="740">
        <f>IF(STCG.A5eii_ExemptionAmount&lt;&gt;0,1,0)</f>
        <v>0</v>
      </c>
      <c r="AB92" s="121" t="s">
        <v>1703</v>
      </c>
    </row>
    <row r="93" spans="2:29" s="121" customFormat="1" ht="12.75" customHeight="1" x14ac:dyDescent="0.2">
      <c r="B93" s="1797"/>
      <c r="C93" s="501"/>
      <c r="D93" s="524"/>
      <c r="E93" s="3435"/>
      <c r="F93" s="528" t="s">
        <v>7591</v>
      </c>
      <c r="G93" s="3171" t="s">
        <v>945</v>
      </c>
      <c r="H93" s="3166"/>
      <c r="I93" s="3166"/>
      <c r="J93" s="3166"/>
      <c r="K93" s="3166"/>
      <c r="L93" s="3166"/>
      <c r="M93" s="3166"/>
      <c r="N93" s="3166"/>
      <c r="O93" s="3167"/>
      <c r="P93" s="528" t="s">
        <v>7591</v>
      </c>
      <c r="Q93" s="1973"/>
      <c r="R93" s="525"/>
      <c r="S93" s="526"/>
      <c r="T93" s="501"/>
      <c r="U93" s="1793"/>
      <c r="V93" s="1793"/>
      <c r="W93" s="1793"/>
      <c r="Y93" s="740">
        <f>IF(STCG.A5eiii_ExemptionAmount&lt;&gt;0,1,0)</f>
        <v>0</v>
      </c>
      <c r="AB93" s="121" t="s">
        <v>1704</v>
      </c>
    </row>
    <row r="94" spans="2:29" s="121" customFormat="1" ht="12.75" customHeight="1" x14ac:dyDescent="0.2">
      <c r="B94" s="1797"/>
      <c r="C94" s="501"/>
      <c r="D94" s="524"/>
      <c r="E94" s="3435"/>
      <c r="F94" s="558" t="s">
        <v>40</v>
      </c>
      <c r="G94" s="3647" t="s">
        <v>946</v>
      </c>
      <c r="H94" s="3648"/>
      <c r="I94" s="3648"/>
      <c r="J94" s="3648"/>
      <c r="K94" s="3648"/>
      <c r="L94" s="3648"/>
      <c r="M94" s="3648"/>
      <c r="N94" s="3648"/>
      <c r="O94" s="3649"/>
      <c r="P94" s="558" t="s">
        <v>538</v>
      </c>
      <c r="Q94" s="1019">
        <f>SUM(Q91:Q93)</f>
        <v>0</v>
      </c>
      <c r="R94" s="525"/>
      <c r="S94" s="526"/>
      <c r="T94" s="501"/>
      <c r="U94" s="1793"/>
      <c r="V94" s="1793"/>
      <c r="W94" s="1793"/>
      <c r="Y94" s="740"/>
      <c r="AB94" s="121" t="s">
        <v>1705</v>
      </c>
    </row>
    <row r="95" spans="2:29" s="121" customFormat="1" ht="12.75" customHeight="1" x14ac:dyDescent="0.2">
      <c r="B95" s="1797"/>
      <c r="C95" s="501"/>
      <c r="D95" s="524"/>
      <c r="E95" s="3436"/>
      <c r="F95" s="518" t="s">
        <v>539</v>
      </c>
      <c r="G95" s="3574" t="s">
        <v>7593</v>
      </c>
      <c r="H95" s="3575"/>
      <c r="I95" s="3575"/>
      <c r="J95" s="3575"/>
      <c r="K95" s="3575"/>
      <c r="L95" s="3575"/>
      <c r="M95" s="3575"/>
      <c r="N95" s="3575"/>
      <c r="O95" s="3575"/>
      <c r="P95" s="3575"/>
      <c r="Q95" s="3576"/>
      <c r="R95" s="559" t="s">
        <v>7592</v>
      </c>
      <c r="S95" s="1462">
        <f>IF(STCG.A5c_BalanceCG+STCG.A5d_LossSec94of7Or94of8+STCG.A8_DeemedStcgOnAssets&lt;0,STCG.A5c_BalanceCG+STCG.A5d_LossSec94of7Or94of8+STCG.A8_DeemedStcgOnAssets,MAX(0,STCG.A5c_BalanceCG+STCG.A5d_LossSec94of7Or94of8+STCG.A8_DeemedStcgOnAssets-STCG.A5e_ExemptionGrandTotal))</f>
        <v>0</v>
      </c>
      <c r="T95" s="501"/>
      <c r="U95" s="1793"/>
      <c r="V95" s="1793"/>
      <c r="W95" s="1793"/>
      <c r="Y95" s="740"/>
      <c r="AB95" s="121" t="s">
        <v>1706</v>
      </c>
    </row>
    <row r="96" spans="2:29" s="121" customFormat="1" ht="12.75" customHeight="1" x14ac:dyDescent="0.2">
      <c r="B96" s="1797"/>
      <c r="C96" s="501"/>
      <c r="D96" s="524"/>
      <c r="E96" s="560">
        <v>7</v>
      </c>
      <c r="F96" s="3592" t="s">
        <v>7274</v>
      </c>
      <c r="G96" s="3593"/>
      <c r="H96" s="3593"/>
      <c r="I96" s="3593"/>
      <c r="J96" s="3593"/>
      <c r="K96" s="3593"/>
      <c r="L96" s="3593"/>
      <c r="M96" s="3593"/>
      <c r="N96" s="3593"/>
      <c r="O96" s="3593"/>
      <c r="P96" s="3593"/>
      <c r="Q96" s="3593"/>
      <c r="R96" s="561"/>
      <c r="S96" s="562"/>
      <c r="T96" s="501"/>
      <c r="U96" s="1793"/>
      <c r="V96" s="1793"/>
      <c r="W96" s="1793"/>
      <c r="Y96" s="740"/>
    </row>
    <row r="97" spans="2:49" s="121" customFormat="1" ht="24" customHeight="1" x14ac:dyDescent="0.2">
      <c r="B97" s="1797"/>
      <c r="C97" s="501"/>
      <c r="D97" s="524"/>
      <c r="E97" s="1624" t="s">
        <v>27</v>
      </c>
      <c r="F97" s="3639" t="s">
        <v>12836</v>
      </c>
      <c r="G97" s="3169"/>
      <c r="H97" s="3169"/>
      <c r="I97" s="3169"/>
      <c r="J97" s="3169"/>
      <c r="K97" s="3169"/>
      <c r="L97" s="3169"/>
      <c r="M97" s="3169"/>
      <c r="N97" s="3169"/>
      <c r="O97" s="3170"/>
      <c r="P97" s="3516" t="s">
        <v>12</v>
      </c>
      <c r="Q97" s="3517"/>
      <c r="R97" s="564"/>
      <c r="S97" s="532"/>
      <c r="T97" s="501"/>
      <c r="U97" s="1793"/>
      <c r="V97" s="1793"/>
      <c r="W97" s="1793"/>
      <c r="Y97" s="740"/>
    </row>
    <row r="98" spans="2:49" s="121" customFormat="1" ht="24.75" customHeight="1" x14ac:dyDescent="0.2">
      <c r="B98" s="1797"/>
      <c r="C98" s="501"/>
      <c r="D98" s="524"/>
      <c r="E98" s="565"/>
      <c r="F98" s="3543"/>
      <c r="G98" s="3545" t="s">
        <v>8280</v>
      </c>
      <c r="H98" s="3405" t="s">
        <v>7138</v>
      </c>
      <c r="I98" s="3405" t="s">
        <v>7139</v>
      </c>
      <c r="J98" s="3598" t="s">
        <v>7140</v>
      </c>
      <c r="K98" s="3599"/>
      <c r="L98" s="3405" t="s">
        <v>7141</v>
      </c>
      <c r="M98" s="1133"/>
      <c r="N98" s="1133"/>
      <c r="O98" s="1133"/>
      <c r="P98" s="1133"/>
      <c r="Q98" s="1133"/>
      <c r="R98" s="566"/>
      <c r="S98" s="526"/>
      <c r="T98" s="501"/>
      <c r="U98" s="1793"/>
      <c r="V98" s="1793"/>
      <c r="W98" s="1793"/>
      <c r="Y98" s="740"/>
    </row>
    <row r="99" spans="2:49" s="121" customFormat="1" ht="53.25" customHeight="1" x14ac:dyDescent="0.2">
      <c r="B99" s="1797"/>
      <c r="C99" s="501"/>
      <c r="D99" s="524"/>
      <c r="E99" s="565"/>
      <c r="F99" s="3544"/>
      <c r="G99" s="3546"/>
      <c r="H99" s="3406"/>
      <c r="I99" s="3406"/>
      <c r="J99" s="1471" t="s">
        <v>7142</v>
      </c>
      <c r="K99" s="1472" t="s">
        <v>7143</v>
      </c>
      <c r="L99" s="3406"/>
      <c r="M99" s="1133"/>
      <c r="N99" s="1133"/>
      <c r="O99" s="1133"/>
      <c r="P99" s="1133"/>
      <c r="Q99" s="1133"/>
      <c r="R99" s="566"/>
      <c r="S99" s="526"/>
      <c r="T99" s="501"/>
      <c r="U99" s="1793"/>
      <c r="V99" s="1793"/>
      <c r="W99" s="1793"/>
      <c r="Y99" s="740"/>
    </row>
    <row r="100" spans="2:49" s="121" customFormat="1" ht="12.75" customHeight="1" x14ac:dyDescent="0.2">
      <c r="B100" s="1797"/>
      <c r="C100" s="501"/>
      <c r="D100" s="524"/>
      <c r="E100" s="565"/>
      <c r="F100" s="567" t="s">
        <v>287</v>
      </c>
      <c r="G100" s="567">
        <v>1</v>
      </c>
      <c r="H100" s="2282"/>
      <c r="I100" s="2282"/>
      <c r="J100" s="2282"/>
      <c r="K100" s="2618"/>
      <c r="L100" s="2618"/>
      <c r="M100" s="1133"/>
      <c r="N100" s="1133"/>
      <c r="O100" s="1133"/>
      <c r="P100" s="1133"/>
      <c r="Q100" s="1133"/>
      <c r="R100" s="566"/>
      <c r="S100" s="526"/>
      <c r="T100" s="501"/>
      <c r="U100" s="1793"/>
      <c r="V100" s="1793"/>
      <c r="W100" s="1793"/>
      <c r="Y100" s="740"/>
    </row>
    <row r="101" spans="2:49" s="121" customFormat="1" ht="27" customHeight="1" x14ac:dyDescent="0.2">
      <c r="B101" s="1797"/>
      <c r="C101" s="501"/>
      <c r="D101" s="524"/>
      <c r="E101" s="565"/>
      <c r="F101" s="568"/>
      <c r="G101" s="3594"/>
      <c r="H101" s="3595"/>
      <c r="I101" s="3595"/>
      <c r="J101" s="3595"/>
      <c r="K101" s="3595"/>
      <c r="L101" s="3596"/>
      <c r="M101" s="1133"/>
      <c r="N101" s="1133"/>
      <c r="O101" s="1133"/>
      <c r="P101" s="1133"/>
      <c r="Q101" s="1133"/>
      <c r="R101" s="1803"/>
      <c r="S101" s="1804"/>
      <c r="T101" s="501"/>
      <c r="U101" s="1793"/>
      <c r="V101" s="1793"/>
      <c r="W101" s="1793"/>
      <c r="Y101" s="740"/>
    </row>
    <row r="102" spans="2:49" s="121" customFormat="1" ht="12.75" customHeight="1" x14ac:dyDescent="0.25">
      <c r="B102" s="1797"/>
      <c r="C102" s="501"/>
      <c r="D102" s="524"/>
      <c r="E102" s="563" t="s">
        <v>28</v>
      </c>
      <c r="F102" s="3640" t="s">
        <v>12745</v>
      </c>
      <c r="G102" s="3641"/>
      <c r="H102" s="3641"/>
      <c r="I102" s="3641"/>
      <c r="J102" s="3641"/>
      <c r="K102" s="3641"/>
      <c r="L102" s="3641"/>
      <c r="M102" s="3641"/>
      <c r="N102" s="3641"/>
      <c r="O102" s="3642"/>
      <c r="P102" s="528" t="s">
        <v>567</v>
      </c>
      <c r="Q102" s="1400"/>
      <c r="R102" s="1805"/>
      <c r="S102" s="1806"/>
      <c r="T102" s="501"/>
      <c r="U102" s="1793"/>
      <c r="V102" s="1793"/>
      <c r="W102" s="1793"/>
      <c r="Y102" s="740"/>
      <c r="AK102"/>
      <c r="AL102"/>
      <c r="AM102"/>
      <c r="AN102"/>
      <c r="AO102"/>
      <c r="AP102"/>
      <c r="AQ102"/>
      <c r="AR102"/>
      <c r="AS102"/>
      <c r="AT102"/>
      <c r="AU102"/>
      <c r="AV102"/>
      <c r="AW102"/>
    </row>
    <row r="103" spans="2:49" s="121" customFormat="1" ht="12.75" customHeight="1" x14ac:dyDescent="0.25">
      <c r="B103" s="1797"/>
      <c r="C103" s="501"/>
      <c r="D103" s="524"/>
      <c r="E103" s="565"/>
      <c r="F103" s="3397" t="s">
        <v>13196</v>
      </c>
      <c r="G103" s="3398"/>
      <c r="H103" s="3398"/>
      <c r="I103" s="3398"/>
      <c r="J103" s="3398"/>
      <c r="K103" s="3398"/>
      <c r="L103" s="3398"/>
      <c r="M103" s="3398"/>
      <c r="N103" s="3398"/>
      <c r="O103" s="3398"/>
      <c r="P103" s="3398"/>
      <c r="Q103" s="3550"/>
      <c r="R103" s="569" t="s">
        <v>953</v>
      </c>
      <c r="S103" s="1459">
        <f>SUM(STCG.A7_AmtNotUsed_1,STCG.A6_AmountDeemedOth)</f>
        <v>0</v>
      </c>
      <c r="T103" s="501"/>
      <c r="U103" s="1793"/>
      <c r="V103" s="1793"/>
      <c r="W103" s="1793"/>
      <c r="Y103" s="740">
        <f>IF(STCG.A7_AmtDeemed&lt;&gt;0,1,0)</f>
        <v>0</v>
      </c>
      <c r="AK103"/>
      <c r="AL103"/>
      <c r="AM103"/>
      <c r="AN103"/>
      <c r="AO103"/>
      <c r="AP103"/>
      <c r="AQ103"/>
      <c r="AR103"/>
      <c r="AS103"/>
      <c r="AT103"/>
      <c r="AU103"/>
      <c r="AV103"/>
      <c r="AW103"/>
    </row>
    <row r="104" spans="2:49" s="121" customFormat="1" ht="12.75" hidden="1" customHeight="1" x14ac:dyDescent="0.25">
      <c r="B104" s="1797"/>
      <c r="C104" s="501"/>
      <c r="D104" s="524"/>
      <c r="E104" s="570"/>
      <c r="F104" s="3547" t="s">
        <v>954</v>
      </c>
      <c r="G104" s="3548"/>
      <c r="H104" s="3548"/>
      <c r="I104" s="3548"/>
      <c r="J104" s="3548"/>
      <c r="K104" s="3548"/>
      <c r="L104" s="3548"/>
      <c r="M104" s="3548"/>
      <c r="N104" s="3548"/>
      <c r="O104" s="3548"/>
      <c r="P104" s="3548"/>
      <c r="Q104" s="3549"/>
      <c r="R104" s="557" t="s">
        <v>955</v>
      </c>
      <c r="S104" s="262">
        <v>0</v>
      </c>
      <c r="T104" s="501"/>
      <c r="U104" s="1793"/>
      <c r="V104" s="1793"/>
      <c r="W104" s="1793"/>
      <c r="Y104" s="740">
        <f>IF(STCG.A7_AmtDeemed&lt;&gt;0,1,0)</f>
        <v>0</v>
      </c>
      <c r="AK104"/>
      <c r="AL104"/>
      <c r="AM104"/>
      <c r="AN104"/>
      <c r="AO104"/>
      <c r="AP104"/>
      <c r="AQ104"/>
      <c r="AR104"/>
      <c r="AS104"/>
      <c r="AT104"/>
      <c r="AU104"/>
      <c r="AV104"/>
      <c r="AW104"/>
    </row>
    <row r="105" spans="2:49" s="121" customFormat="1" ht="12.75" customHeight="1" x14ac:dyDescent="0.25">
      <c r="B105" s="1797"/>
      <c r="C105" s="501"/>
      <c r="D105" s="524"/>
      <c r="E105" s="563">
        <v>8</v>
      </c>
      <c r="F105" s="3397" t="s">
        <v>13103</v>
      </c>
      <c r="G105" s="3398"/>
      <c r="H105" s="3398"/>
      <c r="I105" s="3398"/>
      <c r="J105" s="3398"/>
      <c r="K105" s="3398"/>
      <c r="L105" s="3398"/>
      <c r="M105" s="3398"/>
      <c r="N105" s="3398"/>
      <c r="O105" s="3398"/>
      <c r="P105" s="3398"/>
      <c r="Q105" s="3550"/>
      <c r="R105" s="1257" t="s">
        <v>955</v>
      </c>
      <c r="S105" s="1463">
        <f>SUM(STCG.A8_PassThroughIncome15,STCG.A8_PassThroughIncome15Oth1A,STCG.A8_PassThroughIncome30,STCG.A8_PassThroughIncome_ApplicableRate)</f>
        <v>0</v>
      </c>
      <c r="T105" s="501"/>
      <c r="U105" s="1793"/>
      <c r="V105" s="1793"/>
      <c r="W105" s="1793"/>
      <c r="Y105" s="740">
        <f>IF(STCG.A7_AmtDeemed&lt;&gt;0,1,0)</f>
        <v>0</v>
      </c>
      <c r="AK105"/>
      <c r="AL105"/>
      <c r="AM105"/>
      <c r="AN105"/>
      <c r="AO105"/>
      <c r="AP105"/>
      <c r="AQ105"/>
      <c r="AR105"/>
      <c r="AS105"/>
      <c r="AT105"/>
      <c r="AU105"/>
      <c r="AV105"/>
      <c r="AW105"/>
    </row>
    <row r="106" spans="2:49" s="121" customFormat="1" ht="12.75" customHeight="1" x14ac:dyDescent="0.25">
      <c r="B106" s="1797"/>
      <c r="C106" s="501"/>
      <c r="D106" s="524"/>
      <c r="E106" s="1256"/>
      <c r="F106" s="567" t="s">
        <v>27</v>
      </c>
      <c r="G106" s="3397" t="s">
        <v>13197</v>
      </c>
      <c r="H106" s="3398"/>
      <c r="I106" s="3398"/>
      <c r="J106" s="3398"/>
      <c r="K106" s="3398"/>
      <c r="L106" s="3398"/>
      <c r="M106" s="3398"/>
      <c r="N106" s="3398"/>
      <c r="O106" s="3398"/>
      <c r="P106" s="528" t="s">
        <v>723</v>
      </c>
      <c r="Q106" s="1390">
        <v>0</v>
      </c>
      <c r="R106" s="1807"/>
      <c r="S106" s="1808"/>
      <c r="T106" s="501"/>
      <c r="U106" s="1793"/>
      <c r="V106" s="1793"/>
      <c r="W106" s="1793"/>
      <c r="Y106" s="740"/>
      <c r="AK106"/>
      <c r="AL106"/>
      <c r="AM106"/>
      <c r="AN106"/>
      <c r="AO106"/>
      <c r="AP106"/>
      <c r="AQ106"/>
      <c r="AR106"/>
      <c r="AS106"/>
      <c r="AT106"/>
      <c r="AU106"/>
      <c r="AV106"/>
      <c r="AW106"/>
    </row>
    <row r="107" spans="2:49" s="121" customFormat="1" ht="12.75" hidden="1" customHeight="1" x14ac:dyDescent="0.25">
      <c r="B107" s="1797"/>
      <c r="C107" s="501"/>
      <c r="D107" s="524"/>
      <c r="E107" s="1256"/>
      <c r="F107" s="567" t="s">
        <v>12062</v>
      </c>
      <c r="G107" s="2499" t="s">
        <v>13135</v>
      </c>
      <c r="H107" s="2500"/>
      <c r="I107" s="2500"/>
      <c r="J107" s="2500"/>
      <c r="K107" s="2500"/>
      <c r="L107" s="2500"/>
      <c r="M107" s="2500"/>
      <c r="N107" s="2500"/>
      <c r="O107" s="2500"/>
      <c r="P107" s="528" t="s">
        <v>13136</v>
      </c>
      <c r="Q107" s="1390"/>
      <c r="R107" s="1803"/>
      <c r="S107" s="1804"/>
      <c r="T107" s="501"/>
      <c r="U107" s="1793"/>
      <c r="V107" s="1793"/>
      <c r="W107" s="1793"/>
      <c r="Y107" s="740"/>
      <c r="AK107" s="2501"/>
      <c r="AL107" s="2501"/>
      <c r="AM107" s="2501"/>
      <c r="AN107" s="2501"/>
      <c r="AO107" s="2501"/>
      <c r="AP107" s="2501"/>
      <c r="AQ107" s="2501"/>
      <c r="AR107" s="2501"/>
      <c r="AS107" s="2501"/>
      <c r="AT107" s="2501"/>
      <c r="AU107" s="2501"/>
      <c r="AV107" s="2501"/>
      <c r="AW107" s="2501"/>
    </row>
    <row r="108" spans="2:49" s="121" customFormat="1" ht="12.75" customHeight="1" x14ac:dyDescent="0.25">
      <c r="B108" s="1797"/>
      <c r="C108" s="501"/>
      <c r="D108" s="524"/>
      <c r="E108" s="1256"/>
      <c r="F108" s="567" t="s">
        <v>28</v>
      </c>
      <c r="G108" s="3397" t="s">
        <v>12055</v>
      </c>
      <c r="H108" s="3398"/>
      <c r="I108" s="3398"/>
      <c r="J108" s="3398"/>
      <c r="K108" s="3398"/>
      <c r="L108" s="3398"/>
      <c r="M108" s="3398"/>
      <c r="N108" s="3398"/>
      <c r="O108" s="3398"/>
      <c r="P108" s="528" t="s">
        <v>724</v>
      </c>
      <c r="Q108" s="1390">
        <v>0</v>
      </c>
      <c r="R108" s="1803"/>
      <c r="S108" s="1804"/>
      <c r="T108" s="501"/>
      <c r="U108" s="1793"/>
      <c r="V108" s="1793"/>
      <c r="W108" s="1793"/>
      <c r="Y108" s="740"/>
      <c r="AK108"/>
      <c r="AL108"/>
      <c r="AM108"/>
      <c r="AN108"/>
      <c r="AO108"/>
      <c r="AP108"/>
      <c r="AQ108"/>
      <c r="AR108"/>
      <c r="AS108"/>
      <c r="AT108"/>
      <c r="AU108"/>
      <c r="AV108"/>
      <c r="AW108"/>
    </row>
    <row r="109" spans="2:49" s="121" customFormat="1" ht="12.75" customHeight="1" x14ac:dyDescent="0.25">
      <c r="B109" s="1797"/>
      <c r="C109" s="501"/>
      <c r="D109" s="524"/>
      <c r="E109" s="1256"/>
      <c r="F109" s="567" t="s">
        <v>29</v>
      </c>
      <c r="G109" s="3397" t="s">
        <v>12056</v>
      </c>
      <c r="H109" s="3398"/>
      <c r="I109" s="3398"/>
      <c r="J109" s="3398"/>
      <c r="K109" s="3398"/>
      <c r="L109" s="3398"/>
      <c r="M109" s="3398"/>
      <c r="N109" s="3398"/>
      <c r="O109" s="3398"/>
      <c r="P109" s="528" t="s">
        <v>725</v>
      </c>
      <c r="Q109" s="1390">
        <v>0</v>
      </c>
      <c r="R109" s="1805"/>
      <c r="S109" s="1806"/>
      <c r="T109" s="501"/>
      <c r="U109" s="1793"/>
      <c r="V109" s="1793"/>
      <c r="W109" s="1793"/>
      <c r="Y109" s="740"/>
      <c r="AK109"/>
      <c r="AL109"/>
      <c r="AM109"/>
      <c r="AN109"/>
      <c r="AO109"/>
      <c r="AP109"/>
      <c r="AQ109"/>
      <c r="AR109"/>
      <c r="AS109"/>
      <c r="AT109"/>
      <c r="AU109"/>
      <c r="AV109"/>
      <c r="AW109"/>
    </row>
    <row r="110" spans="2:49" s="121" customFormat="1" ht="12.75" customHeight="1" x14ac:dyDescent="0.25">
      <c r="B110" s="1797"/>
      <c r="C110" s="501"/>
      <c r="D110" s="524"/>
      <c r="E110" s="1008">
        <v>9</v>
      </c>
      <c r="F110" s="3557" t="s">
        <v>9304</v>
      </c>
      <c r="G110" s="3558"/>
      <c r="H110" s="3558"/>
      <c r="I110" s="3558"/>
      <c r="J110" s="3558"/>
      <c r="K110" s="3558"/>
      <c r="L110" s="3558"/>
      <c r="M110" s="3558"/>
      <c r="N110" s="3558"/>
      <c r="O110" s="3558"/>
      <c r="P110" s="3558"/>
      <c r="Q110" s="3558"/>
      <c r="R110" s="3559"/>
      <c r="S110" s="3560"/>
      <c r="T110" s="1798"/>
      <c r="U110" s="1793"/>
      <c r="V110" s="1793"/>
      <c r="W110" s="1793"/>
      <c r="Y110" s="740"/>
      <c r="AK110"/>
      <c r="AL110"/>
      <c r="AM110"/>
      <c r="AN110"/>
      <c r="AO110"/>
      <c r="AP110"/>
      <c r="AQ110"/>
      <c r="AR110"/>
      <c r="AS110"/>
      <c r="AT110"/>
      <c r="AU110"/>
      <c r="AV110"/>
      <c r="AW110"/>
    </row>
    <row r="111" spans="2:49" s="121" customFormat="1" ht="68.25" customHeight="1" x14ac:dyDescent="0.25">
      <c r="B111" s="1797"/>
      <c r="C111" s="501"/>
      <c r="D111" s="524"/>
      <c r="E111" s="1009"/>
      <c r="F111" s="1005"/>
      <c r="G111" s="1006" t="s">
        <v>11920</v>
      </c>
      <c r="H111" s="1007" t="s">
        <v>8326</v>
      </c>
      <c r="I111" s="1007" t="s">
        <v>9280</v>
      </c>
      <c r="J111" s="1007" t="s">
        <v>8325</v>
      </c>
      <c r="K111" s="1007" t="s">
        <v>8324</v>
      </c>
      <c r="L111" s="1007" t="s">
        <v>8323</v>
      </c>
      <c r="M111" s="1007" t="s">
        <v>8322</v>
      </c>
      <c r="N111" s="1007" t="s">
        <v>8321</v>
      </c>
      <c r="O111" s="1007" t="s">
        <v>8320</v>
      </c>
      <c r="P111" s="1007" t="s">
        <v>8319</v>
      </c>
      <c r="Q111" s="1002"/>
      <c r="R111" s="566"/>
      <c r="S111" s="526"/>
      <c r="T111" s="1809"/>
      <c r="X111" s="740"/>
      <c r="Z111" s="1810" t="s">
        <v>42</v>
      </c>
      <c r="AA111" s="1810" t="s">
        <v>7147</v>
      </c>
      <c r="AB111" s="1810" t="s">
        <v>7185</v>
      </c>
      <c r="AC111" s="1810"/>
      <c r="AD111" s="1810" t="s">
        <v>7148</v>
      </c>
      <c r="AE111" s="1810"/>
      <c r="AF111" s="1810"/>
      <c r="AG111" s="1810"/>
      <c r="AH111" s="1810"/>
      <c r="AI111" s="1810"/>
      <c r="AJ111" s="1810"/>
      <c r="AK111"/>
      <c r="AL111"/>
      <c r="AM111"/>
      <c r="AN111"/>
      <c r="AO111"/>
      <c r="AP111"/>
      <c r="AQ111"/>
      <c r="AR111"/>
      <c r="AS111"/>
      <c r="AT111"/>
      <c r="AU111"/>
      <c r="AV111"/>
      <c r="AW111"/>
    </row>
    <row r="112" spans="2:49" s="121" customFormat="1" ht="15" x14ac:dyDescent="0.25">
      <c r="B112" s="1797"/>
      <c r="C112" s="501"/>
      <c r="D112" s="524"/>
      <c r="E112" s="1009"/>
      <c r="F112" s="571"/>
      <c r="G112" s="567">
        <f>1</f>
        <v>1</v>
      </c>
      <c r="H112" s="534"/>
      <c r="I112" s="71"/>
      <c r="J112" s="71"/>
      <c r="K112" s="1081"/>
      <c r="L112" s="1080"/>
      <c r="M112" s="2651"/>
      <c r="N112" s="13"/>
      <c r="O112" s="1080"/>
      <c r="P112" s="2652">
        <v>0</v>
      </c>
      <c r="Q112" s="1003"/>
      <c r="R112" s="566"/>
      <c r="S112" s="526"/>
      <c r="T112" s="1809"/>
      <c r="X112" s="740"/>
      <c r="Z112" s="1811">
        <f>I112</f>
        <v>0</v>
      </c>
      <c r="AA112" s="1811">
        <f>H112</f>
        <v>0</v>
      </c>
      <c r="AB112" s="1762">
        <f>SUMIF(STCG_SectionCodes,Z112,STCG_SectionValues)</f>
        <v>0</v>
      </c>
      <c r="AC112" s="1762"/>
      <c r="AD112" s="1762" t="s">
        <v>911</v>
      </c>
      <c r="AE112" s="1762">
        <f>IF(MID(sheet1.ResidentialStatus1,1,3)="NRI",SUMIFS(Section_AmountStcgA8,STCG.A8_CertiStatus,"=Yes",Section_CodeStcgA8,AD112),SUMIF(Section_CodeStcgA8,AD112,Section_AmountStcgA8))</f>
        <v>0</v>
      </c>
      <c r="AF112" s="1762" t="s">
        <v>915</v>
      </c>
      <c r="AG112" s="1762">
        <f>IF(MID(sheet1.ResidentialStatus1,1,3)="NRI",SUMIFS(Section_AmountStcgA8,STCG.A8_CertiStatus,"=Yes",Section_CodeStcgA8,AF112),SUMIF(Section_CodeStcgA8,AF112,Section_AmountStcgA8))</f>
        <v>0</v>
      </c>
      <c r="AH112" s="1762" t="s">
        <v>930</v>
      </c>
      <c r="AI112" s="1762">
        <f>IF(MID(sheet1.ResidentialStatus1,1,3)="NRI",SUMIFS(Section_AmountStcgA8,STCG.A8_CertiStatus,"=Yes",Section_CodeStcgA8,AH112),SUMIF(Section_CodeStcgA8,AH112,Section_AmountStcgA8))</f>
        <v>0</v>
      </c>
      <c r="AJ112" s="1762" t="s">
        <v>940</v>
      </c>
      <c r="AK112" s="1762">
        <f>IF(MID(sheet1.ResidentialStatus1,1,3)="NRI",SUMIFS(Section_AmountStcgA8,STCG.A8_CertiStatus,"=Yes",Section_CodeStcgA8,AJ112),SUMIF(Section_CodeStcgA8,AJ112,Section_AmountStcgA8))</f>
        <v>0</v>
      </c>
      <c r="AL112" s="1933" t="s">
        <v>8394</v>
      </c>
      <c r="AM112" s="1933">
        <f>IF(MID(sheet1.ResidentialStatus1,1,3)="NRI",SUMIFS(Section_AmountStcgA8,STCG.A8_CertiStatus,"=Yes",Section_CodeStcgA8,AL112),SUMIF(Section_CodeStcgA8,AL112,Section_AmountStcgA8))</f>
        <v>0</v>
      </c>
      <c r="AN112" s="1933" t="s">
        <v>8395</v>
      </c>
      <c r="AO112" s="1933">
        <f>IF(MID(sheet1.ResidentialStatus1,1,3)="NRI",SUMIFS(Section_AmountStcgA8,STCG.A8_CertiStatus,"=Yes",Section_CodeStcgA8,AN112),SUMIF(Section_CodeStcgA8,AN112,Section_AmountStcgA8))</f>
        <v>0</v>
      </c>
      <c r="AP112" s="1933" t="s">
        <v>9284</v>
      </c>
      <c r="AQ112" s="1933">
        <f>IF(MID(sheet1.ResidentialStatus1,1,3)="NRI",SUMIFS(Section_AmountStcgA8,STCG.A8_CertiStatus,"=Yes",Section_CodeStcgA8,AP112),SUMIF(Section_CodeStcgA8,AP112,Section_AmountStcgA8))</f>
        <v>0</v>
      </c>
      <c r="AR112"/>
      <c r="AS112">
        <f>SUM(STCG.A8_AmtI)</f>
        <v>0</v>
      </c>
    </row>
    <row r="113" spans="2:49" s="121" customFormat="1" ht="15" x14ac:dyDescent="0.25">
      <c r="B113" s="1797"/>
      <c r="C113" s="501"/>
      <c r="D113" s="524"/>
      <c r="E113" s="1009"/>
      <c r="F113" s="571"/>
      <c r="G113" s="567">
        <f>G112+1</f>
        <v>2</v>
      </c>
      <c r="H113" s="534"/>
      <c r="I113" s="71"/>
      <c r="J113" s="71"/>
      <c r="K113" s="1081"/>
      <c r="L113" s="1080"/>
      <c r="M113" s="2651"/>
      <c r="N113" s="13"/>
      <c r="O113" s="1080"/>
      <c r="P113" s="2652">
        <v>0</v>
      </c>
      <c r="Q113" s="1003"/>
      <c r="R113" s="566"/>
      <c r="S113" s="526"/>
      <c r="T113" s="1809"/>
      <c r="X113" s="740"/>
      <c r="Z113" s="1811">
        <f>I113</f>
        <v>0</v>
      </c>
      <c r="AA113" s="1811">
        <f>H113</f>
        <v>0</v>
      </c>
      <c r="AB113" s="1762">
        <f>SUMIF(STCG_SectionCodes,Z113,STCG_SectionValues)</f>
        <v>0</v>
      </c>
      <c r="AC113" s="1762"/>
      <c r="AD113" s="1762" t="s">
        <v>1028</v>
      </c>
      <c r="AE113" s="1762">
        <f>IF(MID(sheet1.ResidentialStatus1,1,3)="NRI",SUMIFS(Section_AmountStcgA8,STCG.A8_CertiStatus,"=Yes",Section_CodeStcgA8,AD113),SUMIF(Section_CodeStcgA8,AD113,Section_AmountStcgA8))</f>
        <v>0</v>
      </c>
      <c r="AF113" s="1762" t="s">
        <v>1030</v>
      </c>
      <c r="AG113" s="1762">
        <f>IF(MID(sheet1.ResidentialStatus1,1,3)="NRI",SUMIFS(Section_AmountStcgA8,STCG.A8_CertiStatus,"=Yes",Section_CodeStcgA8,AF113),SUMIF(Section_CodeStcgA8,AF113,Section_AmountStcgA8))</f>
        <v>0</v>
      </c>
      <c r="AH113" s="1762" t="s">
        <v>7149</v>
      </c>
      <c r="AI113" s="1762">
        <f>IF(MID(sheet1.ResidentialStatus1,1,3)="NRI",SUMIFS(Section_AmountStcgA8,STCG.A8_CertiStatus,"=Yes",Section_CodeStcgA8,AH113),SUMIF(Section_CodeStcgA8,AH113,Section_AmountStcgA8))</f>
        <v>0</v>
      </c>
      <c r="AJ113" s="1762" t="s">
        <v>1032</v>
      </c>
      <c r="AK113" s="1762">
        <f>IF(MID(sheet1.ResidentialStatus1,1,3)="NRI",SUMIFS(Section_AmountStcgA8,STCG.A8_CertiStatus,"=Yes",Section_CodeStcgA8,AJ113),SUMIF(Section_CodeStcgA8,AJ113,Section_AmountStcgA8))</f>
        <v>0</v>
      </c>
      <c r="AL113" s="1933" t="s">
        <v>953</v>
      </c>
      <c r="AM113" s="1988">
        <f>IF(MID(sheet1.ResidentialStatus1,1,3)="NRI",SUMIFS(Section_AmountStcgA8,STCG.A8_CertiStatus,"=Yes",Section_CodeStcgA8,AL113),SUMIF(Section_CodeStcgA8,AL113,Section_AmountStcgA8))</f>
        <v>0</v>
      </c>
      <c r="AN113" s="1933" t="s">
        <v>7592</v>
      </c>
      <c r="AO113" s="1988">
        <f>IF(MID(sheet1.ResidentialStatus1,1,3)="NRI",SUMIFS(Section_AmountStcgA8,STCG.A8_CertiStatus,"=Yes",Section_CodeStcgA8,AN113),SUMIF(Section_CodeStcgA8,AN113,Section_AmountStcgA8))</f>
        <v>0</v>
      </c>
      <c r="AP113"/>
      <c r="AQ113"/>
      <c r="AR113"/>
      <c r="AS113"/>
      <c r="AT113"/>
      <c r="AU113"/>
      <c r="AV113"/>
      <c r="AW113"/>
    </row>
    <row r="114" spans="2:49" s="121" customFormat="1" ht="12.75" customHeight="1" x14ac:dyDescent="0.25">
      <c r="B114" s="1797"/>
      <c r="C114" s="501"/>
      <c r="D114" s="524"/>
      <c r="E114" s="1009"/>
      <c r="F114" s="3554"/>
      <c r="G114" s="3399"/>
      <c r="H114" s="3400"/>
      <c r="I114" s="3400"/>
      <c r="J114" s="3400"/>
      <c r="K114" s="3400"/>
      <c r="L114" s="3400"/>
      <c r="M114" s="3400"/>
      <c r="N114" s="3400"/>
      <c r="O114" s="3400"/>
      <c r="P114" s="3400"/>
      <c r="Q114" s="3401"/>
      <c r="R114" s="566"/>
      <c r="S114" s="526"/>
      <c r="T114" s="1798"/>
      <c r="U114" s="1793"/>
      <c r="V114" s="1793"/>
      <c r="W114" s="1793"/>
      <c r="Y114" s="740"/>
      <c r="AK114"/>
      <c r="AL114"/>
      <c r="AM114"/>
      <c r="AN114"/>
      <c r="AO114"/>
      <c r="AP114"/>
      <c r="AQ114"/>
      <c r="AR114"/>
      <c r="AS114"/>
      <c r="AT114"/>
      <c r="AU114"/>
      <c r="AV114"/>
      <c r="AW114"/>
    </row>
    <row r="115" spans="2:49" s="121" customFormat="1" ht="12.75" customHeight="1" x14ac:dyDescent="0.25">
      <c r="B115" s="1797"/>
      <c r="C115" s="501"/>
      <c r="D115" s="524"/>
      <c r="E115" s="1009"/>
      <c r="F115" s="3555"/>
      <c r="G115" s="3399"/>
      <c r="H115" s="3400"/>
      <c r="I115" s="3400"/>
      <c r="J115" s="3400"/>
      <c r="K115" s="3400"/>
      <c r="L115" s="3400"/>
      <c r="M115" s="3400"/>
      <c r="N115" s="3400"/>
      <c r="O115" s="3400"/>
      <c r="P115" s="3400"/>
      <c r="Q115" s="3401"/>
      <c r="R115" s="566"/>
      <c r="S115" s="526"/>
      <c r="T115" s="1798"/>
      <c r="U115" s="1793"/>
      <c r="V115" s="1793"/>
      <c r="W115" s="1793"/>
      <c r="Y115" s="740"/>
      <c r="AK115"/>
      <c r="AL115"/>
      <c r="AM115"/>
      <c r="AN115"/>
      <c r="AO115"/>
      <c r="AP115"/>
      <c r="AQ115"/>
      <c r="AR115"/>
      <c r="AS115"/>
      <c r="AT115"/>
      <c r="AU115"/>
      <c r="AV115"/>
      <c r="AW115"/>
    </row>
    <row r="116" spans="2:49" s="121" customFormat="1" ht="12.75" customHeight="1" x14ac:dyDescent="0.25">
      <c r="B116" s="1797"/>
      <c r="C116" s="501"/>
      <c r="D116" s="524"/>
      <c r="E116" s="1009"/>
      <c r="F116" s="3556"/>
      <c r="G116" s="3402"/>
      <c r="H116" s="3403"/>
      <c r="I116" s="3403"/>
      <c r="J116" s="3403"/>
      <c r="K116" s="3403"/>
      <c r="L116" s="3403"/>
      <c r="M116" s="3403"/>
      <c r="N116" s="3403"/>
      <c r="O116" s="3403"/>
      <c r="P116" s="3403"/>
      <c r="Q116" s="3404"/>
      <c r="R116" s="1004"/>
      <c r="S116" s="551"/>
      <c r="T116" s="1798"/>
      <c r="U116" s="1793"/>
      <c r="V116" s="1793"/>
      <c r="W116" s="1793"/>
      <c r="Y116" s="740"/>
      <c r="AK116"/>
      <c r="AL116"/>
      <c r="AM116"/>
      <c r="AN116"/>
      <c r="AO116"/>
      <c r="AP116"/>
      <c r="AQ116"/>
      <c r="AR116"/>
      <c r="AS116"/>
      <c r="AT116"/>
      <c r="AU116"/>
      <c r="AV116"/>
      <c r="AW116"/>
    </row>
    <row r="117" spans="2:49" s="121" customFormat="1" ht="12.75" customHeight="1" x14ac:dyDescent="0.25">
      <c r="B117" s="1797"/>
      <c r="C117" s="501"/>
      <c r="D117" s="524"/>
      <c r="E117" s="1009"/>
      <c r="F117" s="1059"/>
      <c r="G117" s="567" t="s">
        <v>27</v>
      </c>
      <c r="H117" s="3394" t="s">
        <v>7376</v>
      </c>
      <c r="I117" s="3395"/>
      <c r="J117" s="3395"/>
      <c r="K117" s="3395"/>
      <c r="L117" s="3395"/>
      <c r="M117" s="3395"/>
      <c r="N117" s="3395"/>
      <c r="O117" s="3395"/>
      <c r="P117" s="3395"/>
      <c r="Q117" s="3396"/>
      <c r="R117" s="381" t="s">
        <v>9273</v>
      </c>
      <c r="S117" s="1019">
        <f>IF(MID(sheet1.ResidentialStatus1,1,3)="NRI",SUM(SUMIFS(STCG.A8_AmtI,STCG.A8_CertiStatus,"Yes",STCG.A8_ApplRate,{"","0"})),SUM(SUMIFS(STCG.A8_AmtI,STCG.A8_ApplRate,{"","0"})))</f>
        <v>0</v>
      </c>
      <c r="T117" s="1798"/>
      <c r="U117" s="1793"/>
      <c r="V117" s="1793"/>
      <c r="W117" s="1793"/>
      <c r="Y117" s="740"/>
      <c r="AK117"/>
      <c r="AL117"/>
      <c r="AM117"/>
      <c r="AN117"/>
      <c r="AO117"/>
      <c r="AP117"/>
      <c r="AQ117"/>
      <c r="AR117"/>
      <c r="AS117"/>
      <c r="AT117"/>
      <c r="AU117"/>
      <c r="AV117"/>
      <c r="AW117"/>
    </row>
    <row r="118" spans="2:49" s="121" customFormat="1" ht="12.75" customHeight="1" x14ac:dyDescent="0.25">
      <c r="B118" s="1797"/>
      <c r="C118" s="501"/>
      <c r="D118" s="524"/>
      <c r="E118" s="1010"/>
      <c r="F118" s="1059"/>
      <c r="G118" s="567" t="s">
        <v>28</v>
      </c>
      <c r="H118" s="3394" t="s">
        <v>8974</v>
      </c>
      <c r="I118" s="3395"/>
      <c r="J118" s="3395"/>
      <c r="K118" s="3395"/>
      <c r="L118" s="3395"/>
      <c r="M118" s="3395"/>
      <c r="N118" s="3395"/>
      <c r="O118" s="3395"/>
      <c r="P118" s="3395"/>
      <c r="Q118" s="3396"/>
      <c r="R118" s="381" t="s">
        <v>9274</v>
      </c>
      <c r="S118" s="1019">
        <f>IF(MID(sheet1.ResidentialStatus1,1,3)="NRI",SUMIFS(STCG.A8_AmtI,STCG.A8_CertiStatus,"Yes",STCG.A8_ApplRate,"&lt;&gt;""",STCG.A8_ApplRate,"&lt;&gt;0"),SUM(SUMIFS(STCG.A8_AmtI,STCG.A8_ApplRate,"&lt;&gt;""",STCG.A8_ApplRate,"&lt;&gt;0")))</f>
        <v>0</v>
      </c>
      <c r="T118" s="1798"/>
      <c r="U118" s="1793"/>
      <c r="V118" s="1793"/>
      <c r="W118" s="1793"/>
      <c r="Y118" s="740"/>
      <c r="AK118"/>
      <c r="AL118"/>
      <c r="AM118"/>
      <c r="AN118"/>
      <c r="AO118"/>
      <c r="AP118"/>
      <c r="AQ118"/>
      <c r="AR118"/>
      <c r="AS118"/>
      <c r="AT118"/>
      <c r="AU118"/>
      <c r="AV118"/>
      <c r="AW118"/>
    </row>
    <row r="119" spans="2:49" s="1813" customFormat="1" ht="16.5" hidden="1" customHeight="1" x14ac:dyDescent="0.2">
      <c r="B119" s="1814"/>
      <c r="C119" s="575"/>
      <c r="D119" s="574"/>
      <c r="E119" s="1008">
        <v>8</v>
      </c>
      <c r="F119" s="526" t="s">
        <v>8318</v>
      </c>
      <c r="G119" s="526"/>
      <c r="H119" s="526"/>
      <c r="I119" s="526"/>
      <c r="J119" s="526"/>
      <c r="K119" s="526"/>
      <c r="L119" s="526"/>
      <c r="M119" s="526"/>
      <c r="N119" s="526"/>
      <c r="O119" s="526"/>
      <c r="P119" s="526"/>
      <c r="Q119" s="526"/>
      <c r="R119" s="526"/>
      <c r="S119" s="526"/>
      <c r="T119" s="1798"/>
      <c r="U119" s="1793"/>
      <c r="V119" s="1793"/>
      <c r="W119" s="1793"/>
      <c r="Y119" s="1810"/>
    </row>
    <row r="120" spans="2:49" s="1813" customFormat="1" ht="12.75" hidden="1" customHeight="1" x14ac:dyDescent="0.2">
      <c r="B120" s="1814"/>
      <c r="C120" s="575"/>
      <c r="D120" s="574"/>
      <c r="E120" s="1009"/>
      <c r="F120" s="526"/>
      <c r="G120" s="526" t="s">
        <v>6798</v>
      </c>
      <c r="H120" s="526" t="s">
        <v>6799</v>
      </c>
      <c r="I120" s="526" t="s">
        <v>6800</v>
      </c>
      <c r="J120" s="526" t="s">
        <v>7144</v>
      </c>
      <c r="K120" s="526" t="s">
        <v>7597</v>
      </c>
      <c r="L120" s="526" t="s">
        <v>7145</v>
      </c>
      <c r="M120" s="526"/>
      <c r="N120" s="526"/>
      <c r="O120" s="526"/>
      <c r="P120" s="526"/>
      <c r="Q120" s="526"/>
      <c r="R120" s="526"/>
      <c r="S120" s="526"/>
      <c r="T120" s="1798"/>
      <c r="U120" s="1793"/>
      <c r="V120" s="1793"/>
      <c r="W120" s="1793"/>
      <c r="Y120" s="1810"/>
    </row>
    <row r="121" spans="2:49" s="1813" customFormat="1" ht="12.75" hidden="1" customHeight="1" x14ac:dyDescent="0.2">
      <c r="B121" s="1814"/>
      <c r="C121" s="575"/>
      <c r="D121" s="574"/>
      <c r="E121" s="1009"/>
      <c r="F121" s="526"/>
      <c r="G121" s="526">
        <v>1</v>
      </c>
      <c r="H121" s="526" t="s">
        <v>12</v>
      </c>
      <c r="I121" s="526" t="s">
        <v>23</v>
      </c>
      <c r="J121" s="526" t="s">
        <v>12</v>
      </c>
      <c r="K121" s="526"/>
      <c r="L121" s="526"/>
      <c r="M121" s="526"/>
      <c r="N121" s="526"/>
      <c r="O121" s="526"/>
      <c r="P121" s="526"/>
      <c r="Q121" s="526"/>
      <c r="R121" s="526"/>
      <c r="S121" s="526"/>
      <c r="T121" s="1798"/>
      <c r="U121" s="1793"/>
      <c r="V121" s="1793"/>
      <c r="W121" s="1793"/>
      <c r="Y121" s="1802"/>
    </row>
    <row r="122" spans="2:49" s="1813" customFormat="1" ht="12.75" hidden="1" customHeight="1" x14ac:dyDescent="0.2">
      <c r="B122" s="1814"/>
      <c r="C122" s="575"/>
      <c r="D122" s="574"/>
      <c r="E122" s="1009"/>
      <c r="F122" s="526"/>
      <c r="G122" s="526">
        <f>G121+1</f>
        <v>2</v>
      </c>
      <c r="H122" s="526" t="s">
        <v>12</v>
      </c>
      <c r="I122" s="526" t="s">
        <v>23</v>
      </c>
      <c r="J122" s="526" t="s">
        <v>12</v>
      </c>
      <c r="K122" s="526"/>
      <c r="L122" s="526"/>
      <c r="M122" s="526"/>
      <c r="N122" s="526"/>
      <c r="O122" s="526"/>
      <c r="P122" s="526"/>
      <c r="Q122" s="526"/>
      <c r="R122" s="526"/>
      <c r="S122" s="526"/>
      <c r="T122" s="1798"/>
      <c r="U122" s="1793"/>
      <c r="V122" s="1793"/>
      <c r="W122" s="1793"/>
      <c r="Y122" s="1802"/>
    </row>
    <row r="123" spans="2:49" s="1813" customFormat="1" ht="12.75" hidden="1" customHeight="1" x14ac:dyDescent="0.2">
      <c r="B123" s="1814"/>
      <c r="C123" s="575"/>
      <c r="D123" s="574"/>
      <c r="E123" s="1009"/>
      <c r="F123" s="526"/>
      <c r="G123" s="526"/>
      <c r="H123" s="526"/>
      <c r="I123" s="526"/>
      <c r="J123" s="526"/>
      <c r="K123" s="526"/>
      <c r="L123" s="526"/>
      <c r="M123" s="526"/>
      <c r="N123" s="526"/>
      <c r="O123" s="526"/>
      <c r="P123" s="526"/>
      <c r="Q123" s="526"/>
      <c r="R123" s="526"/>
      <c r="S123" s="526"/>
      <c r="T123" s="1798"/>
      <c r="U123" s="1793"/>
      <c r="V123" s="1793"/>
      <c r="W123" s="1793"/>
      <c r="Y123" s="1810"/>
    </row>
    <row r="124" spans="2:49" s="1813" customFormat="1" ht="12.75" hidden="1" customHeight="1" x14ac:dyDescent="0.2">
      <c r="B124" s="1814"/>
      <c r="C124" s="575"/>
      <c r="D124" s="574"/>
      <c r="E124" s="1009"/>
      <c r="F124" s="526"/>
      <c r="G124" s="526" t="s">
        <v>7146</v>
      </c>
      <c r="H124" s="526" t="s">
        <v>7376</v>
      </c>
      <c r="I124" s="526"/>
      <c r="J124" s="526"/>
      <c r="K124" s="526"/>
      <c r="L124" s="526"/>
      <c r="M124" s="526"/>
      <c r="N124" s="526"/>
      <c r="O124" s="526"/>
      <c r="P124" s="526"/>
      <c r="Q124" s="526"/>
      <c r="R124" s="526" t="s">
        <v>955</v>
      </c>
      <c r="S124" s="526"/>
      <c r="T124" s="1798"/>
      <c r="U124" s="1793"/>
      <c r="V124" s="1793"/>
      <c r="W124" s="1793"/>
      <c r="Y124" s="1802">
        <f>IF(STCG.A8_StcgDTAA&lt;&gt;0,1,0)</f>
        <v>0</v>
      </c>
    </row>
    <row r="125" spans="2:49" s="121" customFormat="1" ht="12.75" hidden="1" customHeight="1" x14ac:dyDescent="0.2">
      <c r="B125" s="1797"/>
      <c r="C125" s="575"/>
      <c r="D125" s="574"/>
      <c r="E125" s="578">
        <v>9</v>
      </c>
      <c r="F125" s="3561" t="s">
        <v>947</v>
      </c>
      <c r="G125" s="3562"/>
      <c r="H125" s="3562"/>
      <c r="I125" s="3562"/>
      <c r="J125" s="3562"/>
      <c r="K125" s="3562"/>
      <c r="L125" s="3562"/>
      <c r="M125" s="3562"/>
      <c r="N125" s="3562"/>
      <c r="O125" s="3562"/>
      <c r="P125" s="3562"/>
      <c r="Q125" s="3562"/>
      <c r="R125" s="3562"/>
      <c r="S125" s="3563"/>
      <c r="T125" s="1798"/>
      <c r="U125" s="1793"/>
      <c r="V125" s="1793"/>
      <c r="W125" s="1793"/>
      <c r="Y125" s="740"/>
      <c r="AB125" s="121" t="s">
        <v>1707</v>
      </c>
    </row>
    <row r="126" spans="2:49" s="121" customFormat="1" ht="12.75" hidden="1" customHeight="1" x14ac:dyDescent="0.2">
      <c r="B126" s="1797"/>
      <c r="C126" s="575"/>
      <c r="D126" s="1751"/>
      <c r="E126" s="579"/>
      <c r="F126" s="580" t="s">
        <v>287</v>
      </c>
      <c r="G126" s="3551" t="s">
        <v>948</v>
      </c>
      <c r="H126" s="3552"/>
      <c r="I126" s="3552"/>
      <c r="J126" s="3552"/>
      <c r="K126" s="3552"/>
      <c r="L126" s="3552"/>
      <c r="M126" s="3552"/>
      <c r="N126" s="3552"/>
      <c r="O126" s="3553"/>
      <c r="P126" s="581" t="s">
        <v>287</v>
      </c>
      <c r="Q126" s="534"/>
      <c r="R126" s="582"/>
      <c r="S126" s="583"/>
      <c r="T126" s="1798"/>
      <c r="U126" s="1793"/>
      <c r="V126" s="1793"/>
      <c r="W126" s="1793"/>
      <c r="Y126" s="740"/>
      <c r="AB126" s="121" t="s">
        <v>1708</v>
      </c>
    </row>
    <row r="127" spans="2:49" s="121" customFormat="1" ht="12.75" hidden="1" customHeight="1" x14ac:dyDescent="0.2">
      <c r="B127" s="1797"/>
      <c r="C127" s="575"/>
      <c r="D127" s="1751"/>
      <c r="E127" s="584"/>
      <c r="F127" s="580" t="s">
        <v>290</v>
      </c>
      <c r="G127" s="3551" t="s">
        <v>949</v>
      </c>
      <c r="H127" s="3552"/>
      <c r="I127" s="3552"/>
      <c r="J127" s="3552"/>
      <c r="K127" s="3552"/>
      <c r="L127" s="3552"/>
      <c r="M127" s="3552"/>
      <c r="N127" s="3552"/>
      <c r="O127" s="3553"/>
      <c r="P127" s="581" t="s">
        <v>290</v>
      </c>
      <c r="Q127" s="534"/>
      <c r="R127" s="585"/>
      <c r="S127" s="586"/>
      <c r="T127" s="1798"/>
      <c r="U127" s="1793"/>
      <c r="V127" s="1793"/>
      <c r="W127" s="1793"/>
      <c r="Y127" s="740"/>
      <c r="AB127" s="121" t="s">
        <v>1709</v>
      </c>
    </row>
    <row r="128" spans="2:49" s="121" customFormat="1" ht="12.75" hidden="1" customHeight="1" x14ac:dyDescent="0.2">
      <c r="B128" s="1797"/>
      <c r="C128" s="575"/>
      <c r="D128" s="1751"/>
      <c r="E128" s="584"/>
      <c r="F128" s="580" t="s">
        <v>293</v>
      </c>
      <c r="G128" s="3551" t="s">
        <v>950</v>
      </c>
      <c r="H128" s="3552"/>
      <c r="I128" s="3552"/>
      <c r="J128" s="3552"/>
      <c r="K128" s="3552"/>
      <c r="L128" s="3552"/>
      <c r="M128" s="3552"/>
      <c r="N128" s="3552"/>
      <c r="O128" s="3553"/>
      <c r="P128" s="581" t="s">
        <v>293</v>
      </c>
      <c r="Q128" s="534"/>
      <c r="R128" s="585"/>
      <c r="S128" s="586"/>
      <c r="T128" s="1798"/>
      <c r="U128" s="1793"/>
      <c r="V128" s="1793"/>
      <c r="W128" s="1793"/>
      <c r="Y128" s="740"/>
      <c r="AB128" s="121" t="s">
        <v>1710</v>
      </c>
    </row>
    <row r="129" spans="2:28" s="121" customFormat="1" ht="12.75" hidden="1" customHeight="1" x14ac:dyDescent="0.2">
      <c r="B129" s="1797"/>
      <c r="C129" s="575"/>
      <c r="D129" s="1751"/>
      <c r="E129" s="584"/>
      <c r="F129" s="580" t="s">
        <v>296</v>
      </c>
      <c r="G129" s="3551" t="s">
        <v>951</v>
      </c>
      <c r="H129" s="3552"/>
      <c r="I129" s="3552"/>
      <c r="J129" s="3552"/>
      <c r="K129" s="3552"/>
      <c r="L129" s="3552"/>
      <c r="M129" s="3552"/>
      <c r="N129" s="3552"/>
      <c r="O129" s="3553"/>
      <c r="P129" s="581" t="s">
        <v>296</v>
      </c>
      <c r="Q129" s="534"/>
      <c r="R129" s="585"/>
      <c r="S129" s="586"/>
      <c r="T129" s="1798"/>
      <c r="U129" s="1793"/>
      <c r="V129" s="1793"/>
      <c r="W129" s="1793"/>
      <c r="Y129" s="740"/>
    </row>
    <row r="130" spans="2:28" s="121" customFormat="1" ht="12.75" hidden="1" customHeight="1" x14ac:dyDescent="0.2">
      <c r="B130" s="1797"/>
      <c r="C130" s="575"/>
      <c r="D130" s="1751"/>
      <c r="E130" s="587"/>
      <c r="F130" s="3567" t="s">
        <v>952</v>
      </c>
      <c r="G130" s="3568"/>
      <c r="H130" s="3568"/>
      <c r="I130" s="3568"/>
      <c r="J130" s="3568"/>
      <c r="K130" s="3568"/>
      <c r="L130" s="3568"/>
      <c r="M130" s="3568"/>
      <c r="N130" s="3568"/>
      <c r="O130" s="3568"/>
      <c r="P130" s="3568"/>
      <c r="Q130" s="3569"/>
      <c r="R130" s="588" t="s">
        <v>953</v>
      </c>
      <c r="S130" s="262">
        <f>SUM(Q126:Q129)</f>
        <v>0</v>
      </c>
      <c r="T130" s="1798"/>
      <c r="U130" s="1793"/>
      <c r="V130" s="1793"/>
      <c r="W130" s="1793"/>
      <c r="Y130" s="740"/>
    </row>
    <row r="131" spans="2:28" s="121" customFormat="1" ht="12.75" hidden="1" customHeight="1" x14ac:dyDescent="0.2">
      <c r="B131" s="1797"/>
      <c r="C131" s="575"/>
      <c r="D131" s="574"/>
      <c r="E131" s="570">
        <v>9</v>
      </c>
      <c r="F131" s="571" t="s">
        <v>954</v>
      </c>
      <c r="G131" s="572"/>
      <c r="H131" s="572"/>
      <c r="I131" s="572"/>
      <c r="J131" s="572"/>
      <c r="K131" s="572"/>
      <c r="L131" s="572"/>
      <c r="M131" s="572"/>
      <c r="N131" s="572"/>
      <c r="O131" s="572"/>
      <c r="P131" s="572"/>
      <c r="Q131" s="573"/>
      <c r="R131" s="557" t="s">
        <v>956</v>
      </c>
      <c r="S131" s="262">
        <f>DCG.TotalDepreciation</f>
        <v>0</v>
      </c>
      <c r="T131" s="1798"/>
      <c r="U131" s="1793"/>
      <c r="V131" s="1793"/>
      <c r="W131" s="1793"/>
      <c r="Y131" s="740"/>
    </row>
    <row r="132" spans="2:28" s="121" customFormat="1" ht="12.75" customHeight="1" x14ac:dyDescent="0.2">
      <c r="B132" s="1797"/>
      <c r="C132" s="1760"/>
      <c r="D132" s="1752"/>
      <c r="E132" s="570">
        <v>10</v>
      </c>
      <c r="F132" s="3547" t="s">
        <v>13198</v>
      </c>
      <c r="G132" s="3548"/>
      <c r="H132" s="3548"/>
      <c r="I132" s="3548"/>
      <c r="J132" s="3548"/>
      <c r="K132" s="3548"/>
      <c r="L132" s="3548"/>
      <c r="M132" s="3548"/>
      <c r="N132" s="3548"/>
      <c r="O132" s="3548"/>
      <c r="P132" s="3548"/>
      <c r="Q132" s="3549"/>
      <c r="R132" s="557" t="s">
        <v>9275</v>
      </c>
      <c r="S132" s="1019">
        <f>IF(MID(sheet1.ResidentialStatus1,1,2)="NR",STCG.A1e_CapgainonAssets+STCG.A20ic_CapgainonAssets+STCG.A2ie_CapgainonAssets+STCG.A2iie_CapgainonAssets+STCG.A5e_CapgainonAssets+STCG.A4e_CapgainonAssets+STCG.A3a_NRItaxSTTPaid+STCG.A3b_NRItaxSTTNotPaid+S103+STCG.A8_PassThroughIncome-STCG.A8_StcgDTAA,STCG.A1e_CapgainonAssets+STCG.A20ic_CapgainonAssets+STCG.A2ie_CapgainonAssets+STCG.A4e_CapgainonAssets+STCG.A3a_NRItaxSTTPaid+STCG.A3b_NRItaxSTTNotPaid+STCG.A2iie_CapgainonAssets+STCG.A5e_CapgainonAssets+S103+STCG.A8_PassThroughIncome-STCG.A8_StcgDTAA)</f>
        <v>0</v>
      </c>
      <c r="T132" s="1798"/>
      <c r="U132" s="1793"/>
      <c r="V132" s="1793"/>
      <c r="W132" s="1793"/>
      <c r="Y132" s="740"/>
    </row>
    <row r="133" spans="2:28" s="121" customFormat="1" ht="12.75" customHeight="1" x14ac:dyDescent="0.25">
      <c r="B133" s="1797"/>
      <c r="C133" s="501"/>
      <c r="D133" s="555" t="s">
        <v>312</v>
      </c>
      <c r="E133" s="3407" t="s">
        <v>8975</v>
      </c>
      <c r="F133" s="3408"/>
      <c r="G133" s="3408"/>
      <c r="H133" s="3408"/>
      <c r="I133" s="3408"/>
      <c r="J133" s="3408"/>
      <c r="K133" s="3408"/>
      <c r="L133" s="3408"/>
      <c r="M133" s="3408"/>
      <c r="N133" s="3408"/>
      <c r="O133" s="3408"/>
      <c r="P133" s="3408"/>
      <c r="Q133" s="3409"/>
      <c r="R133" s="525"/>
      <c r="S133" s="526"/>
      <c r="T133" s="1798"/>
      <c r="U133" s="1793"/>
      <c r="V133" s="1793"/>
      <c r="W133" s="1793"/>
      <c r="Y133" s="740"/>
      <c r="AA133" s="3384" t="s">
        <v>7186</v>
      </c>
      <c r="AB133" s="3384"/>
    </row>
    <row r="134" spans="2:28" s="121" customFormat="1" ht="15" customHeight="1" x14ac:dyDescent="0.2">
      <c r="B134" s="1797"/>
      <c r="C134" s="501"/>
      <c r="D134" s="3638" t="s">
        <v>957</v>
      </c>
      <c r="E134" s="1938">
        <v>1</v>
      </c>
      <c r="F134" s="3564" t="s">
        <v>12697</v>
      </c>
      <c r="G134" s="3565"/>
      <c r="H134" s="3565"/>
      <c r="I134" s="3565"/>
      <c r="J134" s="3565"/>
      <c r="K134" s="3565"/>
      <c r="L134" s="3565"/>
      <c r="M134" s="3565"/>
      <c r="N134" s="3565"/>
      <c r="O134" s="3565"/>
      <c r="P134" s="3565"/>
      <c r="Q134" s="3566"/>
      <c r="R134" s="525"/>
      <c r="S134" s="526"/>
      <c r="T134" s="1798"/>
      <c r="U134" s="1793"/>
      <c r="V134" s="1793"/>
      <c r="W134" s="1793"/>
      <c r="Y134" s="740"/>
      <c r="AA134" s="511" t="s">
        <v>973</v>
      </c>
      <c r="AB134" s="589">
        <f>LTCG.B1e_CapgainonAssets</f>
        <v>0</v>
      </c>
    </row>
    <row r="135" spans="2:28" s="121" customFormat="1" ht="15" customHeight="1" x14ac:dyDescent="0.2">
      <c r="B135" s="1797"/>
      <c r="C135" s="501"/>
      <c r="D135" s="3584"/>
      <c r="E135" s="2488"/>
      <c r="F135" s="3375" t="s">
        <v>13101</v>
      </c>
      <c r="G135" s="3376"/>
      <c r="H135" s="3376"/>
      <c r="I135" s="3376"/>
      <c r="J135" s="3376"/>
      <c r="K135" s="3376"/>
      <c r="L135" s="3376"/>
      <c r="M135" s="3376"/>
      <c r="N135" s="3376"/>
      <c r="O135" s="3376"/>
      <c r="P135" s="3376"/>
      <c r="Q135" s="1957" t="s">
        <v>23</v>
      </c>
      <c r="R135" s="525"/>
      <c r="S135" s="526"/>
      <c r="T135" s="1798"/>
      <c r="U135" s="1793"/>
      <c r="V135" s="1793"/>
      <c r="W135" s="1793">
        <f>VLOOKUP(MAX(2001,VALUE(IF(LTCG.B_AcqDate1="",2001,VALUE(MID(LTCG.B_AcqDate1,7,4))))),CostInflationtbl,2)</f>
        <v>100</v>
      </c>
      <c r="Y135" s="740"/>
      <c r="AA135" s="511"/>
      <c r="AB135" s="589"/>
    </row>
    <row r="136" spans="2:28" s="121" customFormat="1" ht="15" customHeight="1" x14ac:dyDescent="0.2">
      <c r="B136" s="1797"/>
      <c r="C136" s="501"/>
      <c r="D136" s="3584"/>
      <c r="E136" s="2488"/>
      <c r="F136" s="3375" t="s">
        <v>13102</v>
      </c>
      <c r="G136" s="3376"/>
      <c r="H136" s="3376"/>
      <c r="I136" s="3376"/>
      <c r="J136" s="3376"/>
      <c r="K136" s="3376"/>
      <c r="L136" s="3376"/>
      <c r="M136" s="3376"/>
      <c r="N136" s="3376"/>
      <c r="O136" s="3376"/>
      <c r="P136" s="3376"/>
      <c r="Q136" s="1957" t="s">
        <v>23</v>
      </c>
      <c r="R136" s="525"/>
      <c r="S136" s="526"/>
      <c r="T136" s="1798"/>
      <c r="U136" s="1793"/>
      <c r="V136" s="1793"/>
      <c r="W136" s="1793">
        <f>VLOOKUP(VALUE(IF(LTCG.B_SaleTrfDate1="",2001,VALUE(MID(LTCG.B_SaleTrfDate1,7,4)))),CostInflationtbl,2)</f>
        <v>100</v>
      </c>
      <c r="Y136" s="740"/>
      <c r="AA136" s="511"/>
      <c r="AB136" s="589"/>
    </row>
    <row r="137" spans="2:28" s="121" customFormat="1" ht="12.75" customHeight="1" x14ac:dyDescent="0.2">
      <c r="B137" s="1797"/>
      <c r="C137" s="501"/>
      <c r="D137" s="3584"/>
      <c r="E137" s="1939"/>
      <c r="F137" s="3422" t="s">
        <v>27</v>
      </c>
      <c r="G137" s="505" t="s">
        <v>287</v>
      </c>
      <c r="H137" s="3375" t="s">
        <v>895</v>
      </c>
      <c r="I137" s="3376"/>
      <c r="J137" s="3376"/>
      <c r="K137" s="3376"/>
      <c r="L137" s="3376"/>
      <c r="M137" s="3376"/>
      <c r="N137" s="3376"/>
      <c r="O137" s="3377"/>
      <c r="P137" s="381" t="s">
        <v>307</v>
      </c>
      <c r="Q137" s="1973"/>
      <c r="R137" s="525"/>
      <c r="S137" s="526"/>
      <c r="T137" s="1798"/>
      <c r="U137" s="1793"/>
      <c r="V137" s="1793"/>
      <c r="W137" s="1793"/>
      <c r="Y137" s="740">
        <f>IF(LTCG.Bai_FullConsideration1&lt;&gt;0,1,0)</f>
        <v>0</v>
      </c>
      <c r="AA137" s="511" t="s">
        <v>977</v>
      </c>
      <c r="AB137" s="589">
        <f>LTCG.B02e_CapgainonAssets</f>
        <v>0</v>
      </c>
    </row>
    <row r="138" spans="2:28" s="121" customFormat="1" ht="12.75" customHeight="1" x14ac:dyDescent="0.2">
      <c r="B138" s="1797"/>
      <c r="C138" s="501"/>
      <c r="D138" s="3584"/>
      <c r="E138" s="1939"/>
      <c r="F138" s="3423"/>
      <c r="G138" s="508" t="s">
        <v>290</v>
      </c>
      <c r="H138" s="3375" t="s">
        <v>896</v>
      </c>
      <c r="I138" s="3376"/>
      <c r="J138" s="3376"/>
      <c r="K138" s="3376"/>
      <c r="L138" s="3376"/>
      <c r="M138" s="3376"/>
      <c r="N138" s="3376"/>
      <c r="O138" s="3377"/>
      <c r="P138" s="381" t="s">
        <v>339</v>
      </c>
      <c r="Q138" s="1973"/>
      <c r="R138" s="525"/>
      <c r="S138" s="526"/>
      <c r="T138" s="1798"/>
      <c r="U138" s="1793"/>
      <c r="V138" s="1793"/>
      <c r="W138" s="1793"/>
      <c r="Y138" s="740">
        <f>IF(LTCG.Baii_PropertyValuation1&lt;&gt;0,1,0)</f>
        <v>0</v>
      </c>
      <c r="AA138" s="511" t="s">
        <v>986</v>
      </c>
      <c r="AB138" s="589">
        <f>LTCG.B2e_CapgainonAssets</f>
        <v>0</v>
      </c>
    </row>
    <row r="139" spans="2:28" s="121" customFormat="1" ht="12.75" customHeight="1" x14ac:dyDescent="0.2">
      <c r="B139" s="1797"/>
      <c r="C139" s="501"/>
      <c r="D139" s="3584"/>
      <c r="E139" s="1939"/>
      <c r="F139" s="3424"/>
      <c r="G139" s="509" t="s">
        <v>293</v>
      </c>
      <c r="H139" s="3570" t="s">
        <v>12783</v>
      </c>
      <c r="I139" s="3571"/>
      <c r="J139" s="3571"/>
      <c r="K139" s="3571"/>
      <c r="L139" s="3571"/>
      <c r="M139" s="3571"/>
      <c r="N139" s="3571"/>
      <c r="O139" s="3572"/>
      <c r="P139" s="507" t="s">
        <v>318</v>
      </c>
      <c r="Q139" s="1019">
        <f>IF(Q138&gt;(1.1*Q137),Q138,Q137)</f>
        <v>0</v>
      </c>
      <c r="R139" s="525"/>
      <c r="S139" s="526"/>
      <c r="T139" s="1798"/>
      <c r="U139" s="1793"/>
      <c r="V139" s="1793"/>
      <c r="W139" s="1793"/>
      <c r="Y139" s="740">
        <f>IF(LTCG.Baiii_FullConsiderationFiftyC1&lt;&gt;0,1,0)</f>
        <v>0</v>
      </c>
      <c r="Z139" s="740">
        <v>0</v>
      </c>
      <c r="AA139" s="511" t="s">
        <v>7187</v>
      </c>
      <c r="AB139" s="589">
        <f>LTCG.B3e_CapgainonAssets</f>
        <v>0</v>
      </c>
    </row>
    <row r="140" spans="2:28" s="121" customFormat="1" ht="12.75" customHeight="1" x14ac:dyDescent="0.2">
      <c r="B140" s="1797"/>
      <c r="C140" s="501"/>
      <c r="D140" s="3584"/>
      <c r="E140" s="1939"/>
      <c r="F140" s="2524" t="s">
        <v>28</v>
      </c>
      <c r="G140" s="3375" t="s">
        <v>897</v>
      </c>
      <c r="H140" s="3376"/>
      <c r="I140" s="3376"/>
      <c r="J140" s="3376"/>
      <c r="K140" s="3376"/>
      <c r="L140" s="3376"/>
      <c r="M140" s="3376"/>
      <c r="N140" s="3376"/>
      <c r="O140" s="3376"/>
      <c r="P140" s="3376"/>
      <c r="Q140" s="3377"/>
      <c r="R140" s="525"/>
      <c r="S140" s="526"/>
      <c r="T140" s="1798"/>
      <c r="U140" s="1793"/>
      <c r="V140" s="1793"/>
      <c r="W140" s="1793"/>
      <c r="Y140" s="740"/>
      <c r="AA140" s="511" t="s">
        <v>994</v>
      </c>
      <c r="AB140" s="589">
        <f>LTCG.Bii3e_CapgainonAssets</f>
        <v>0</v>
      </c>
    </row>
    <row r="141" spans="2:28" s="121" customFormat="1" ht="12.75" customHeight="1" x14ac:dyDescent="0.2">
      <c r="B141" s="1797"/>
      <c r="C141" s="501"/>
      <c r="D141" s="3584"/>
      <c r="E141" s="2488"/>
      <c r="F141" s="2525"/>
      <c r="G141" s="1563" t="s">
        <v>287</v>
      </c>
      <c r="H141" s="2487" t="s">
        <v>9230</v>
      </c>
      <c r="I141" s="2487"/>
      <c r="J141" s="2487"/>
      <c r="K141" s="2487"/>
      <c r="L141" s="2487"/>
      <c r="M141" s="2487"/>
      <c r="N141" s="2487"/>
      <c r="O141" s="2487"/>
      <c r="P141" s="1563" t="s">
        <v>287</v>
      </c>
      <c r="Q141" s="1973"/>
      <c r="R141" s="525"/>
      <c r="S141" s="526"/>
      <c r="T141" s="1798"/>
      <c r="U141" s="1793"/>
      <c r="V141" s="1793"/>
      <c r="W141" s="1793"/>
      <c r="Y141" s="740"/>
      <c r="AA141" s="511"/>
      <c r="AB141" s="589"/>
    </row>
    <row r="142" spans="2:28" s="121" customFormat="1" ht="12.75" x14ac:dyDescent="0.2">
      <c r="B142" s="1797"/>
      <c r="C142" s="501"/>
      <c r="D142" s="3584"/>
      <c r="E142" s="1939"/>
      <c r="F142" s="2525"/>
      <c r="G142" s="544" t="s">
        <v>13218</v>
      </c>
      <c r="H142" s="3518" t="s">
        <v>958</v>
      </c>
      <c r="I142" s="3519"/>
      <c r="J142" s="3519"/>
      <c r="K142" s="3519"/>
      <c r="L142" s="3519"/>
      <c r="M142" s="3519"/>
      <c r="N142" s="3519"/>
      <c r="O142" s="3520"/>
      <c r="P142" s="555" t="s">
        <v>998</v>
      </c>
      <c r="Q142" s="1019">
        <f>ROUND(Q141*VLOOKUP(VALUE(IF(Q136="",2001,VALUE(MID(Q136,7,4)))),CostInflationtbl,2)/VLOOKUP(MAX(2001,VALUE(IF(Q135="",2001,VALUE(MID(Q135,7,4))))),CostInflationtbl,2),0)</f>
        <v>0</v>
      </c>
      <c r="R142" s="525"/>
      <c r="S142" s="526"/>
      <c r="T142" s="1798"/>
      <c r="U142" s="1793"/>
      <c r="V142" s="1793"/>
      <c r="W142" s="1793"/>
      <c r="Y142" s="740">
        <f>IF(LTCG.Bbi_AquisitCost1&lt;&gt;0,1,0)</f>
        <v>0</v>
      </c>
      <c r="AA142" s="511" t="s">
        <v>7280</v>
      </c>
      <c r="AB142" s="589">
        <v>0</v>
      </c>
    </row>
    <row r="143" spans="2:28" s="121" customFormat="1" ht="12.75" x14ac:dyDescent="0.2">
      <c r="B143" s="1797"/>
      <c r="C143" s="501"/>
      <c r="D143" s="3584"/>
      <c r="E143" s="2488"/>
      <c r="F143" s="2525"/>
      <c r="G143" s="544" t="s">
        <v>13219</v>
      </c>
      <c r="H143" s="2489" t="s">
        <v>13217</v>
      </c>
      <c r="I143" s="2490"/>
      <c r="J143" s="2490"/>
      <c r="K143" s="2490"/>
      <c r="L143" s="2490"/>
      <c r="M143" s="2490"/>
      <c r="N143" s="2490"/>
      <c r="O143" s="2491"/>
      <c r="P143" s="555" t="s">
        <v>999</v>
      </c>
      <c r="Q143" s="1019">
        <f>SUM(LTCG.Bbii_ImproveCost1)</f>
        <v>0</v>
      </c>
      <c r="R143" s="525"/>
      <c r="S143" s="526"/>
      <c r="T143" s="1798"/>
      <c r="U143" s="1793"/>
      <c r="V143" s="1793"/>
      <c r="W143" s="1793"/>
      <c r="Y143" s="740"/>
      <c r="AA143" s="511"/>
      <c r="AB143" s="589"/>
    </row>
    <row r="144" spans="2:28" s="121" customFormat="1" ht="25.5" x14ac:dyDescent="0.2">
      <c r="B144" s="1797"/>
      <c r="C144" s="501"/>
      <c r="D144" s="2575"/>
      <c r="E144" s="2564"/>
      <c r="F144" s="2525"/>
      <c r="G144" s="506" t="s">
        <v>7563</v>
      </c>
      <c r="H144" s="3529" t="s">
        <v>13104</v>
      </c>
      <c r="I144" s="3530"/>
      <c r="J144" s="3529" t="s">
        <v>13105</v>
      </c>
      <c r="K144" s="3530"/>
      <c r="L144" s="2565" t="s">
        <v>959</v>
      </c>
      <c r="M144" s="2576"/>
      <c r="N144" s="2577"/>
      <c r="O144" s="2577"/>
      <c r="P144" s="2577"/>
      <c r="Q144" s="2578"/>
      <c r="R144" s="525"/>
      <c r="S144" s="526"/>
      <c r="T144" s="1798"/>
      <c r="U144" s="1793"/>
      <c r="V144" s="1793"/>
      <c r="W144" s="1793"/>
      <c r="Y144" s="740"/>
      <c r="AA144" s="511"/>
      <c r="AB144" s="589"/>
    </row>
    <row r="145" spans="2:28" s="121" customFormat="1" ht="12.75" x14ac:dyDescent="0.2">
      <c r="B145" s="1797"/>
      <c r="C145" s="501"/>
      <c r="D145" s="2575"/>
      <c r="E145" s="2564"/>
      <c r="F145" s="2525"/>
      <c r="G145" s="1790">
        <v>1</v>
      </c>
      <c r="H145" s="3527"/>
      <c r="I145" s="3528"/>
      <c r="J145" s="3527"/>
      <c r="K145" s="3528"/>
      <c r="L145" s="1019">
        <f>ROUND(IF(H145="",0,H145*VLOOKUP(VALUE(IF($Q$136="",2001,VALUE(MID($Q$136,7,4)))),CostInflationtbl,2)/VLOOKUP(MAX(2001,VALUE(IF(_xlfn.CONCAT("01/04/",MID(J145,1,4))="",2001,VALUE(MID(_xlfn.CONCAT("01/04/",MID(J145,1,4)),7,4))))),CostInflationtbl,2)),0)</f>
        <v>0</v>
      </c>
      <c r="M145" s="1993"/>
      <c r="N145" s="1628"/>
      <c r="O145" s="1628"/>
      <c r="P145" s="1628"/>
      <c r="Q145" s="2579"/>
      <c r="R145" s="525"/>
      <c r="S145" s="526"/>
      <c r="T145" s="1798"/>
      <c r="U145" s="1793"/>
      <c r="V145" s="1793"/>
      <c r="W145" s="1793"/>
      <c r="Y145" s="740"/>
      <c r="AA145" s="511"/>
      <c r="AB145" s="589"/>
    </row>
    <row r="146" spans="2:28" s="121" customFormat="1" ht="12.75" x14ac:dyDescent="0.2">
      <c r="B146" s="1797"/>
      <c r="C146" s="501"/>
      <c r="D146" s="2575"/>
      <c r="E146" s="2564"/>
      <c r="F146" s="2525"/>
      <c r="G146" s="1790">
        <f>G145+1</f>
        <v>2</v>
      </c>
      <c r="H146" s="3527"/>
      <c r="I146" s="3528"/>
      <c r="J146" s="3527"/>
      <c r="K146" s="3528"/>
      <c r="L146" s="1019">
        <f>ROUND(IF(H146="",0,H146*VLOOKUP(VALUE(IF($Q$136="",2001,VALUE(MID($Q$136,7,4)))),CostInflationtbl,2)/VLOOKUP(MAX(2001,VALUE(IF(_xlfn.CONCAT("01/04/",MID(J146,1,4))="",2001,VALUE(MID(_xlfn.CONCAT("01/04/",MID(J146,1,4)),7,4))))),CostInflationtbl,2)),0)</f>
        <v>0</v>
      </c>
      <c r="M146" s="2580"/>
      <c r="N146" s="2581"/>
      <c r="O146" s="2581"/>
      <c r="P146" s="2581"/>
      <c r="Q146" s="2582"/>
      <c r="R146" s="525"/>
      <c r="S146" s="526"/>
      <c r="T146" s="1798"/>
      <c r="U146" s="1793"/>
      <c r="V146" s="1793"/>
      <c r="W146" s="1793"/>
      <c r="Y146" s="740"/>
      <c r="AA146" s="511"/>
      <c r="AB146" s="589"/>
    </row>
    <row r="147" spans="2:28" s="121" customFormat="1" ht="12.75" x14ac:dyDescent="0.2">
      <c r="B147" s="1797"/>
      <c r="C147" s="501"/>
      <c r="D147" s="2575"/>
      <c r="E147" s="2564"/>
      <c r="F147" s="518"/>
      <c r="G147" s="2566"/>
      <c r="H147" s="2567"/>
      <c r="I147" s="2567"/>
      <c r="J147" s="2567"/>
      <c r="K147" s="2567"/>
      <c r="L147" s="2567"/>
      <c r="M147" s="2567"/>
      <c r="N147" s="2568"/>
      <c r="O147" s="2568"/>
      <c r="P147" s="2568"/>
      <c r="Q147" s="2569"/>
      <c r="R147" s="561"/>
      <c r="S147" s="2527"/>
      <c r="T147" s="1798"/>
      <c r="U147" s="1793"/>
      <c r="V147" s="1793"/>
      <c r="W147" s="1793"/>
      <c r="Y147" s="740"/>
      <c r="AA147" s="511"/>
      <c r="AB147" s="589"/>
    </row>
    <row r="148" spans="2:28" s="121" customFormat="1" ht="12.75" x14ac:dyDescent="0.2">
      <c r="B148" s="1797"/>
      <c r="C148" s="501"/>
      <c r="D148" s="2575"/>
      <c r="E148" s="1939"/>
      <c r="F148" s="2525"/>
      <c r="G148" s="544" t="s">
        <v>295</v>
      </c>
      <c r="H148" s="3518" t="s">
        <v>900</v>
      </c>
      <c r="I148" s="3519"/>
      <c r="J148" s="3519"/>
      <c r="K148" s="3519"/>
      <c r="L148" s="3519"/>
      <c r="M148" s="3519"/>
      <c r="N148" s="3519"/>
      <c r="O148" s="3520"/>
      <c r="P148" s="555" t="s">
        <v>295</v>
      </c>
      <c r="Q148" s="1973"/>
      <c r="R148" s="525"/>
      <c r="S148" s="526"/>
      <c r="T148" s="1798"/>
      <c r="U148" s="1793"/>
      <c r="V148" s="1793"/>
      <c r="W148" s="1793"/>
      <c r="Y148" s="740">
        <f>IF(LTCG.Bbiii_ExpOnTrans1&lt;&gt;0,1,0)</f>
        <v>0</v>
      </c>
      <c r="AA148" s="511" t="s">
        <v>7152</v>
      </c>
      <c r="AB148" s="589">
        <f>LTCG.Bi5e_CapgainonAssets</f>
        <v>0</v>
      </c>
    </row>
    <row r="149" spans="2:28" s="121" customFormat="1" ht="12.75" x14ac:dyDescent="0.2">
      <c r="B149" s="1797"/>
      <c r="C149" s="501"/>
      <c r="D149" s="2575"/>
      <c r="E149" s="1939"/>
      <c r="F149" s="2526"/>
      <c r="G149" s="518" t="s">
        <v>298</v>
      </c>
      <c r="H149" s="3531" t="s">
        <v>13106</v>
      </c>
      <c r="I149" s="3532"/>
      <c r="J149" s="3532"/>
      <c r="K149" s="3532"/>
      <c r="L149" s="3532"/>
      <c r="M149" s="3532"/>
      <c r="N149" s="3532"/>
      <c r="O149" s="3533"/>
      <c r="P149" s="591" t="s">
        <v>298</v>
      </c>
      <c r="Q149" s="486">
        <f>Q142+Q143+Q148</f>
        <v>0</v>
      </c>
      <c r="R149" s="525"/>
      <c r="S149" s="526"/>
      <c r="T149" s="1798"/>
      <c r="U149" s="1793"/>
      <c r="V149" s="1793"/>
      <c r="W149" s="1793"/>
      <c r="Y149" s="740"/>
      <c r="AA149" s="511" t="s">
        <v>7153</v>
      </c>
      <c r="AB149" s="589">
        <f>LTCG.Bii5e_CapgainonAssets</f>
        <v>0</v>
      </c>
    </row>
    <row r="150" spans="2:28" s="121" customFormat="1" ht="12.75" x14ac:dyDescent="0.2">
      <c r="B150" s="1797"/>
      <c r="C150" s="501"/>
      <c r="D150" s="524"/>
      <c r="E150" s="1939"/>
      <c r="F150" s="516" t="s">
        <v>29</v>
      </c>
      <c r="G150" s="3391" t="s">
        <v>901</v>
      </c>
      <c r="H150" s="3392"/>
      <c r="I150" s="3392"/>
      <c r="J150" s="3392"/>
      <c r="K150" s="3392"/>
      <c r="L150" s="3392"/>
      <c r="M150" s="3392"/>
      <c r="N150" s="3392"/>
      <c r="O150" s="3393"/>
      <c r="P150" s="516" t="s">
        <v>303</v>
      </c>
      <c r="Q150" s="486">
        <f>Q139-Q149</f>
        <v>0</v>
      </c>
      <c r="R150" s="525"/>
      <c r="S150" s="526"/>
      <c r="T150" s="1798"/>
      <c r="U150" s="1793"/>
      <c r="V150" s="1793"/>
      <c r="W150" s="1793"/>
      <c r="Y150" s="740"/>
      <c r="AA150" s="511" t="s">
        <v>7155</v>
      </c>
      <c r="AB150" s="589">
        <f>LTCG.Biii5e_CapgainonAssets</f>
        <v>0</v>
      </c>
    </row>
    <row r="151" spans="2:28" s="121" customFormat="1" ht="12.75" x14ac:dyDescent="0.2">
      <c r="B151" s="1797"/>
      <c r="C151" s="501"/>
      <c r="D151" s="524"/>
      <c r="E151" s="1939"/>
      <c r="F151" s="528" t="s">
        <v>902</v>
      </c>
      <c r="G151" s="3064" t="s">
        <v>960</v>
      </c>
      <c r="H151" s="3065"/>
      <c r="I151" s="3065"/>
      <c r="J151" s="3065"/>
      <c r="K151" s="3065"/>
      <c r="L151" s="3065"/>
      <c r="M151" s="3065"/>
      <c r="N151" s="3065"/>
      <c r="O151" s="3066"/>
      <c r="P151" s="528" t="s">
        <v>902</v>
      </c>
      <c r="Q151" s="1973"/>
      <c r="R151" s="525"/>
      <c r="S151" s="526"/>
      <c r="T151" s="1798"/>
      <c r="U151" s="1793"/>
      <c r="V151" s="1793"/>
      <c r="W151" s="1793"/>
      <c r="Y151" s="740">
        <f>IF(LTCG.Bdi_ExemptionAmount1&lt;&gt;0,1,0)</f>
        <v>0</v>
      </c>
      <c r="AA151" s="511" t="s">
        <v>1005</v>
      </c>
      <c r="AB151" s="589">
        <f>LTCG.B6c_BalonSpeciAsset</f>
        <v>0</v>
      </c>
    </row>
    <row r="152" spans="2:28" s="121" customFormat="1" ht="12.75" x14ac:dyDescent="0.2">
      <c r="B152" s="1797"/>
      <c r="C152" s="501"/>
      <c r="D152" s="524"/>
      <c r="E152" s="1939"/>
      <c r="F152" s="528" t="s">
        <v>904</v>
      </c>
      <c r="G152" s="3064" t="s">
        <v>961</v>
      </c>
      <c r="H152" s="3065"/>
      <c r="I152" s="3065"/>
      <c r="J152" s="3065"/>
      <c r="K152" s="3065"/>
      <c r="L152" s="3065"/>
      <c r="M152" s="3065"/>
      <c r="N152" s="3065"/>
      <c r="O152" s="3066"/>
      <c r="P152" s="528" t="s">
        <v>904</v>
      </c>
      <c r="Q152" s="1390"/>
      <c r="R152" s="525"/>
      <c r="S152" s="526"/>
      <c r="T152" s="1798"/>
      <c r="U152" s="1793"/>
      <c r="V152" s="1793"/>
      <c r="W152" s="1793"/>
      <c r="Y152" s="740">
        <f>IF(LTCG.Bdii_ExemptionAmount1&lt;&gt;0,1,0)</f>
        <v>0</v>
      </c>
      <c r="AA152" s="511" t="s">
        <v>1008</v>
      </c>
      <c r="AB152" s="589">
        <f>LTCG.B6f_BalOtherthanSpecAsset</f>
        <v>0</v>
      </c>
    </row>
    <row r="153" spans="2:28" s="121" customFormat="1" ht="12.75" x14ac:dyDescent="0.2">
      <c r="B153" s="1797"/>
      <c r="C153" s="501"/>
      <c r="D153" s="524"/>
      <c r="E153" s="1939"/>
      <c r="F153" s="528" t="s">
        <v>390</v>
      </c>
      <c r="G153" s="3064" t="s">
        <v>962</v>
      </c>
      <c r="H153" s="3065"/>
      <c r="I153" s="3065"/>
      <c r="J153" s="3065"/>
      <c r="K153" s="3065"/>
      <c r="L153" s="3065"/>
      <c r="M153" s="3065"/>
      <c r="N153" s="3065"/>
      <c r="O153" s="3066"/>
      <c r="P153" s="528" t="s">
        <v>390</v>
      </c>
      <c r="Q153" s="1973"/>
      <c r="R153" s="525"/>
      <c r="S153" s="526"/>
      <c r="T153" s="1798"/>
      <c r="U153" s="1793"/>
      <c r="V153" s="1793"/>
      <c r="W153" s="1793"/>
      <c r="Y153" s="740">
        <f>IF(LTCG.Bdiii_ExemptionAmount1&lt;&gt;0,1,0)</f>
        <v>0</v>
      </c>
      <c r="AA153" s="511" t="s">
        <v>1014</v>
      </c>
      <c r="AB153" s="589">
        <f>LTCG.B7e_CapgainonAssets</f>
        <v>0</v>
      </c>
    </row>
    <row r="154" spans="2:28" s="121" customFormat="1" ht="12.75" x14ac:dyDescent="0.2">
      <c r="B154" s="1797"/>
      <c r="C154" s="501"/>
      <c r="D154" s="524"/>
      <c r="E154" s="1939"/>
      <c r="F154" s="528" t="s">
        <v>907</v>
      </c>
      <c r="G154" s="3064" t="s">
        <v>963</v>
      </c>
      <c r="H154" s="3065"/>
      <c r="I154" s="3065"/>
      <c r="J154" s="3065"/>
      <c r="K154" s="3065"/>
      <c r="L154" s="3065"/>
      <c r="M154" s="3065"/>
      <c r="N154" s="3065"/>
      <c r="O154" s="3066"/>
      <c r="P154" s="528" t="s">
        <v>907</v>
      </c>
      <c r="Q154" s="1973"/>
      <c r="R154" s="525"/>
      <c r="S154" s="526"/>
      <c r="T154" s="1798"/>
      <c r="U154" s="1793"/>
      <c r="V154" s="1793"/>
      <c r="W154" s="1793"/>
      <c r="Y154" s="740">
        <f>IF(LTCG.Bdiv_ExemptionAmount1&lt;&gt;0,1,0)</f>
        <v>0</v>
      </c>
      <c r="AA154" s="511" t="s">
        <v>1025</v>
      </c>
      <c r="AB154" s="589">
        <f>LTCG.B9_AmtDeemed</f>
        <v>0</v>
      </c>
    </row>
    <row r="155" spans="2:28" s="121" customFormat="1" ht="12.75" hidden="1" customHeight="1" x14ac:dyDescent="0.2">
      <c r="B155" s="1797"/>
      <c r="C155" s="501"/>
      <c r="D155" s="524"/>
      <c r="E155" s="1939"/>
      <c r="F155" s="528" t="s">
        <v>964</v>
      </c>
      <c r="G155" s="3064" t="s">
        <v>9816</v>
      </c>
      <c r="H155" s="3065"/>
      <c r="I155" s="3065"/>
      <c r="J155" s="3065"/>
      <c r="K155" s="3065"/>
      <c r="L155" s="3065"/>
      <c r="M155" s="3065"/>
      <c r="N155" s="3065"/>
      <c r="O155" s="3066"/>
      <c r="P155" s="528" t="s">
        <v>964</v>
      </c>
      <c r="Q155" s="525"/>
      <c r="R155" s="525"/>
      <c r="S155" s="526"/>
      <c r="T155" s="1798"/>
      <c r="U155" s="1793"/>
      <c r="V155" s="1793"/>
      <c r="W155" s="1793"/>
      <c r="Y155" s="740"/>
      <c r="AA155" s="1657"/>
      <c r="AB155" s="1658"/>
    </row>
    <row r="156" spans="2:28" s="121" customFormat="1" ht="12.75" x14ac:dyDescent="0.2">
      <c r="B156" s="1797"/>
      <c r="C156" s="501"/>
      <c r="D156" s="524"/>
      <c r="E156" s="1939"/>
      <c r="F156" s="528" t="s">
        <v>964</v>
      </c>
      <c r="G156" s="3064" t="s">
        <v>965</v>
      </c>
      <c r="H156" s="3065"/>
      <c r="I156" s="3065"/>
      <c r="J156" s="3065"/>
      <c r="K156" s="3065"/>
      <c r="L156" s="3065"/>
      <c r="M156" s="3065"/>
      <c r="N156" s="3065"/>
      <c r="O156" s="3066"/>
      <c r="P156" s="528" t="s">
        <v>964</v>
      </c>
      <c r="Q156" s="1973"/>
      <c r="R156" s="525"/>
      <c r="S156" s="526"/>
      <c r="T156" s="1798"/>
      <c r="U156" s="1793"/>
      <c r="V156" s="1793"/>
      <c r="W156" s="1793"/>
      <c r="Y156" s="740">
        <f>IF(LTCG.Bdv_ExemptionAmount1&lt;&gt;0,1,0)</f>
        <v>0</v>
      </c>
    </row>
    <row r="157" spans="2:28" s="121" customFormat="1" ht="12.75" x14ac:dyDescent="0.2">
      <c r="B157" s="1797"/>
      <c r="C157" s="501"/>
      <c r="D157" s="524"/>
      <c r="E157" s="1939"/>
      <c r="F157" s="528" t="s">
        <v>966</v>
      </c>
      <c r="G157" s="3064" t="s">
        <v>967</v>
      </c>
      <c r="H157" s="3065"/>
      <c r="I157" s="3065"/>
      <c r="J157" s="3065"/>
      <c r="K157" s="3065"/>
      <c r="L157" s="3065"/>
      <c r="M157" s="3065"/>
      <c r="N157" s="3065"/>
      <c r="O157" s="3066"/>
      <c r="P157" s="528" t="s">
        <v>966</v>
      </c>
      <c r="Q157" s="1973"/>
      <c r="R157" s="525"/>
      <c r="S157" s="526"/>
      <c r="T157" s="1798"/>
      <c r="U157" s="1793"/>
      <c r="V157" s="1793"/>
      <c r="W157" s="1793"/>
      <c r="Y157" s="740">
        <f>IF(LTCG.Bdvi_ExemptionAmount1&lt;&gt;0,1,0)</f>
        <v>0</v>
      </c>
    </row>
    <row r="158" spans="2:28" s="121" customFormat="1" ht="12.75" x14ac:dyDescent="0.2">
      <c r="B158" s="1797"/>
      <c r="C158" s="501"/>
      <c r="D158" s="524"/>
      <c r="E158" s="1939"/>
      <c r="F158" s="528" t="s">
        <v>968</v>
      </c>
      <c r="G158" s="3064" t="s">
        <v>969</v>
      </c>
      <c r="H158" s="3065"/>
      <c r="I158" s="3065"/>
      <c r="J158" s="3065"/>
      <c r="K158" s="3065"/>
      <c r="L158" s="3065"/>
      <c r="M158" s="3065"/>
      <c r="N158" s="3065"/>
      <c r="O158" s="3066"/>
      <c r="P158" s="528" t="s">
        <v>968</v>
      </c>
      <c r="Q158" s="1973"/>
      <c r="R158" s="525"/>
      <c r="S158" s="526"/>
      <c r="T158" s="1798"/>
      <c r="U158" s="1793"/>
      <c r="V158" s="1793"/>
      <c r="W158" s="1793"/>
      <c r="Y158" s="740">
        <f>IF(Q158&lt;&gt;0,1,0)</f>
        <v>0</v>
      </c>
    </row>
    <row r="159" spans="2:28" s="121" customFormat="1" ht="12.75" x14ac:dyDescent="0.2">
      <c r="B159" s="1797"/>
      <c r="C159" s="501"/>
      <c r="D159" s="524"/>
      <c r="E159" s="1939"/>
      <c r="F159" s="528" t="s">
        <v>970</v>
      </c>
      <c r="G159" s="3064" t="s">
        <v>971</v>
      </c>
      <c r="H159" s="3065"/>
      <c r="I159" s="3065"/>
      <c r="J159" s="3065"/>
      <c r="K159" s="3065"/>
      <c r="L159" s="3065"/>
      <c r="M159" s="3065"/>
      <c r="N159" s="3065"/>
      <c r="O159" s="3066"/>
      <c r="P159" s="528" t="s">
        <v>970</v>
      </c>
      <c r="Q159" s="1973"/>
      <c r="R159" s="525"/>
      <c r="S159" s="526"/>
      <c r="T159" s="1798"/>
      <c r="U159" s="1793"/>
      <c r="V159" s="1793"/>
      <c r="W159" s="1793"/>
      <c r="Y159" s="740">
        <f>IF(Q159&lt;&gt;0,1,0)</f>
        <v>0</v>
      </c>
      <c r="AB159" s="740">
        <v>0</v>
      </c>
    </row>
    <row r="160" spans="2:28" s="121" customFormat="1" ht="12.75" x14ac:dyDescent="0.2">
      <c r="B160" s="1797"/>
      <c r="C160" s="501"/>
      <c r="D160" s="524"/>
      <c r="E160" s="1939"/>
      <c r="F160" s="558" t="s">
        <v>36</v>
      </c>
      <c r="G160" s="3524" t="s">
        <v>9003</v>
      </c>
      <c r="H160" s="3525"/>
      <c r="I160" s="3525"/>
      <c r="J160" s="3525"/>
      <c r="K160" s="3525"/>
      <c r="L160" s="3525"/>
      <c r="M160" s="3525"/>
      <c r="N160" s="3525"/>
      <c r="O160" s="3526"/>
      <c r="P160" s="512" t="s">
        <v>332</v>
      </c>
      <c r="Q160" s="486">
        <f>SUM(Q151:Q159)</f>
        <v>0</v>
      </c>
      <c r="R160" s="592"/>
      <c r="S160" s="593"/>
      <c r="T160" s="1798"/>
      <c r="U160" s="1793"/>
      <c r="V160" s="1793"/>
      <c r="W160" s="1793"/>
      <c r="Y160" s="740"/>
    </row>
    <row r="161" spans="2:27" s="121" customFormat="1" ht="12.75" x14ac:dyDescent="0.2">
      <c r="B161" s="1797"/>
      <c r="C161" s="501"/>
      <c r="D161" s="524"/>
      <c r="E161" s="1940"/>
      <c r="F161" s="518" t="s">
        <v>869</v>
      </c>
      <c r="G161" s="3391" t="s">
        <v>972</v>
      </c>
      <c r="H161" s="3392"/>
      <c r="I161" s="3392"/>
      <c r="J161" s="3392"/>
      <c r="K161" s="3392"/>
      <c r="L161" s="3392"/>
      <c r="M161" s="3392"/>
      <c r="N161" s="3622"/>
      <c r="O161" s="3622"/>
      <c r="P161" s="3622"/>
      <c r="Q161" s="3623"/>
      <c r="R161" s="594" t="s">
        <v>973</v>
      </c>
      <c r="S161" s="1019">
        <f>IF(Q150&lt;0,Q150,IF(Q160&gt;Q150,0,Q150-Q160))</f>
        <v>0</v>
      </c>
      <c r="T161" s="1798"/>
      <c r="U161" s="1793"/>
      <c r="V161" s="1793"/>
      <c r="W161" s="1793"/>
      <c r="Y161" s="740"/>
    </row>
    <row r="162" spans="2:27" s="121" customFormat="1" ht="12.75" x14ac:dyDescent="0.2">
      <c r="B162" s="1797"/>
      <c r="C162" s="501"/>
      <c r="D162" s="1753"/>
      <c r="E162" s="1269"/>
      <c r="F162" s="1790" t="s">
        <v>40</v>
      </c>
      <c r="G162" s="2405" t="s">
        <v>9309</v>
      </c>
      <c r="H162" s="2406"/>
      <c r="I162" s="2406"/>
      <c r="J162" s="2406"/>
      <c r="K162" s="2406"/>
      <c r="L162" s="2406"/>
      <c r="M162" s="2406"/>
      <c r="N162" s="2406"/>
      <c r="O162" s="2406"/>
      <c r="P162" s="2407"/>
      <c r="Q162" s="2407"/>
      <c r="R162" s="2407"/>
      <c r="S162" s="2407"/>
      <c r="T162" s="1798"/>
      <c r="U162" s="1793"/>
      <c r="V162" s="1793"/>
      <c r="W162" s="1793"/>
      <c r="Y162" s="740"/>
    </row>
    <row r="163" spans="2:27" s="121" customFormat="1" ht="51" customHeight="1" x14ac:dyDescent="0.2">
      <c r="B163" s="1797"/>
      <c r="C163" s="501"/>
      <c r="D163" s="1753"/>
      <c r="E163" s="1269"/>
      <c r="F163" s="1271"/>
      <c r="G163" s="1790" t="s">
        <v>7563</v>
      </c>
      <c r="H163" s="3529" t="s">
        <v>9306</v>
      </c>
      <c r="I163" s="3530"/>
      <c r="J163" s="3529" t="s">
        <v>9307</v>
      </c>
      <c r="K163" s="3530"/>
      <c r="L163" s="2412" t="s">
        <v>12054</v>
      </c>
      <c r="M163" s="2412" t="s">
        <v>9313</v>
      </c>
      <c r="N163" s="506" t="s">
        <v>9314</v>
      </c>
      <c r="O163" s="506" t="s">
        <v>9308</v>
      </c>
      <c r="P163" s="2411" t="s">
        <v>1163</v>
      </c>
      <c r="Q163" s="2411" t="s">
        <v>18</v>
      </c>
      <c r="R163" s="2411" t="s">
        <v>17</v>
      </c>
      <c r="S163" s="599" t="s">
        <v>13199</v>
      </c>
      <c r="T163" s="1798"/>
      <c r="U163" s="1793"/>
      <c r="V163" s="1793"/>
      <c r="W163" s="1793"/>
      <c r="Y163" s="740"/>
    </row>
    <row r="164" spans="2:27" s="121" customFormat="1" ht="12.75" x14ac:dyDescent="0.2">
      <c r="B164" s="1797"/>
      <c r="C164" s="501"/>
      <c r="D164" s="1753"/>
      <c r="E164" s="1269"/>
      <c r="F164" s="1271"/>
      <c r="G164" s="1790">
        <v>1</v>
      </c>
      <c r="H164" s="3527"/>
      <c r="I164" s="3528"/>
      <c r="J164" s="3527"/>
      <c r="K164" s="3528"/>
      <c r="L164" s="1970"/>
      <c r="M164" s="1275"/>
      <c r="N164" s="2408"/>
      <c r="O164" s="1975"/>
      <c r="P164" s="2409" t="s">
        <v>12</v>
      </c>
      <c r="Q164" s="2421"/>
      <c r="R164" s="2409" t="s">
        <v>12</v>
      </c>
      <c r="S164" s="2600"/>
      <c r="T164" s="1798"/>
      <c r="U164" s="1793"/>
      <c r="V164" s="1793"/>
      <c r="W164" s="1793"/>
      <c r="Y164" s="740"/>
    </row>
    <row r="165" spans="2:27" s="121" customFormat="1" ht="12.75" x14ac:dyDescent="0.2">
      <c r="B165" s="1797"/>
      <c r="C165" s="501"/>
      <c r="D165" s="1753"/>
      <c r="E165" s="1269"/>
      <c r="F165" s="1272"/>
      <c r="G165" s="1790">
        <f>G164+1</f>
        <v>2</v>
      </c>
      <c r="H165" s="3527"/>
      <c r="I165" s="3528"/>
      <c r="J165" s="3527"/>
      <c r="K165" s="3528"/>
      <c r="L165" s="1970"/>
      <c r="M165" s="1275"/>
      <c r="N165" s="2408"/>
      <c r="O165" s="1975"/>
      <c r="P165" s="2409" t="s">
        <v>12</v>
      </c>
      <c r="Q165" s="2421"/>
      <c r="R165" s="2409" t="s">
        <v>12</v>
      </c>
      <c r="S165" s="2427"/>
      <c r="T165" s="1798"/>
      <c r="U165" s="1793"/>
      <c r="V165" s="1793"/>
      <c r="W165" s="1793"/>
      <c r="Y165" s="740"/>
    </row>
    <row r="166" spans="2:27" s="121" customFormat="1" ht="12.75" x14ac:dyDescent="0.2">
      <c r="B166" s="1797"/>
      <c r="C166" s="501"/>
      <c r="D166" s="1753"/>
      <c r="E166" s="1269"/>
      <c r="F166" s="1272"/>
      <c r="G166" s="1790">
        <f>G165+1</f>
        <v>3</v>
      </c>
      <c r="H166" s="3527"/>
      <c r="I166" s="3528"/>
      <c r="J166" s="3527"/>
      <c r="K166" s="3528"/>
      <c r="L166" s="1970"/>
      <c r="M166" s="1275"/>
      <c r="N166" s="2408"/>
      <c r="O166" s="1975"/>
      <c r="P166" s="2409" t="s">
        <v>12</v>
      </c>
      <c r="Q166" s="2421"/>
      <c r="R166" s="2409" t="s">
        <v>12</v>
      </c>
      <c r="S166" s="2427"/>
      <c r="T166" s="1798"/>
      <c r="U166" s="1793"/>
      <c r="V166" s="1793"/>
      <c r="W166" s="1793"/>
      <c r="Y166" s="740"/>
    </row>
    <row r="167" spans="2:27" s="121" customFormat="1" ht="12.75" x14ac:dyDescent="0.2">
      <c r="B167" s="1797"/>
      <c r="C167" s="501"/>
      <c r="D167" s="1753"/>
      <c r="E167" s="1939"/>
      <c r="F167" s="1745"/>
      <c r="G167" s="521"/>
      <c r="H167" s="521"/>
      <c r="I167" s="521"/>
      <c r="J167" s="521"/>
      <c r="K167" s="521"/>
      <c r="L167" s="521"/>
      <c r="M167" s="521"/>
      <c r="N167" s="521"/>
      <c r="O167" s="521"/>
      <c r="P167" s="521"/>
      <c r="Q167" s="521"/>
      <c r="R167" s="521"/>
      <c r="S167" s="522"/>
      <c r="T167" s="1798"/>
      <c r="U167" s="1793"/>
      <c r="V167" s="1793"/>
      <c r="W167" s="1793"/>
      <c r="Y167" s="740"/>
    </row>
    <row r="168" spans="2:27" s="121" customFormat="1" ht="29.25" customHeight="1" x14ac:dyDescent="0.2">
      <c r="B168" s="1797"/>
      <c r="C168" s="501"/>
      <c r="D168" s="1753"/>
      <c r="E168" s="1940"/>
      <c r="F168" s="3588"/>
      <c r="G168" s="3589"/>
      <c r="H168" s="3589"/>
      <c r="I168" s="3589"/>
      <c r="J168" s="3589"/>
      <c r="K168" s="3589"/>
      <c r="L168" s="3589"/>
      <c r="M168" s="3589"/>
      <c r="N168" s="3590"/>
      <c r="O168" s="3590"/>
      <c r="P168" s="3590"/>
      <c r="Q168" s="3591"/>
      <c r="R168" s="525"/>
      <c r="S168" s="526"/>
      <c r="T168" s="1798"/>
      <c r="U168" s="1793"/>
      <c r="V168" s="1793"/>
      <c r="W168" s="1793"/>
      <c r="Y168" s="740"/>
      <c r="Z168" s="594" t="s">
        <v>973</v>
      </c>
      <c r="AA168" s="262">
        <v>0</v>
      </c>
    </row>
    <row r="169" spans="2:27" s="121" customFormat="1" ht="29.25" customHeight="1" x14ac:dyDescent="0.2">
      <c r="B169" s="1797"/>
      <c r="C169" s="501"/>
      <c r="D169" s="1753"/>
      <c r="E169" s="1939"/>
      <c r="F169" s="3521" t="s">
        <v>9753</v>
      </c>
      <c r="G169" s="3522"/>
      <c r="H169" s="3522"/>
      <c r="I169" s="3522"/>
      <c r="J169" s="3522"/>
      <c r="K169" s="3522"/>
      <c r="L169" s="3522"/>
      <c r="M169" s="3522"/>
      <c r="N169" s="3522"/>
      <c r="O169" s="3522"/>
      <c r="P169" s="3522"/>
      <c r="Q169" s="3523"/>
      <c r="R169" s="525"/>
      <c r="S169" s="526"/>
      <c r="T169" s="1798"/>
      <c r="U169" s="1793"/>
      <c r="V169" s="1793"/>
      <c r="W169" s="1793"/>
      <c r="Y169" s="740"/>
      <c r="Z169" s="1640"/>
      <c r="AA169" s="1641"/>
    </row>
    <row r="170" spans="2:27" s="121" customFormat="1" ht="13.5" customHeight="1" x14ac:dyDescent="0.2">
      <c r="B170" s="1797"/>
      <c r="C170" s="501"/>
      <c r="D170" s="524"/>
      <c r="E170" s="3434">
        <v>2</v>
      </c>
      <c r="F170" s="3064" t="s">
        <v>912</v>
      </c>
      <c r="G170" s="3065"/>
      <c r="H170" s="3065"/>
      <c r="I170" s="3065"/>
      <c r="J170" s="3065"/>
      <c r="K170" s="3065"/>
      <c r="L170" s="3065"/>
      <c r="M170" s="3065"/>
      <c r="N170" s="3065"/>
      <c r="O170" s="3065"/>
      <c r="P170" s="3065"/>
      <c r="Q170" s="3066"/>
      <c r="R170" s="525"/>
      <c r="S170" s="526"/>
      <c r="T170" s="1798"/>
      <c r="U170" s="1793"/>
      <c r="V170" s="1793"/>
      <c r="W170" s="1793"/>
      <c r="Y170" s="740"/>
    </row>
    <row r="171" spans="2:27" s="121" customFormat="1" ht="13.5" customHeight="1" x14ac:dyDescent="0.2">
      <c r="B171" s="1797"/>
      <c r="C171" s="501"/>
      <c r="D171" s="524"/>
      <c r="E171" s="3435"/>
      <c r="F171" s="1078" t="s">
        <v>307</v>
      </c>
      <c r="G171" s="3064" t="s">
        <v>13080</v>
      </c>
      <c r="H171" s="3065"/>
      <c r="I171" s="3065"/>
      <c r="J171" s="3065"/>
      <c r="K171" s="3065"/>
      <c r="L171" s="3065"/>
      <c r="M171" s="3065"/>
      <c r="N171" s="3065"/>
      <c r="O171" s="3065"/>
      <c r="P171" s="508" t="s">
        <v>1300</v>
      </c>
      <c r="Q171" s="1458"/>
      <c r="R171" s="525"/>
      <c r="S171" s="526"/>
      <c r="T171" s="1798"/>
      <c r="U171" s="1793"/>
      <c r="V171" s="1793"/>
      <c r="W171" s="1793"/>
      <c r="Y171" s="740"/>
    </row>
    <row r="172" spans="2:27" s="121" customFormat="1" ht="13.5" customHeight="1" x14ac:dyDescent="0.2">
      <c r="B172" s="1797"/>
      <c r="C172" s="501"/>
      <c r="D172" s="524"/>
      <c r="E172" s="3435"/>
      <c r="F172" s="1078" t="s">
        <v>339</v>
      </c>
      <c r="G172" s="3064" t="s">
        <v>13081</v>
      </c>
      <c r="H172" s="3065"/>
      <c r="I172" s="3065"/>
      <c r="J172" s="3065"/>
      <c r="K172" s="3065"/>
      <c r="L172" s="3065"/>
      <c r="M172" s="3065"/>
      <c r="N172" s="3065"/>
      <c r="O172" s="3065"/>
      <c r="P172" s="508" t="s">
        <v>1302</v>
      </c>
      <c r="Q172" s="1458"/>
      <c r="R172" s="525"/>
      <c r="S172" s="526"/>
      <c r="T172" s="1798"/>
      <c r="U172" s="1793"/>
      <c r="V172" s="1793"/>
      <c r="W172" s="1793"/>
      <c r="Y172" s="740"/>
    </row>
    <row r="173" spans="2:27" s="121" customFormat="1" ht="12.75" customHeight="1" x14ac:dyDescent="0.2">
      <c r="B173" s="1797"/>
      <c r="C173" s="501"/>
      <c r="D173" s="524"/>
      <c r="E173" s="3435"/>
      <c r="F173" s="519" t="s">
        <v>318</v>
      </c>
      <c r="G173" s="3375" t="s">
        <v>13084</v>
      </c>
      <c r="H173" s="3376"/>
      <c r="I173" s="3376"/>
      <c r="J173" s="3376"/>
      <c r="K173" s="3376"/>
      <c r="L173" s="3376"/>
      <c r="M173" s="3376"/>
      <c r="N173" s="3376"/>
      <c r="O173" s="3377"/>
      <c r="P173" s="514" t="s">
        <v>1304</v>
      </c>
      <c r="Q173" s="1019">
        <f>MAX(LTCG.B02a_FullConsiderationUAEi,LTCG.B02a_FullConsiderationUAEii)</f>
        <v>0</v>
      </c>
      <c r="R173" s="525"/>
      <c r="S173" s="526"/>
      <c r="T173" s="1798"/>
      <c r="U173" s="1793"/>
      <c r="V173" s="1793"/>
      <c r="W173" s="1793"/>
      <c r="Y173" s="740">
        <f>IF(Q173&lt;&gt;0,1,0)</f>
        <v>0</v>
      </c>
    </row>
    <row r="174" spans="2:27" s="121" customFormat="1" ht="12.75" customHeight="1" x14ac:dyDescent="0.2">
      <c r="B174" s="1797"/>
      <c r="C174" s="501"/>
      <c r="D174" s="524"/>
      <c r="E174" s="3435"/>
      <c r="F174" s="519" t="s">
        <v>28</v>
      </c>
      <c r="G174" s="3375" t="s">
        <v>914</v>
      </c>
      <c r="H174" s="3376"/>
      <c r="I174" s="3376"/>
      <c r="J174" s="3376"/>
      <c r="K174" s="3376"/>
      <c r="L174" s="3376"/>
      <c r="M174" s="3376"/>
      <c r="N174" s="3376"/>
      <c r="O174" s="3377"/>
      <c r="P174" s="514" t="s">
        <v>699</v>
      </c>
      <c r="Q174" s="1458"/>
      <c r="R174" s="525"/>
      <c r="S174" s="526"/>
      <c r="T174" s="1798"/>
      <c r="U174" s="1793"/>
      <c r="V174" s="1793"/>
      <c r="W174" s="1793"/>
      <c r="Y174" s="740">
        <f>IF(Q174&lt;&gt;0,1,0)</f>
        <v>0</v>
      </c>
    </row>
    <row r="175" spans="2:27" s="121" customFormat="1" ht="12.75" customHeight="1" x14ac:dyDescent="0.2">
      <c r="B175" s="1797"/>
      <c r="C175" s="501"/>
      <c r="D175" s="524"/>
      <c r="E175" s="3435"/>
      <c r="F175" s="519" t="s">
        <v>29</v>
      </c>
      <c r="G175" s="3375" t="s">
        <v>13085</v>
      </c>
      <c r="H175" s="3376"/>
      <c r="I175" s="3376"/>
      <c r="J175" s="3376"/>
      <c r="K175" s="3376"/>
      <c r="L175" s="3376"/>
      <c r="M175" s="3376"/>
      <c r="N175" s="3376"/>
      <c r="O175" s="3377"/>
      <c r="P175" s="510" t="s">
        <v>322</v>
      </c>
      <c r="Q175" s="789">
        <f>(LTCG.B02a_FullConsideration-LTCG.B02b_NetWorthOfDivision)</f>
        <v>0</v>
      </c>
      <c r="R175" s="525"/>
      <c r="S175" s="526"/>
      <c r="T175" s="1798"/>
      <c r="U175" s="1793"/>
      <c r="V175" s="1793"/>
      <c r="W175" s="1793"/>
      <c r="Y175" s="740"/>
    </row>
    <row r="176" spans="2:27" s="121" customFormat="1" ht="12.75" customHeight="1" x14ac:dyDescent="0.2">
      <c r="B176" s="1797"/>
      <c r="C176" s="501"/>
      <c r="D176" s="524"/>
      <c r="E176" s="3435"/>
      <c r="F176" s="519" t="s">
        <v>902</v>
      </c>
      <c r="G176" s="3375" t="s">
        <v>974</v>
      </c>
      <c r="H176" s="3376"/>
      <c r="I176" s="3376"/>
      <c r="J176" s="3376"/>
      <c r="K176" s="3376"/>
      <c r="L176" s="3376"/>
      <c r="M176" s="3376"/>
      <c r="N176" s="3376"/>
      <c r="O176" s="3377"/>
      <c r="P176" s="514" t="s">
        <v>902</v>
      </c>
      <c r="Q176" s="1458"/>
      <c r="R176" s="525"/>
      <c r="S176" s="526"/>
      <c r="T176" s="1798"/>
      <c r="U176" s="1793"/>
      <c r="V176" s="1793"/>
      <c r="W176" s="1793"/>
      <c r="Y176" s="740">
        <f>IF(Q176&lt;&gt;0,1,0)</f>
        <v>0</v>
      </c>
    </row>
    <row r="177" spans="2:25" s="121" customFormat="1" ht="13.5" hidden="1" customHeight="1" x14ac:dyDescent="0.2">
      <c r="B177" s="1797"/>
      <c r="C177" s="501"/>
      <c r="D177" s="524"/>
      <c r="E177" s="3435"/>
      <c r="F177" s="519" t="s">
        <v>904</v>
      </c>
      <c r="G177" s="3375" t="s">
        <v>7659</v>
      </c>
      <c r="H177" s="3376"/>
      <c r="I177" s="3376"/>
      <c r="J177" s="3376"/>
      <c r="K177" s="3376"/>
      <c r="L177" s="3376"/>
      <c r="M177" s="3376"/>
      <c r="N177" s="3376"/>
      <c r="O177" s="3377"/>
      <c r="P177" s="519" t="s">
        <v>904</v>
      </c>
      <c r="Q177" s="525"/>
      <c r="R177" s="525"/>
      <c r="S177" s="526"/>
      <c r="T177" s="1798"/>
      <c r="U177" s="1793"/>
      <c r="V177" s="1793"/>
      <c r="W177" s="1793"/>
      <c r="Y177" s="740">
        <f>IF(Q177&lt;&gt;0,1,0)</f>
        <v>0</v>
      </c>
    </row>
    <row r="178" spans="2:25" s="121" customFormat="1" ht="12.75" customHeight="1" x14ac:dyDescent="0.2">
      <c r="B178" s="1797"/>
      <c r="C178" s="501"/>
      <c r="D178" s="524"/>
      <c r="E178" s="3435"/>
      <c r="F178" s="519" t="s">
        <v>904</v>
      </c>
      <c r="G178" s="3375" t="s">
        <v>975</v>
      </c>
      <c r="H178" s="3376"/>
      <c r="I178" s="3376"/>
      <c r="J178" s="3376"/>
      <c r="K178" s="3376"/>
      <c r="L178" s="3376"/>
      <c r="M178" s="3376"/>
      <c r="N178" s="3376"/>
      <c r="O178" s="3377"/>
      <c r="P178" s="519" t="s">
        <v>904</v>
      </c>
      <c r="Q178" s="1973"/>
      <c r="R178" s="525"/>
      <c r="S178" s="526"/>
      <c r="T178" s="1798"/>
      <c r="U178" s="1793"/>
      <c r="V178" s="1793"/>
      <c r="W178" s="1793"/>
      <c r="Y178" s="740">
        <f>IF(Q178&lt;&gt;0,1,0)</f>
        <v>0</v>
      </c>
    </row>
    <row r="179" spans="2:25" s="121" customFormat="1" ht="12.75" customHeight="1" x14ac:dyDescent="0.2">
      <c r="B179" s="1797"/>
      <c r="C179" s="501"/>
      <c r="D179" s="524"/>
      <c r="E179" s="3435"/>
      <c r="F179" s="518" t="s">
        <v>36</v>
      </c>
      <c r="G179" s="3375" t="s">
        <v>12057</v>
      </c>
      <c r="H179" s="3376"/>
      <c r="I179" s="3376"/>
      <c r="J179" s="3376"/>
      <c r="K179" s="3376"/>
      <c r="L179" s="3376"/>
      <c r="M179" s="3376"/>
      <c r="N179" s="3376"/>
      <c r="O179" s="3377"/>
      <c r="P179" s="510" t="s">
        <v>702</v>
      </c>
      <c r="Q179" s="1019">
        <f>SUM(Q176:Q178)</f>
        <v>0</v>
      </c>
      <c r="R179" s="592"/>
      <c r="S179" s="593"/>
      <c r="T179" s="1798"/>
      <c r="U179" s="1793"/>
      <c r="V179" s="1793"/>
      <c r="W179" s="1793"/>
      <c r="Y179" s="740"/>
    </row>
    <row r="180" spans="2:25" s="121" customFormat="1" ht="12.75" x14ac:dyDescent="0.2">
      <c r="B180" s="1797"/>
      <c r="C180" s="501"/>
      <c r="D180" s="524"/>
      <c r="E180" s="3436"/>
      <c r="F180" s="518" t="s">
        <v>38</v>
      </c>
      <c r="G180" s="3391" t="s">
        <v>976</v>
      </c>
      <c r="H180" s="3392"/>
      <c r="I180" s="3392"/>
      <c r="J180" s="3392"/>
      <c r="K180" s="3392"/>
      <c r="L180" s="3392"/>
      <c r="M180" s="3392"/>
      <c r="N180" s="3392"/>
      <c r="O180" s="3392"/>
      <c r="P180" s="3392"/>
      <c r="Q180" s="3393"/>
      <c r="R180" s="594" t="s">
        <v>977</v>
      </c>
      <c r="S180" s="1019">
        <f>IF(LTCG.B02c_SlumpBalance&lt;0,LTCG.B02c_SlumpBalance,IF(LTCG.B02d_ExemptionGrandTotal&gt;LTCG.B02c_SlumpBalance,0,LTCG.B02c_SlumpBalance-LTCG.B02d_ExemptionGrandTotal))</f>
        <v>0</v>
      </c>
      <c r="T180" s="1798"/>
      <c r="U180" s="1793"/>
      <c r="V180" s="1793"/>
      <c r="W180" s="1793"/>
      <c r="Y180" s="740"/>
    </row>
    <row r="181" spans="2:25" s="121" customFormat="1" ht="12.75" x14ac:dyDescent="0.2">
      <c r="B181" s="1797"/>
      <c r="C181" s="501"/>
      <c r="D181" s="524"/>
      <c r="E181" s="3431">
        <v>3</v>
      </c>
      <c r="F181" s="3419" t="s">
        <v>978</v>
      </c>
      <c r="G181" s="3420"/>
      <c r="H181" s="3420"/>
      <c r="I181" s="3420"/>
      <c r="J181" s="3420"/>
      <c r="K181" s="3420"/>
      <c r="L181" s="3420"/>
      <c r="M181" s="3420"/>
      <c r="N181" s="3420"/>
      <c r="O181" s="3420"/>
      <c r="P181" s="3420"/>
      <c r="Q181" s="3421"/>
      <c r="R181" s="525"/>
      <c r="S181" s="526"/>
      <c r="T181" s="1798"/>
      <c r="U181" s="1793"/>
      <c r="V181" s="1793"/>
      <c r="W181" s="1793"/>
      <c r="Y181" s="740"/>
    </row>
    <row r="182" spans="2:25" s="121" customFormat="1" ht="12" customHeight="1" x14ac:dyDescent="0.2">
      <c r="B182" s="1797"/>
      <c r="C182" s="501"/>
      <c r="D182" s="524"/>
      <c r="E182" s="3432"/>
      <c r="F182" s="505" t="s">
        <v>27</v>
      </c>
      <c r="G182" s="595" t="s">
        <v>979</v>
      </c>
      <c r="H182" s="1776"/>
      <c r="I182" s="1776"/>
      <c r="J182" s="1776"/>
      <c r="K182" s="1776"/>
      <c r="L182" s="1776"/>
      <c r="M182" s="1776"/>
      <c r="N182" s="1776"/>
      <c r="O182" s="1777"/>
      <c r="P182" s="381" t="s">
        <v>768</v>
      </c>
      <c r="Q182" s="1973"/>
      <c r="R182" s="525"/>
      <c r="S182" s="526"/>
      <c r="T182" s="1798"/>
      <c r="U182" s="1793"/>
      <c r="V182" s="1793"/>
      <c r="W182" s="1793"/>
      <c r="Y182" s="740">
        <f>IF(Q182&lt;&gt;0,1,0)</f>
        <v>0</v>
      </c>
    </row>
    <row r="183" spans="2:25" s="121" customFormat="1" ht="11.25" customHeight="1" x14ac:dyDescent="0.2">
      <c r="B183" s="1797"/>
      <c r="C183" s="501"/>
      <c r="D183" s="524"/>
      <c r="E183" s="3432"/>
      <c r="F183" s="3431" t="s">
        <v>28</v>
      </c>
      <c r="G183" s="596" t="s">
        <v>897</v>
      </c>
      <c r="H183" s="2083"/>
      <c r="I183" s="1782"/>
      <c r="J183" s="1782"/>
      <c r="K183" s="1782"/>
      <c r="L183" s="1782"/>
      <c r="M183" s="1782"/>
      <c r="N183" s="1782"/>
      <c r="O183" s="1782"/>
      <c r="P183" s="536"/>
      <c r="Q183" s="537"/>
      <c r="R183" s="525"/>
      <c r="S183" s="526"/>
      <c r="T183" s="1798"/>
      <c r="U183" s="1793"/>
      <c r="V183" s="1793"/>
      <c r="W183" s="1793"/>
      <c r="Y183" s="740"/>
    </row>
    <row r="184" spans="2:25" s="121" customFormat="1" ht="14.25" customHeight="1" x14ac:dyDescent="0.2">
      <c r="B184" s="1797"/>
      <c r="C184" s="501"/>
      <c r="D184" s="524"/>
      <c r="E184" s="3432"/>
      <c r="F184" s="3432"/>
      <c r="G184" s="505" t="s">
        <v>287</v>
      </c>
      <c r="H184" s="3064" t="s">
        <v>898</v>
      </c>
      <c r="I184" s="3065"/>
      <c r="J184" s="3065"/>
      <c r="K184" s="3065"/>
      <c r="L184" s="3065"/>
      <c r="M184" s="3065"/>
      <c r="N184" s="3065"/>
      <c r="O184" s="3066"/>
      <c r="P184" s="381" t="s">
        <v>289</v>
      </c>
      <c r="Q184" s="1973"/>
      <c r="R184" s="525"/>
      <c r="S184" s="526"/>
      <c r="T184" s="1798"/>
      <c r="U184" s="1793"/>
      <c r="V184" s="1793"/>
      <c r="W184" s="1793"/>
      <c r="Y184" s="740">
        <f>IF(Q184&lt;&gt;0,1,0)</f>
        <v>0</v>
      </c>
    </row>
    <row r="185" spans="2:25" s="121" customFormat="1" ht="12.75" customHeight="1" x14ac:dyDescent="0.2">
      <c r="B185" s="1797"/>
      <c r="C185" s="501"/>
      <c r="D185" s="524"/>
      <c r="E185" s="3432"/>
      <c r="F185" s="3432"/>
      <c r="G185" s="505" t="s">
        <v>290</v>
      </c>
      <c r="H185" s="3064" t="s">
        <v>980</v>
      </c>
      <c r="I185" s="3065"/>
      <c r="J185" s="3065"/>
      <c r="K185" s="3065"/>
      <c r="L185" s="3065"/>
      <c r="M185" s="3065"/>
      <c r="N185" s="3065"/>
      <c r="O185" s="3066"/>
      <c r="P185" s="381" t="s">
        <v>292</v>
      </c>
      <c r="Q185" s="1973"/>
      <c r="R185" s="525"/>
      <c r="S185" s="526"/>
      <c r="T185" s="1798"/>
      <c r="U185" s="1793"/>
      <c r="V185" s="1793"/>
      <c r="W185" s="1793"/>
      <c r="Y185" s="740">
        <f>IF(Q185&lt;&gt;0,1,0)</f>
        <v>0</v>
      </c>
    </row>
    <row r="186" spans="2:25" s="121" customFormat="1" ht="12.75" customHeight="1" x14ac:dyDescent="0.2">
      <c r="B186" s="1797"/>
      <c r="C186" s="501"/>
      <c r="D186" s="524"/>
      <c r="E186" s="3432"/>
      <c r="F186" s="3432"/>
      <c r="G186" s="381" t="s">
        <v>293</v>
      </c>
      <c r="H186" s="3064" t="s">
        <v>900</v>
      </c>
      <c r="I186" s="3065"/>
      <c r="J186" s="3065"/>
      <c r="K186" s="3065"/>
      <c r="L186" s="3065"/>
      <c r="M186" s="3065"/>
      <c r="N186" s="3065"/>
      <c r="O186" s="3066"/>
      <c r="P186" s="381" t="s">
        <v>295</v>
      </c>
      <c r="Q186" s="1973"/>
      <c r="R186" s="525"/>
      <c r="S186" s="526"/>
      <c r="T186" s="1798"/>
      <c r="U186" s="1793"/>
      <c r="V186" s="1793"/>
      <c r="W186" s="1793"/>
      <c r="Y186" s="740">
        <f>IF(Q186&lt;&gt;0,1,0)</f>
        <v>0</v>
      </c>
    </row>
    <row r="187" spans="2:25" s="121" customFormat="1" ht="12.75" customHeight="1" x14ac:dyDescent="0.2">
      <c r="B187" s="1797"/>
      <c r="C187" s="501"/>
      <c r="D187" s="524"/>
      <c r="E187" s="3432"/>
      <c r="F187" s="3433"/>
      <c r="G187" s="518" t="s">
        <v>296</v>
      </c>
      <c r="H187" s="1773" t="s">
        <v>981</v>
      </c>
      <c r="I187" s="1470"/>
      <c r="J187" s="1470"/>
      <c r="K187" s="1470"/>
      <c r="L187" s="1470"/>
      <c r="M187" s="1470"/>
      <c r="N187" s="1470"/>
      <c r="O187" s="1469"/>
      <c r="P187" s="518" t="s">
        <v>298</v>
      </c>
      <c r="Q187" s="486">
        <f>SUM(Q184:Q186)</f>
        <v>0</v>
      </c>
      <c r="R187" s="525"/>
      <c r="S187" s="526"/>
      <c r="T187" s="1798"/>
      <c r="U187" s="1793"/>
      <c r="V187" s="1793"/>
      <c r="W187" s="1793"/>
      <c r="Y187" s="740"/>
    </row>
    <row r="188" spans="2:25" s="121" customFormat="1" ht="12" customHeight="1" x14ac:dyDescent="0.2">
      <c r="B188" s="1797"/>
      <c r="C188" s="501"/>
      <c r="D188" s="524"/>
      <c r="E188" s="3432"/>
      <c r="F188" s="516" t="s">
        <v>29</v>
      </c>
      <c r="G188" s="3391" t="s">
        <v>982</v>
      </c>
      <c r="H188" s="3392"/>
      <c r="I188" s="3392"/>
      <c r="J188" s="3392"/>
      <c r="K188" s="3392"/>
      <c r="L188" s="3392"/>
      <c r="M188" s="3392"/>
      <c r="N188" s="3392"/>
      <c r="O188" s="3393"/>
      <c r="P188" s="516" t="s">
        <v>378</v>
      </c>
      <c r="Q188" s="1464">
        <f>(LTCG.B2a_FullConsideration-LTCG.B2biv_TotalDedn)</f>
        <v>0</v>
      </c>
      <c r="R188" s="525"/>
      <c r="S188" s="526"/>
      <c r="T188" s="1798"/>
      <c r="U188" s="1793"/>
      <c r="V188" s="1793"/>
      <c r="W188" s="1793"/>
      <c r="Y188" s="740">
        <f>IF(Q188&lt;&gt;0,1,0)</f>
        <v>0</v>
      </c>
    </row>
    <row r="189" spans="2:25" s="121" customFormat="1" ht="12" hidden="1" customHeight="1" x14ac:dyDescent="0.2">
      <c r="B189" s="1797"/>
      <c r="C189" s="501"/>
      <c r="D189" s="524"/>
      <c r="E189" s="3432"/>
      <c r="F189" s="381" t="s">
        <v>902</v>
      </c>
      <c r="G189" s="597" t="s">
        <v>983</v>
      </c>
      <c r="H189" s="1779"/>
      <c r="I189" s="1779"/>
      <c r="J189" s="1779"/>
      <c r="K189" s="1779"/>
      <c r="L189" s="1779"/>
      <c r="M189" s="1779"/>
      <c r="N189" s="1779"/>
      <c r="O189" s="1779"/>
      <c r="P189" s="2042" t="s">
        <v>902</v>
      </c>
      <c r="Q189" s="1973"/>
      <c r="R189" s="525"/>
      <c r="S189" s="526"/>
      <c r="T189" s="1798"/>
      <c r="U189" s="1793"/>
      <c r="V189" s="1793"/>
      <c r="W189" s="1793"/>
      <c r="Y189" s="740">
        <f>IF(Q189&lt;&gt;0,1,0)</f>
        <v>0</v>
      </c>
    </row>
    <row r="190" spans="2:25" s="121" customFormat="1" ht="13.5" hidden="1" customHeight="1" x14ac:dyDescent="0.2">
      <c r="B190" s="1797"/>
      <c r="C190" s="501"/>
      <c r="D190" s="524"/>
      <c r="E190" s="3432"/>
      <c r="F190" s="381" t="s">
        <v>902</v>
      </c>
      <c r="G190" s="597" t="s">
        <v>7660</v>
      </c>
      <c r="H190" s="1779"/>
      <c r="I190" s="1779"/>
      <c r="J190" s="1779"/>
      <c r="K190" s="1779"/>
      <c r="L190" s="1779"/>
      <c r="M190" s="1779"/>
      <c r="N190" s="1779"/>
      <c r="O190" s="1779"/>
      <c r="P190" s="381" t="s">
        <v>904</v>
      </c>
      <c r="Q190" s="525"/>
      <c r="R190" s="525"/>
      <c r="S190" s="526"/>
      <c r="T190" s="1798"/>
      <c r="U190" s="1793"/>
      <c r="V190" s="1793"/>
      <c r="W190" s="1793"/>
      <c r="Y190" s="740">
        <f>IF(Q190&lt;&gt;0,1,0)</f>
        <v>0</v>
      </c>
    </row>
    <row r="191" spans="2:25" s="121" customFormat="1" ht="12.75" customHeight="1" x14ac:dyDescent="0.2">
      <c r="B191" s="1797"/>
      <c r="C191" s="501"/>
      <c r="D191" s="524"/>
      <c r="E191" s="3432"/>
      <c r="F191" s="381" t="s">
        <v>36</v>
      </c>
      <c r="G191" s="3388" t="s">
        <v>984</v>
      </c>
      <c r="H191" s="3389"/>
      <c r="I191" s="3389"/>
      <c r="J191" s="3389"/>
      <c r="K191" s="3389"/>
      <c r="L191" s="3389"/>
      <c r="M191" s="3389"/>
      <c r="N191" s="3389"/>
      <c r="O191" s="3390"/>
      <c r="P191" s="381" t="s">
        <v>772</v>
      </c>
      <c r="Q191" s="1973"/>
      <c r="R191" s="525"/>
      <c r="S191" s="526"/>
      <c r="T191" s="1798"/>
      <c r="U191" s="1793"/>
      <c r="V191" s="1793"/>
      <c r="W191" s="1793"/>
      <c r="Y191" s="740">
        <f>IF(Q191&lt;&gt;0,1,0)</f>
        <v>0</v>
      </c>
    </row>
    <row r="192" spans="2:25" s="121" customFormat="1" ht="12.75" hidden="1" customHeight="1" x14ac:dyDescent="0.2">
      <c r="B192" s="1797"/>
      <c r="C192" s="501"/>
      <c r="D192" s="524"/>
      <c r="E192" s="3432"/>
      <c r="F192" s="381" t="s">
        <v>36</v>
      </c>
      <c r="G192" s="1774" t="s">
        <v>11815</v>
      </c>
      <c r="H192" s="1775"/>
      <c r="I192" s="1775"/>
      <c r="J192" s="1775"/>
      <c r="K192" s="1775"/>
      <c r="L192" s="1775"/>
      <c r="M192" s="1775"/>
      <c r="N192" s="1775"/>
      <c r="O192" s="1775"/>
      <c r="P192" s="510" t="s">
        <v>772</v>
      </c>
      <c r="Q192" s="525"/>
      <c r="R192" s="525"/>
      <c r="S192" s="526"/>
      <c r="T192" s="1798"/>
      <c r="U192" s="1793"/>
      <c r="V192" s="1793"/>
      <c r="W192" s="1793"/>
      <c r="Y192" s="740"/>
    </row>
    <row r="193" spans="2:25" s="121" customFormat="1" ht="12" customHeight="1" x14ac:dyDescent="0.2">
      <c r="B193" s="1797"/>
      <c r="C193" s="501"/>
      <c r="D193" s="524"/>
      <c r="E193" s="3433"/>
      <c r="F193" s="598" t="s">
        <v>869</v>
      </c>
      <c r="G193" s="3391" t="s">
        <v>985</v>
      </c>
      <c r="H193" s="3392"/>
      <c r="I193" s="3392"/>
      <c r="J193" s="3392"/>
      <c r="K193" s="3392"/>
      <c r="L193" s="3392"/>
      <c r="M193" s="3392"/>
      <c r="N193" s="3392"/>
      <c r="O193" s="3392"/>
      <c r="P193" s="3392"/>
      <c r="Q193" s="3393"/>
      <c r="R193" s="520" t="s">
        <v>986</v>
      </c>
      <c r="S193" s="1019">
        <f>IF(LTCG.B2c_BalanceCG&lt;0,LTCG.B2c_BalanceCG,IF(LTCG.B03d_ExemptionGrandTotal&gt;LTCG.B2c_BalanceCG,0,LTCG.B2c_BalanceCG-LTCG.B03d_ExemptionGrandTotal))</f>
        <v>0</v>
      </c>
      <c r="T193" s="1798"/>
      <c r="U193" s="1793"/>
      <c r="V193" s="1793"/>
      <c r="W193" s="1793"/>
      <c r="Y193" s="740"/>
    </row>
    <row r="194" spans="2:25" s="121" customFormat="1" ht="17.25" customHeight="1" x14ac:dyDescent="0.2">
      <c r="B194" s="1797"/>
      <c r="C194" s="501"/>
      <c r="D194" s="524"/>
      <c r="E194" s="3434">
        <v>4</v>
      </c>
      <c r="F194" s="3385" t="s">
        <v>7596</v>
      </c>
      <c r="G194" s="3386"/>
      <c r="H194" s="3386"/>
      <c r="I194" s="3386"/>
      <c r="J194" s="3386"/>
      <c r="K194" s="3386"/>
      <c r="L194" s="3386"/>
      <c r="M194" s="3386"/>
      <c r="N194" s="3386"/>
      <c r="O194" s="3386"/>
      <c r="P194" s="3386"/>
      <c r="Q194" s="3387"/>
      <c r="R194" s="525"/>
      <c r="S194" s="526"/>
      <c r="T194" s="1798"/>
      <c r="U194" s="1793"/>
      <c r="V194" s="1793"/>
      <c r="W194" s="1793"/>
      <c r="Y194" s="740"/>
    </row>
    <row r="195" spans="2:25" s="121" customFormat="1" ht="12" customHeight="1" x14ac:dyDescent="0.2">
      <c r="B195" s="1797"/>
      <c r="C195" s="501"/>
      <c r="D195" s="524"/>
      <c r="E195" s="3435"/>
      <c r="F195" s="599" t="s">
        <v>987</v>
      </c>
      <c r="G195" s="3419" t="s">
        <v>979</v>
      </c>
      <c r="H195" s="3420"/>
      <c r="I195" s="3420"/>
      <c r="J195" s="3420"/>
      <c r="K195" s="3420"/>
      <c r="L195" s="3420"/>
      <c r="M195" s="3420"/>
      <c r="N195" s="3420"/>
      <c r="O195" s="3421"/>
      <c r="P195" s="381" t="s">
        <v>1346</v>
      </c>
      <c r="Q195" s="1973"/>
      <c r="R195" s="525"/>
      <c r="S195" s="526"/>
      <c r="T195" s="1798"/>
      <c r="U195" s="1793"/>
      <c r="V195" s="1793"/>
      <c r="W195" s="1793"/>
      <c r="Y195" s="740">
        <f>IF(Q195&lt;&gt;0,1,0)</f>
        <v>0</v>
      </c>
    </row>
    <row r="196" spans="2:25" s="121" customFormat="1" ht="12.75" customHeight="1" x14ac:dyDescent="0.2">
      <c r="B196" s="1797"/>
      <c r="C196" s="501"/>
      <c r="D196" s="524"/>
      <c r="E196" s="3435"/>
      <c r="F196" s="3422" t="s">
        <v>988</v>
      </c>
      <c r="G196" s="3419" t="s">
        <v>897</v>
      </c>
      <c r="H196" s="3420"/>
      <c r="I196" s="3420"/>
      <c r="J196" s="3420"/>
      <c r="K196" s="3420"/>
      <c r="L196" s="3420"/>
      <c r="M196" s="3420"/>
      <c r="N196" s="3420"/>
      <c r="O196" s="3420"/>
      <c r="P196" s="3420"/>
      <c r="Q196" s="3421"/>
      <c r="R196" s="525"/>
      <c r="S196" s="526"/>
      <c r="T196" s="1798"/>
      <c r="U196" s="1793"/>
      <c r="V196" s="1793"/>
      <c r="W196" s="1793"/>
      <c r="Y196" s="740"/>
    </row>
    <row r="197" spans="2:25" s="121" customFormat="1" ht="12.75" customHeight="1" x14ac:dyDescent="0.2">
      <c r="B197" s="1797"/>
      <c r="C197" s="501"/>
      <c r="D197" s="524"/>
      <c r="E197" s="3435"/>
      <c r="F197" s="3423"/>
      <c r="G197" s="506" t="s">
        <v>287</v>
      </c>
      <c r="H197" s="3375" t="s">
        <v>898</v>
      </c>
      <c r="I197" s="3376"/>
      <c r="J197" s="3376"/>
      <c r="K197" s="3376"/>
      <c r="L197" s="3376"/>
      <c r="M197" s="3376"/>
      <c r="N197" s="3376"/>
      <c r="O197" s="3377"/>
      <c r="P197" s="381" t="s">
        <v>9755</v>
      </c>
      <c r="Q197" s="1973"/>
      <c r="R197" s="525"/>
      <c r="S197" s="526"/>
      <c r="T197" s="1798"/>
      <c r="U197" s="1793"/>
      <c r="V197" s="1793"/>
      <c r="W197" s="1793"/>
      <c r="Y197" s="740">
        <f>IF(Q197&lt;&gt;0,1,0)</f>
        <v>0</v>
      </c>
    </row>
    <row r="198" spans="2:25" s="121" customFormat="1" ht="13.5" customHeight="1" x14ac:dyDescent="0.2">
      <c r="B198" s="1797"/>
      <c r="C198" s="501"/>
      <c r="D198" s="524"/>
      <c r="E198" s="3435"/>
      <c r="F198" s="3423"/>
      <c r="G198" s="506" t="s">
        <v>290</v>
      </c>
      <c r="H198" s="3064" t="s">
        <v>980</v>
      </c>
      <c r="I198" s="3065"/>
      <c r="J198" s="3065"/>
      <c r="K198" s="3065"/>
      <c r="L198" s="3065"/>
      <c r="M198" s="3065"/>
      <c r="N198" s="3065"/>
      <c r="O198" s="3066"/>
      <c r="P198" s="555" t="s">
        <v>9756</v>
      </c>
      <c r="Q198" s="1973"/>
      <c r="R198" s="525"/>
      <c r="S198" s="526"/>
      <c r="T198" s="1798"/>
      <c r="U198" s="1793"/>
      <c r="V198" s="1793"/>
      <c r="W198" s="1793"/>
      <c r="Y198" s="740">
        <f>IF(Q198&lt;&gt;0,1,0)</f>
        <v>0</v>
      </c>
    </row>
    <row r="199" spans="2:25" s="121" customFormat="1" ht="12.75" customHeight="1" x14ac:dyDescent="0.2">
      <c r="B199" s="1797"/>
      <c r="C199" s="501"/>
      <c r="D199" s="524"/>
      <c r="E199" s="3435"/>
      <c r="F199" s="3423"/>
      <c r="G199" s="506" t="s">
        <v>293</v>
      </c>
      <c r="H199" s="3064" t="s">
        <v>900</v>
      </c>
      <c r="I199" s="3065"/>
      <c r="J199" s="3065"/>
      <c r="K199" s="3065"/>
      <c r="L199" s="3065"/>
      <c r="M199" s="3065"/>
      <c r="N199" s="3065"/>
      <c r="O199" s="3066"/>
      <c r="P199" s="555" t="s">
        <v>9757</v>
      </c>
      <c r="Q199" s="1973"/>
      <c r="R199" s="525"/>
      <c r="S199" s="526"/>
      <c r="T199" s="1798"/>
      <c r="U199" s="1793"/>
      <c r="V199" s="1793"/>
      <c r="W199" s="1793"/>
      <c r="Y199" s="740">
        <f>IF(Q199&lt;&gt;0,1,0)</f>
        <v>0</v>
      </c>
    </row>
    <row r="200" spans="2:25" s="121" customFormat="1" ht="12" customHeight="1" x14ac:dyDescent="0.2">
      <c r="B200" s="1797"/>
      <c r="C200" s="501"/>
      <c r="D200" s="524"/>
      <c r="E200" s="3435"/>
      <c r="F200" s="3424"/>
      <c r="G200" s="518" t="s">
        <v>296</v>
      </c>
      <c r="H200" s="3391" t="s">
        <v>13159</v>
      </c>
      <c r="I200" s="3392"/>
      <c r="J200" s="3392"/>
      <c r="K200" s="3392"/>
      <c r="L200" s="3392"/>
      <c r="M200" s="3392"/>
      <c r="N200" s="3392"/>
      <c r="O200" s="3393"/>
      <c r="P200" s="591" t="s">
        <v>922</v>
      </c>
      <c r="Q200" s="486">
        <f>SUM(Q197:Q199)</f>
        <v>0</v>
      </c>
      <c r="R200" s="592"/>
      <c r="S200" s="526"/>
      <c r="T200" s="1798"/>
      <c r="U200" s="1793"/>
      <c r="V200" s="1793"/>
      <c r="W200" s="1793"/>
      <c r="Y200" s="740"/>
    </row>
    <row r="201" spans="2:25" s="121" customFormat="1" ht="13.5" customHeight="1" x14ac:dyDescent="0.2">
      <c r="B201" s="1797"/>
      <c r="C201" s="501"/>
      <c r="D201" s="524"/>
      <c r="E201" s="3435"/>
      <c r="F201" s="523" t="s">
        <v>989</v>
      </c>
      <c r="G201" s="3391" t="s">
        <v>9766</v>
      </c>
      <c r="H201" s="3392"/>
      <c r="I201" s="3392"/>
      <c r="J201" s="3392"/>
      <c r="K201" s="3392"/>
      <c r="L201" s="3392"/>
      <c r="M201" s="3392"/>
      <c r="N201" s="3392"/>
      <c r="O201" s="3393"/>
      <c r="P201" s="516" t="s">
        <v>1347</v>
      </c>
      <c r="Q201" s="486">
        <f>(LTCG.B3a_FullConsideration-LTCG.B3biv_TotalDedn)</f>
        <v>0</v>
      </c>
      <c r="R201" s="592"/>
      <c r="S201" s="526"/>
      <c r="T201" s="1798"/>
      <c r="U201" s="1793"/>
      <c r="V201" s="1793"/>
      <c r="W201" s="1793"/>
      <c r="Y201" s="740"/>
    </row>
    <row r="202" spans="2:25" s="121" customFormat="1" ht="13.5" hidden="1" customHeight="1" x14ac:dyDescent="0.2">
      <c r="B202" s="1797"/>
      <c r="C202" s="501"/>
      <c r="D202" s="524"/>
      <c r="E202" s="3435"/>
      <c r="F202" s="381" t="s">
        <v>902</v>
      </c>
      <c r="G202" s="608" t="s">
        <v>990</v>
      </c>
      <c r="H202" s="517"/>
      <c r="I202" s="521"/>
      <c r="J202" s="521"/>
      <c r="K202" s="521"/>
      <c r="L202" s="521"/>
      <c r="M202" s="521"/>
      <c r="N202" s="521"/>
      <c r="O202" s="522"/>
      <c r="P202" s="2042" t="s">
        <v>902</v>
      </c>
      <c r="Q202" s="1973"/>
      <c r="R202" s="525"/>
      <c r="S202" s="526"/>
      <c r="T202" s="1798"/>
      <c r="U202" s="1793"/>
      <c r="V202" s="1793"/>
      <c r="W202" s="1793"/>
      <c r="Y202" s="740">
        <f>IF(Q202&lt;&gt;0,1,0)</f>
        <v>0</v>
      </c>
    </row>
    <row r="203" spans="2:25" s="121" customFormat="1" ht="13.5" hidden="1" customHeight="1" x14ac:dyDescent="0.2">
      <c r="B203" s="1797"/>
      <c r="C203" s="501"/>
      <c r="D203" s="524"/>
      <c r="E203" s="3435"/>
      <c r="F203" s="381" t="s">
        <v>9765</v>
      </c>
      <c r="G203" s="608" t="s">
        <v>7661</v>
      </c>
      <c r="H203" s="517"/>
      <c r="I203" s="521"/>
      <c r="J203" s="521"/>
      <c r="K203" s="521"/>
      <c r="L203" s="521"/>
      <c r="M203" s="521"/>
      <c r="N203" s="521"/>
      <c r="O203" s="522"/>
      <c r="P203" s="381" t="s">
        <v>9765</v>
      </c>
      <c r="Q203" s="525"/>
      <c r="R203" s="525"/>
      <c r="S203" s="526"/>
      <c r="T203" s="1798"/>
      <c r="U203" s="1793"/>
      <c r="V203" s="1793"/>
      <c r="W203" s="1793"/>
      <c r="Y203" s="740">
        <f>IF(Q203&lt;&gt;0,1,0)</f>
        <v>0</v>
      </c>
    </row>
    <row r="204" spans="2:25" s="121" customFormat="1" ht="12" customHeight="1" x14ac:dyDescent="0.2">
      <c r="B204" s="1797"/>
      <c r="C204" s="501"/>
      <c r="D204" s="524"/>
      <c r="E204" s="3435"/>
      <c r="F204" s="381" t="s">
        <v>991</v>
      </c>
      <c r="G204" s="3388" t="s">
        <v>984</v>
      </c>
      <c r="H204" s="3389"/>
      <c r="I204" s="3389"/>
      <c r="J204" s="3389"/>
      <c r="K204" s="3389"/>
      <c r="L204" s="3389"/>
      <c r="M204" s="3389"/>
      <c r="N204" s="3389"/>
      <c r="O204" s="3390"/>
      <c r="P204" s="381" t="s">
        <v>12058</v>
      </c>
      <c r="Q204" s="1973"/>
      <c r="R204" s="525"/>
      <c r="S204" s="526"/>
      <c r="T204" s="1798"/>
      <c r="U204" s="1793"/>
      <c r="V204" s="1793"/>
      <c r="W204" s="1793"/>
      <c r="Y204" s="740">
        <f>IF(Q204&lt;&gt;0,1,0)</f>
        <v>0</v>
      </c>
    </row>
    <row r="205" spans="2:25" s="121" customFormat="1" ht="12" hidden="1" customHeight="1" x14ac:dyDescent="0.2">
      <c r="B205" s="1797"/>
      <c r="C205" s="501"/>
      <c r="D205" s="524"/>
      <c r="E205" s="3435"/>
      <c r="F205" s="381" t="s">
        <v>36</v>
      </c>
      <c r="G205" s="1774" t="s">
        <v>11815</v>
      </c>
      <c r="H205" s="1775"/>
      <c r="I205" s="1775"/>
      <c r="J205" s="1775"/>
      <c r="K205" s="1775"/>
      <c r="L205" s="1775"/>
      <c r="M205" s="1775"/>
      <c r="N205" s="1775"/>
      <c r="O205" s="1775"/>
      <c r="P205" s="510" t="s">
        <v>401</v>
      </c>
      <c r="Q205" s="525"/>
      <c r="R205" s="525"/>
      <c r="S205" s="526"/>
      <c r="T205" s="1798"/>
      <c r="U205" s="1793"/>
      <c r="V205" s="1793"/>
      <c r="W205" s="1793"/>
      <c r="Y205" s="740"/>
    </row>
    <row r="206" spans="2:25" s="121" customFormat="1" ht="12.75" customHeight="1" x14ac:dyDescent="0.2">
      <c r="B206" s="1797"/>
      <c r="C206" s="501"/>
      <c r="D206" s="524"/>
      <c r="E206" s="3436"/>
      <c r="F206" s="598" t="s">
        <v>929</v>
      </c>
      <c r="G206" s="3391" t="s">
        <v>993</v>
      </c>
      <c r="H206" s="3392"/>
      <c r="I206" s="3392"/>
      <c r="J206" s="3392"/>
      <c r="K206" s="3392"/>
      <c r="L206" s="3392"/>
      <c r="M206" s="3392"/>
      <c r="N206" s="3392"/>
      <c r="O206" s="3392"/>
      <c r="P206" s="3392"/>
      <c r="Q206" s="3393"/>
      <c r="R206" s="520" t="s">
        <v>7151</v>
      </c>
      <c r="S206" s="1019">
        <f>IF(LTCG.B3c_BalanceCG&lt;0,LTCG.B3c_BalanceCG,IF(LTCG.B04d_ExemptionGrandTotal&gt;LTCG.B3c_BalanceCG,0,LTCG.B3c_BalanceCG-LTCG.B04d_ExemptionGrandTotal))</f>
        <v>0</v>
      </c>
      <c r="T206" s="1798"/>
      <c r="U206" s="1793"/>
      <c r="V206" s="1793"/>
      <c r="W206" s="1793"/>
      <c r="Y206" s="740"/>
    </row>
    <row r="207" spans="2:25" s="121" customFormat="1" ht="12" customHeight="1" x14ac:dyDescent="0.2">
      <c r="B207" s="1797"/>
      <c r="C207" s="501"/>
      <c r="D207" s="524"/>
      <c r="E207" s="3434"/>
      <c r="F207" s="3385" t="s">
        <v>992</v>
      </c>
      <c r="G207" s="3386"/>
      <c r="H207" s="3386"/>
      <c r="I207" s="3386"/>
      <c r="J207" s="3386"/>
      <c r="K207" s="3386"/>
      <c r="L207" s="3386"/>
      <c r="M207" s="3386"/>
      <c r="N207" s="3386"/>
      <c r="O207" s="3386"/>
      <c r="P207" s="3386"/>
      <c r="Q207" s="3387"/>
      <c r="R207" s="525"/>
      <c r="S207" s="526"/>
      <c r="T207" s="1798"/>
      <c r="U207" s="1793"/>
      <c r="V207" s="1793"/>
      <c r="W207" s="1793"/>
      <c r="Y207" s="740"/>
    </row>
    <row r="208" spans="2:25" s="121" customFormat="1" ht="12.75" customHeight="1" x14ac:dyDescent="0.2">
      <c r="B208" s="1797"/>
      <c r="C208" s="501"/>
      <c r="D208" s="524"/>
      <c r="E208" s="3435"/>
      <c r="F208" s="599" t="s">
        <v>998</v>
      </c>
      <c r="G208" s="3419" t="s">
        <v>979</v>
      </c>
      <c r="H208" s="3420"/>
      <c r="I208" s="3420"/>
      <c r="J208" s="3420"/>
      <c r="K208" s="3420"/>
      <c r="L208" s="3420"/>
      <c r="M208" s="3420"/>
      <c r="N208" s="3420"/>
      <c r="O208" s="3421"/>
      <c r="P208" s="381" t="s">
        <v>1348</v>
      </c>
      <c r="Q208" s="1973"/>
      <c r="R208" s="525"/>
      <c r="S208" s="526"/>
      <c r="T208" s="1798"/>
      <c r="U208" s="1793"/>
      <c r="V208" s="1793"/>
      <c r="W208" s="1793"/>
      <c r="Y208" s="740">
        <f>IF(Q208&lt;&gt;0,1,0)</f>
        <v>0</v>
      </c>
    </row>
    <row r="209" spans="2:25" s="121" customFormat="1" ht="13.5" customHeight="1" x14ac:dyDescent="0.2">
      <c r="B209" s="1797"/>
      <c r="C209" s="501"/>
      <c r="D209" s="524"/>
      <c r="E209" s="3435"/>
      <c r="F209" s="3422" t="s">
        <v>999</v>
      </c>
      <c r="G209" s="3419" t="s">
        <v>897</v>
      </c>
      <c r="H209" s="3420"/>
      <c r="I209" s="3420"/>
      <c r="J209" s="3420"/>
      <c r="K209" s="3420"/>
      <c r="L209" s="3420"/>
      <c r="M209" s="3420"/>
      <c r="N209" s="3420"/>
      <c r="O209" s="3420"/>
      <c r="P209" s="3420"/>
      <c r="Q209" s="3421"/>
      <c r="R209" s="525"/>
      <c r="S209" s="526"/>
      <c r="T209" s="1798"/>
      <c r="U209" s="1793"/>
      <c r="V209" s="1793"/>
      <c r="W209" s="1793"/>
      <c r="Y209" s="740"/>
    </row>
    <row r="210" spans="2:25" s="121" customFormat="1" ht="13.5" customHeight="1" x14ac:dyDescent="0.2">
      <c r="B210" s="1797"/>
      <c r="C210" s="501"/>
      <c r="D210" s="524"/>
      <c r="E210" s="3435"/>
      <c r="F210" s="3423"/>
      <c r="G210" s="506" t="s">
        <v>287</v>
      </c>
      <c r="H210" s="3375" t="s">
        <v>898</v>
      </c>
      <c r="I210" s="3376"/>
      <c r="J210" s="3376"/>
      <c r="K210" s="3376"/>
      <c r="L210" s="3376"/>
      <c r="M210" s="3376"/>
      <c r="N210" s="3376"/>
      <c r="O210" s="3377"/>
      <c r="P210" s="381" t="s">
        <v>9758</v>
      </c>
      <c r="Q210" s="1973"/>
      <c r="R210" s="525"/>
      <c r="S210" s="526"/>
      <c r="T210" s="1798"/>
      <c r="U210" s="1793"/>
      <c r="V210" s="1793"/>
      <c r="W210" s="1793"/>
      <c r="Y210" s="740">
        <f>IF(Q210&lt;&gt;0,1,0)</f>
        <v>0</v>
      </c>
    </row>
    <row r="211" spans="2:25" s="121" customFormat="1" ht="13.5" customHeight="1" x14ac:dyDescent="0.2">
      <c r="B211" s="1797"/>
      <c r="C211" s="501"/>
      <c r="D211" s="524"/>
      <c r="E211" s="3435"/>
      <c r="F211" s="3423"/>
      <c r="G211" s="506" t="s">
        <v>290</v>
      </c>
      <c r="H211" s="3064" t="s">
        <v>980</v>
      </c>
      <c r="I211" s="3065"/>
      <c r="J211" s="3065"/>
      <c r="K211" s="3065"/>
      <c r="L211" s="3065"/>
      <c r="M211" s="3065"/>
      <c r="N211" s="3065"/>
      <c r="O211" s="3066"/>
      <c r="P211" s="555" t="s">
        <v>9759</v>
      </c>
      <c r="Q211" s="1973"/>
      <c r="R211" s="525"/>
      <c r="S211" s="526"/>
      <c r="T211" s="1798"/>
      <c r="U211" s="1793"/>
      <c r="V211" s="1793"/>
      <c r="W211" s="1793"/>
      <c r="Y211" s="740">
        <f>IF(Q211&lt;&gt;0,1,0)</f>
        <v>0</v>
      </c>
    </row>
    <row r="212" spans="2:25" s="121" customFormat="1" ht="13.5" customHeight="1" x14ac:dyDescent="0.2">
      <c r="B212" s="1797"/>
      <c r="C212" s="501"/>
      <c r="D212" s="524"/>
      <c r="E212" s="3435"/>
      <c r="F212" s="3423"/>
      <c r="G212" s="506" t="s">
        <v>293</v>
      </c>
      <c r="H212" s="3064" t="s">
        <v>900</v>
      </c>
      <c r="I212" s="3065"/>
      <c r="J212" s="3065"/>
      <c r="K212" s="3065"/>
      <c r="L212" s="3065"/>
      <c r="M212" s="3065"/>
      <c r="N212" s="3065"/>
      <c r="O212" s="3066"/>
      <c r="P212" s="555" t="s">
        <v>9760</v>
      </c>
      <c r="Q212" s="1973"/>
      <c r="R212" s="525"/>
      <c r="S212" s="526"/>
      <c r="T212" s="1798"/>
      <c r="U212" s="1793"/>
      <c r="V212" s="1793"/>
      <c r="W212" s="1793"/>
      <c r="Y212" s="740">
        <f>IF(Q212&lt;&gt;0,1,0)</f>
        <v>0</v>
      </c>
    </row>
    <row r="213" spans="2:25" s="121" customFormat="1" ht="13.5" customHeight="1" x14ac:dyDescent="0.2">
      <c r="B213" s="1797"/>
      <c r="C213" s="501"/>
      <c r="D213" s="524"/>
      <c r="E213" s="3435"/>
      <c r="F213" s="3424"/>
      <c r="G213" s="518" t="s">
        <v>296</v>
      </c>
      <c r="H213" s="3391" t="s">
        <v>981</v>
      </c>
      <c r="I213" s="3392"/>
      <c r="J213" s="3392"/>
      <c r="K213" s="3392"/>
      <c r="L213" s="3392"/>
      <c r="M213" s="3392"/>
      <c r="N213" s="3392"/>
      <c r="O213" s="3393"/>
      <c r="P213" s="591" t="s">
        <v>934</v>
      </c>
      <c r="Q213" s="486">
        <f>SUM(Q210:Q212)</f>
        <v>0</v>
      </c>
      <c r="R213" s="525"/>
      <c r="S213" s="526"/>
      <c r="T213" s="1798"/>
      <c r="U213" s="1793"/>
      <c r="V213" s="1793"/>
      <c r="W213" s="1793"/>
      <c r="Y213" s="740"/>
    </row>
    <row r="214" spans="2:25" s="121" customFormat="1" ht="12.75" customHeight="1" x14ac:dyDescent="0.2">
      <c r="B214" s="1797"/>
      <c r="C214" s="501"/>
      <c r="D214" s="524"/>
      <c r="E214" s="3435"/>
      <c r="F214" s="523" t="s">
        <v>1000</v>
      </c>
      <c r="G214" s="604" t="s">
        <v>9767</v>
      </c>
      <c r="H214" s="605"/>
      <c r="I214" s="606"/>
      <c r="J214" s="606"/>
      <c r="K214" s="606"/>
      <c r="L214" s="606"/>
      <c r="M214" s="606"/>
      <c r="N214" s="606"/>
      <c r="O214" s="607"/>
      <c r="P214" s="516" t="s">
        <v>1349</v>
      </c>
      <c r="Q214" s="486">
        <f>(LTCG.Bii3a_FullConsideration-LTCG.Bii3biv_TotalDedn)</f>
        <v>0</v>
      </c>
      <c r="R214" s="525"/>
      <c r="S214" s="526"/>
      <c r="T214" s="1798"/>
      <c r="U214" s="1793"/>
      <c r="V214" s="1793"/>
      <c r="W214" s="1793"/>
      <c r="Y214" s="740"/>
    </row>
    <row r="215" spans="2:25" s="121" customFormat="1" ht="12" hidden="1" customHeight="1" x14ac:dyDescent="0.2">
      <c r="B215" s="1797"/>
      <c r="C215" s="501"/>
      <c r="D215" s="524"/>
      <c r="E215" s="3435"/>
      <c r="F215" s="381" t="s">
        <v>902</v>
      </c>
      <c r="G215" s="608" t="s">
        <v>990</v>
      </c>
      <c r="H215" s="517"/>
      <c r="I215" s="521"/>
      <c r="J215" s="521"/>
      <c r="K215" s="521"/>
      <c r="L215" s="521"/>
      <c r="M215" s="521"/>
      <c r="N215" s="521"/>
      <c r="O215" s="522"/>
      <c r="P215" s="2042" t="s">
        <v>902</v>
      </c>
      <c r="Q215" s="1973"/>
      <c r="R215" s="525"/>
      <c r="S215" s="526"/>
      <c r="T215" s="1798"/>
      <c r="U215" s="1793"/>
      <c r="V215" s="1793"/>
      <c r="W215" s="1793"/>
      <c r="Y215" s="740">
        <f>IF(Q215&lt;&gt;0,1,0)</f>
        <v>0</v>
      </c>
    </row>
    <row r="216" spans="2:25" s="121" customFormat="1" ht="12.75" hidden="1" customHeight="1" x14ac:dyDescent="0.2">
      <c r="B216" s="1797"/>
      <c r="C216" s="501"/>
      <c r="D216" s="524"/>
      <c r="E216" s="3435"/>
      <c r="F216" s="381" t="s">
        <v>904</v>
      </c>
      <c r="G216" s="608" t="s">
        <v>7661</v>
      </c>
      <c r="H216" s="517"/>
      <c r="I216" s="521"/>
      <c r="J216" s="521"/>
      <c r="K216" s="521"/>
      <c r="L216" s="521"/>
      <c r="M216" s="521"/>
      <c r="N216" s="521"/>
      <c r="O216" s="522"/>
      <c r="P216" s="381" t="s">
        <v>904</v>
      </c>
      <c r="Q216" s="525"/>
      <c r="R216" s="525"/>
      <c r="S216" s="526"/>
      <c r="T216" s="1798"/>
      <c r="U216" s="1793"/>
      <c r="V216" s="1793"/>
      <c r="W216" s="1793"/>
      <c r="Y216" s="740">
        <f>IF(Q216&lt;&gt;0,1,0)</f>
        <v>0</v>
      </c>
    </row>
    <row r="217" spans="2:25" s="121" customFormat="1" ht="11.25" customHeight="1" x14ac:dyDescent="0.2">
      <c r="B217" s="1797"/>
      <c r="C217" s="501"/>
      <c r="D217" s="524"/>
      <c r="E217" s="3435"/>
      <c r="F217" s="381" t="s">
        <v>1001</v>
      </c>
      <c r="G217" s="608" t="s">
        <v>984</v>
      </c>
      <c r="H217" s="517"/>
      <c r="I217" s="521"/>
      <c r="J217" s="521"/>
      <c r="K217" s="521"/>
      <c r="L217" s="521"/>
      <c r="M217" s="521"/>
      <c r="N217" s="521"/>
      <c r="O217" s="522"/>
      <c r="P217" s="381" t="s">
        <v>1001</v>
      </c>
      <c r="Q217" s="1973"/>
      <c r="R217" s="525"/>
      <c r="S217" s="526"/>
      <c r="T217" s="1798"/>
      <c r="U217" s="1793"/>
      <c r="V217" s="1793"/>
      <c r="W217" s="1793"/>
      <c r="Y217" s="740">
        <f>IF(Q217&lt;&gt;0,1,0)</f>
        <v>0</v>
      </c>
    </row>
    <row r="218" spans="2:25" s="121" customFormat="1" ht="11.25" hidden="1" customHeight="1" x14ac:dyDescent="0.2">
      <c r="B218" s="1797"/>
      <c r="C218" s="501"/>
      <c r="D218" s="524"/>
      <c r="E218" s="3435"/>
      <c r="F218" s="381" t="s">
        <v>36</v>
      </c>
      <c r="G218" s="2087" t="s">
        <v>11815</v>
      </c>
      <c r="H218" s="521"/>
      <c r="I218" s="521"/>
      <c r="J218" s="521"/>
      <c r="K218" s="521"/>
      <c r="L218" s="521"/>
      <c r="M218" s="521"/>
      <c r="N218" s="521"/>
      <c r="O218" s="521"/>
      <c r="P218" s="510" t="s">
        <v>11816</v>
      </c>
      <c r="Q218" s="525"/>
      <c r="R218" s="525"/>
      <c r="S218" s="526"/>
      <c r="T218" s="1798"/>
      <c r="U218" s="1793"/>
      <c r="V218" s="1793"/>
      <c r="W218" s="1793"/>
      <c r="Y218" s="740"/>
    </row>
    <row r="219" spans="2:25" s="121" customFormat="1" ht="12.75" customHeight="1" x14ac:dyDescent="0.2">
      <c r="B219" s="1797"/>
      <c r="C219" s="501"/>
      <c r="D219" s="524"/>
      <c r="E219" s="3436"/>
      <c r="F219" s="598" t="s">
        <v>869</v>
      </c>
      <c r="G219" s="3391" t="s">
        <v>993</v>
      </c>
      <c r="H219" s="3392"/>
      <c r="I219" s="3392"/>
      <c r="J219" s="3392"/>
      <c r="K219" s="3392"/>
      <c r="L219" s="3392"/>
      <c r="M219" s="3392"/>
      <c r="N219" s="3392"/>
      <c r="O219" s="3392"/>
      <c r="P219" s="3392"/>
      <c r="Q219" s="3393"/>
      <c r="R219" s="1744" t="s">
        <v>994</v>
      </c>
      <c r="S219" s="1462">
        <f>IF(LTCG.Bii3c_BalanceCG&lt;0,LTCG.Bii3c_BalanceCG,IF(LTCG.B04di_ExemptionGrandTotal&gt;LTCG.Bii3c_BalanceCG,0,LTCG.Bii3c_BalanceCG-LTCG.B04di_ExemptionGrandTotal))</f>
        <v>0</v>
      </c>
      <c r="T219" s="1798"/>
      <c r="U219" s="1793"/>
      <c r="V219" s="1793"/>
      <c r="W219" s="1793"/>
      <c r="Y219" s="740"/>
    </row>
    <row r="220" spans="2:25" s="121" customFormat="1" ht="12.75" customHeight="1" x14ac:dyDescent="0.2">
      <c r="B220" s="1797"/>
      <c r="C220" s="501"/>
      <c r="D220" s="524"/>
      <c r="E220" s="1939">
        <v>5</v>
      </c>
      <c r="F220" s="3385" t="s">
        <v>8977</v>
      </c>
      <c r="G220" s="3386"/>
      <c r="H220" s="3386"/>
      <c r="I220" s="3386"/>
      <c r="J220" s="3386"/>
      <c r="K220" s="3386"/>
      <c r="L220" s="3386"/>
      <c r="M220" s="3386"/>
      <c r="N220" s="3386"/>
      <c r="O220" s="3386"/>
      <c r="P220" s="3386"/>
      <c r="Q220" s="3386"/>
      <c r="R220" s="531"/>
      <c r="S220" s="1746"/>
      <c r="T220" s="1798"/>
      <c r="U220" s="1793"/>
      <c r="V220" s="1793"/>
      <c r="W220" s="1793"/>
      <c r="Y220" s="740"/>
    </row>
    <row r="221" spans="2:25" s="121" customFormat="1" ht="12.75" customHeight="1" x14ac:dyDescent="0.2">
      <c r="B221" s="1797"/>
      <c r="C221" s="501"/>
      <c r="D221" s="524"/>
      <c r="E221" s="1939"/>
      <c r="F221" s="381" t="s">
        <v>27</v>
      </c>
      <c r="G221" s="3416" t="s">
        <v>12068</v>
      </c>
      <c r="H221" s="3417"/>
      <c r="I221" s="3417"/>
      <c r="J221" s="3417"/>
      <c r="K221" s="3417"/>
      <c r="L221" s="3417"/>
      <c r="M221" s="3417"/>
      <c r="N221" s="3417"/>
      <c r="O221" s="3418"/>
      <c r="P221" s="381" t="s">
        <v>527</v>
      </c>
      <c r="Q221" s="1459">
        <f>ROUND(Total_Balance_112A,0)</f>
        <v>0</v>
      </c>
      <c r="R221" s="525"/>
      <c r="S221" s="1747"/>
      <c r="T221" s="1798"/>
      <c r="U221" s="1793"/>
      <c r="V221" s="1793"/>
      <c r="W221" s="1793"/>
      <c r="Y221" s="740"/>
    </row>
    <row r="222" spans="2:25" s="121" customFormat="1" ht="12.75" customHeight="1" x14ac:dyDescent="0.2">
      <c r="B222" s="1797"/>
      <c r="C222" s="501"/>
      <c r="D222" s="524"/>
      <c r="E222" s="1939"/>
      <c r="F222" s="381" t="s">
        <v>28</v>
      </c>
      <c r="G222" s="3416" t="s">
        <v>1011</v>
      </c>
      <c r="H222" s="3417"/>
      <c r="I222" s="3417"/>
      <c r="J222" s="3417"/>
      <c r="K222" s="3417"/>
      <c r="L222" s="3417"/>
      <c r="M222" s="3417"/>
      <c r="N222" s="3417"/>
      <c r="O222" s="3418"/>
      <c r="P222" s="381" t="s">
        <v>528</v>
      </c>
      <c r="Q222" s="1390"/>
      <c r="R222" s="1748"/>
      <c r="S222" s="1749"/>
      <c r="T222" s="1798"/>
      <c r="U222" s="1793"/>
      <c r="V222" s="1793"/>
      <c r="W222" s="1793"/>
      <c r="Y222" s="740"/>
    </row>
    <row r="223" spans="2:25" s="121" customFormat="1" ht="12.75" customHeight="1" x14ac:dyDescent="0.2">
      <c r="B223" s="1797"/>
      <c r="C223" s="501"/>
      <c r="D223" s="524"/>
      <c r="E223" s="1939"/>
      <c r="F223" s="2513" t="s">
        <v>29</v>
      </c>
      <c r="G223" s="3425" t="s">
        <v>12072</v>
      </c>
      <c r="H223" s="3426"/>
      <c r="I223" s="3426"/>
      <c r="J223" s="3426"/>
      <c r="K223" s="3426"/>
      <c r="L223" s="3426"/>
      <c r="M223" s="3426"/>
      <c r="N223" s="3426"/>
      <c r="O223" s="3426"/>
      <c r="P223" s="3426"/>
      <c r="Q223" s="3427"/>
      <c r="R223" s="1745" t="s">
        <v>7280</v>
      </c>
      <c r="S223" s="1459">
        <f>IF(LTCG.5.LTCG_AfterThreshold&lt;0,LTCG.5.LTCG_AfterThreshold,IF(B5_DeductionTotal&gt;LTCG.5.LTCG_AfterThreshold,0,LTCG.5.LTCG_AfterThreshold-B5_DeductionTotal))</f>
        <v>0</v>
      </c>
      <c r="T223" s="1798"/>
      <c r="U223" s="1793"/>
      <c r="V223" s="1793"/>
      <c r="W223" s="1793"/>
      <c r="Y223" s="740"/>
    </row>
    <row r="224" spans="2:25" s="121" customFormat="1" ht="12.75" hidden="1" customHeight="1" x14ac:dyDescent="0.2">
      <c r="B224" s="1797"/>
      <c r="C224" s="501"/>
      <c r="D224" s="524"/>
      <c r="E224" s="611">
        <v>6</v>
      </c>
      <c r="F224" s="3385" t="s">
        <v>8223</v>
      </c>
      <c r="G224" s="3386"/>
      <c r="H224" s="3386"/>
      <c r="I224" s="3386"/>
      <c r="J224" s="3386"/>
      <c r="K224" s="3386"/>
      <c r="L224" s="3386"/>
      <c r="M224" s="3386"/>
      <c r="N224" s="3386"/>
      <c r="O224" s="3386"/>
      <c r="P224" s="3386"/>
      <c r="Q224" s="3387"/>
      <c r="R224" s="525"/>
      <c r="S224" s="526"/>
      <c r="T224" s="1798"/>
      <c r="U224" s="1793"/>
      <c r="V224" s="1793"/>
      <c r="W224" s="1793"/>
      <c r="Y224" s="740">
        <f t="shared" ref="Y224:Y229" si="0">IF(Q224&lt;&gt;0,1,0)</f>
        <v>0</v>
      </c>
    </row>
    <row r="225" spans="2:25" s="121" customFormat="1" ht="12.75" hidden="1" customHeight="1" x14ac:dyDescent="0.2">
      <c r="B225" s="1797"/>
      <c r="C225" s="501"/>
      <c r="D225" s="1753"/>
      <c r="E225" s="613"/>
      <c r="F225" s="1792" t="s">
        <v>27</v>
      </c>
      <c r="G225" s="614" t="s">
        <v>995</v>
      </c>
      <c r="H225" s="600"/>
      <c r="I225" s="600"/>
      <c r="J225" s="600"/>
      <c r="K225" s="600"/>
      <c r="L225" s="600"/>
      <c r="M225" s="600"/>
      <c r="N225" s="600"/>
      <c r="O225" s="600"/>
      <c r="P225" s="2042" t="s">
        <v>405</v>
      </c>
      <c r="Q225" s="2656"/>
      <c r="R225" s="525"/>
      <c r="S225" s="526"/>
      <c r="T225" s="1798"/>
      <c r="U225" s="1793"/>
      <c r="V225" s="1793"/>
      <c r="W225" s="1793"/>
      <c r="Y225" s="740">
        <f t="shared" si="0"/>
        <v>0</v>
      </c>
    </row>
    <row r="226" spans="2:25" s="121" customFormat="1" ht="12.75" hidden="1" customHeight="1" x14ac:dyDescent="0.2">
      <c r="B226" s="1797"/>
      <c r="C226" s="501"/>
      <c r="D226" s="1753"/>
      <c r="E226" s="615"/>
      <c r="F226" s="1792" t="s">
        <v>28</v>
      </c>
      <c r="G226" s="614" t="s">
        <v>8224</v>
      </c>
      <c r="H226" s="600"/>
      <c r="I226" s="600"/>
      <c r="J226" s="600"/>
      <c r="K226" s="600"/>
      <c r="L226" s="600"/>
      <c r="M226" s="600"/>
      <c r="N226" s="600"/>
      <c r="O226" s="600"/>
      <c r="P226" s="2042" t="s">
        <v>407</v>
      </c>
      <c r="Q226" s="2656"/>
      <c r="R226" s="525"/>
      <c r="S226" s="526"/>
      <c r="T226" s="1798"/>
      <c r="U226" s="1793"/>
      <c r="V226" s="1793"/>
      <c r="W226" s="1793"/>
      <c r="Y226" s="740">
        <f t="shared" si="0"/>
        <v>0</v>
      </c>
    </row>
    <row r="227" spans="2:25" s="121" customFormat="1" ht="12.75" hidden="1" customHeight="1" x14ac:dyDescent="0.2">
      <c r="B227" s="1797"/>
      <c r="C227" s="501"/>
      <c r="D227" s="1753"/>
      <c r="E227" s="617"/>
      <c r="F227" s="598" t="s">
        <v>29</v>
      </c>
      <c r="G227" s="1784" t="s">
        <v>8982</v>
      </c>
      <c r="H227" s="590"/>
      <c r="I227" s="590"/>
      <c r="J227" s="590"/>
      <c r="K227" s="590"/>
      <c r="L227" s="590"/>
      <c r="M227" s="590"/>
      <c r="N227" s="590"/>
      <c r="O227" s="590"/>
      <c r="P227" s="590"/>
      <c r="Q227" s="616"/>
      <c r="R227" s="520" t="s">
        <v>8981</v>
      </c>
      <c r="S227" s="262">
        <f>IF(Q225&lt;0,Q225,IF(LTCG.B06d_ExemptionGrandTotal&gt;Q225,0,Q225-LTCG.B06d_ExemptionGrandTotal))</f>
        <v>0</v>
      </c>
      <c r="T227" s="1798"/>
      <c r="U227" s="1793"/>
      <c r="V227" s="1793"/>
      <c r="W227" s="1793"/>
      <c r="Y227" s="740">
        <f t="shared" si="0"/>
        <v>0</v>
      </c>
    </row>
    <row r="228" spans="2:25" s="121" customFormat="1" ht="12.75" hidden="1" customHeight="1" x14ac:dyDescent="0.2">
      <c r="B228" s="1797"/>
      <c r="C228" s="501"/>
      <c r="D228" s="524"/>
      <c r="E228" s="618">
        <v>7</v>
      </c>
      <c r="F228" s="3513" t="s">
        <v>996</v>
      </c>
      <c r="G228" s="3514"/>
      <c r="H228" s="3514"/>
      <c r="I228" s="3514"/>
      <c r="J228" s="3514"/>
      <c r="K228" s="3514"/>
      <c r="L228" s="3514"/>
      <c r="M228" s="3514"/>
      <c r="N228" s="3514"/>
      <c r="O228" s="3514"/>
      <c r="P228" s="3514"/>
      <c r="Q228" s="3515"/>
      <c r="R228" s="525"/>
      <c r="S228" s="526"/>
      <c r="T228" s="1798"/>
      <c r="U228" s="1793"/>
      <c r="V228" s="1793"/>
      <c r="W228" s="1793"/>
      <c r="Y228" s="740">
        <f t="shared" si="0"/>
        <v>0</v>
      </c>
    </row>
    <row r="229" spans="2:25" s="121" customFormat="1" ht="12.75" hidden="1" customHeight="1" x14ac:dyDescent="0.2">
      <c r="B229" s="1797"/>
      <c r="C229" s="501"/>
      <c r="D229" s="524"/>
      <c r="E229" s="533"/>
      <c r="F229" s="3378" t="s">
        <v>987</v>
      </c>
      <c r="G229" s="3378" t="s">
        <v>287</v>
      </c>
      <c r="H229" s="3410" t="s">
        <v>8310</v>
      </c>
      <c r="I229" s="3411"/>
      <c r="J229" s="3411"/>
      <c r="K229" s="3411"/>
      <c r="L229" s="3411"/>
      <c r="M229" s="3411"/>
      <c r="N229" s="3411"/>
      <c r="O229" s="3411"/>
      <c r="P229" s="3411" t="s">
        <v>1350</v>
      </c>
      <c r="Q229" s="3412">
        <v>0</v>
      </c>
      <c r="R229" s="525"/>
      <c r="S229" s="526"/>
      <c r="T229" s="1798"/>
      <c r="U229" s="1793"/>
      <c r="V229" s="1793"/>
      <c r="W229" s="1793"/>
      <c r="Y229" s="740">
        <f t="shared" si="0"/>
        <v>0</v>
      </c>
    </row>
    <row r="230" spans="2:25" s="121" customFormat="1" ht="12.75" hidden="1" customHeight="1" x14ac:dyDescent="0.2">
      <c r="B230" s="1797"/>
      <c r="C230" s="501"/>
      <c r="D230" s="524"/>
      <c r="E230" s="533"/>
      <c r="F230" s="3379"/>
      <c r="G230" s="3379"/>
      <c r="H230" s="544" t="s">
        <v>27</v>
      </c>
      <c r="I230" s="3381" t="s">
        <v>8311</v>
      </c>
      <c r="J230" s="3382"/>
      <c r="K230" s="3382"/>
      <c r="L230" s="3382"/>
      <c r="M230" s="3382"/>
      <c r="N230" s="3382"/>
      <c r="O230" s="3383"/>
      <c r="P230" s="2042" t="s">
        <v>8983</v>
      </c>
      <c r="Q230" s="2656"/>
      <c r="R230" s="525"/>
      <c r="S230" s="526"/>
      <c r="T230" s="1798"/>
      <c r="U230" s="1793"/>
      <c r="V230" s="1793"/>
      <c r="W230" s="1793"/>
      <c r="Y230" s="740">
        <f>IF(LTCG.B6aia_FullConsideration&lt;&gt;0,1,0)</f>
        <v>0</v>
      </c>
    </row>
    <row r="231" spans="2:25" s="121" customFormat="1" ht="12.75" hidden="1" customHeight="1" x14ac:dyDescent="0.2">
      <c r="B231" s="1797"/>
      <c r="C231" s="501"/>
      <c r="D231" s="524"/>
      <c r="E231" s="533"/>
      <c r="F231" s="3379"/>
      <c r="G231" s="3379"/>
      <c r="H231" s="544" t="s">
        <v>28</v>
      </c>
      <c r="I231" s="3381" t="s">
        <v>8312</v>
      </c>
      <c r="J231" s="3382"/>
      <c r="K231" s="3382"/>
      <c r="L231" s="3382"/>
      <c r="M231" s="3382"/>
      <c r="N231" s="3382"/>
      <c r="O231" s="3383"/>
      <c r="P231" s="2042" t="s">
        <v>8773</v>
      </c>
      <c r="Q231" s="2656"/>
      <c r="R231" s="525"/>
      <c r="S231" s="526"/>
      <c r="T231" s="1798"/>
      <c r="U231" s="1793"/>
      <c r="V231" s="1793"/>
      <c r="W231" s="1793"/>
      <c r="Y231" s="740">
        <f>IF(LTCG.B6aib_FullMarketValue&lt;&gt;0,1,0)</f>
        <v>0</v>
      </c>
    </row>
    <row r="232" spans="2:25" s="121" customFormat="1" ht="25.5" hidden="1" customHeight="1" x14ac:dyDescent="0.2">
      <c r="B232" s="1797"/>
      <c r="C232" s="501"/>
      <c r="D232" s="524"/>
      <c r="E232" s="533"/>
      <c r="F232" s="3379"/>
      <c r="G232" s="3380"/>
      <c r="H232" s="544" t="s">
        <v>29</v>
      </c>
      <c r="I232" s="3428" t="s">
        <v>8313</v>
      </c>
      <c r="J232" s="3429"/>
      <c r="K232" s="3429"/>
      <c r="L232" s="3429"/>
      <c r="M232" s="3429"/>
      <c r="N232" s="3429"/>
      <c r="O232" s="3430"/>
      <c r="P232" s="520" t="s">
        <v>8774</v>
      </c>
      <c r="Q232" s="210">
        <f>MAX(LTCG.B6aia_FullConsideration,LTCG.B6aib_FullMarketValue)</f>
        <v>0</v>
      </c>
      <c r="R232" s="525"/>
      <c r="S232" s="526"/>
      <c r="T232" s="1798"/>
      <c r="U232" s="1793"/>
      <c r="V232" s="1793"/>
      <c r="W232" s="1793"/>
      <c r="Y232" s="740">
        <f>IF(LTCG.B6aic_FullConsideration50CA&lt;&gt;0,1,0)</f>
        <v>0</v>
      </c>
    </row>
    <row r="233" spans="2:25" s="121" customFormat="1" ht="12.75" hidden="1" customHeight="1" x14ac:dyDescent="0.2">
      <c r="B233" s="1797"/>
      <c r="C233" s="501"/>
      <c r="D233" s="524"/>
      <c r="E233" s="533"/>
      <c r="F233" s="3379"/>
      <c r="G233" s="544" t="s">
        <v>290</v>
      </c>
      <c r="H233" s="3381" t="s">
        <v>8314</v>
      </c>
      <c r="I233" s="3382"/>
      <c r="J233" s="3382"/>
      <c r="K233" s="3382"/>
      <c r="L233" s="3382"/>
      <c r="M233" s="3382"/>
      <c r="N233" s="3382"/>
      <c r="O233" s="3383"/>
      <c r="P233" s="2042" t="s">
        <v>339</v>
      </c>
      <c r="Q233" s="2656"/>
      <c r="R233" s="525"/>
      <c r="S233" s="526"/>
      <c r="T233" s="1798"/>
      <c r="U233" s="1793"/>
      <c r="V233" s="1793"/>
      <c r="W233" s="1793"/>
      <c r="Y233" s="740">
        <f>IF(LTCG.B6aii_FullConsiderationS&lt;&gt;0,1,0)</f>
        <v>0</v>
      </c>
    </row>
    <row r="234" spans="2:25" s="121" customFormat="1" ht="12.75" hidden="1" customHeight="1" x14ac:dyDescent="0.2">
      <c r="B234" s="1797"/>
      <c r="C234" s="501"/>
      <c r="D234" s="524"/>
      <c r="E234" s="533"/>
      <c r="F234" s="3380"/>
      <c r="G234" s="544" t="s">
        <v>293</v>
      </c>
      <c r="H234" s="3381" t="s">
        <v>8315</v>
      </c>
      <c r="I234" s="3382"/>
      <c r="J234" s="3382"/>
      <c r="K234" s="3382"/>
      <c r="L234" s="3382"/>
      <c r="M234" s="3382"/>
      <c r="N234" s="3382"/>
      <c r="O234" s="3383"/>
      <c r="P234" s="520" t="s">
        <v>318</v>
      </c>
      <c r="Q234" s="210">
        <f>SUM(LTCG.B6aic_FullConsideration50CA,LTCG.B6aii_FullConsiderationS)</f>
        <v>0</v>
      </c>
      <c r="R234" s="525"/>
      <c r="S234" s="526"/>
      <c r="T234" s="1798"/>
      <c r="U234" s="1793"/>
      <c r="V234" s="1793"/>
      <c r="W234" s="1793"/>
      <c r="Y234" s="740"/>
    </row>
    <row r="235" spans="2:25" s="121" customFormat="1" ht="11.25" hidden="1" customHeight="1" x14ac:dyDescent="0.2">
      <c r="B235" s="1797"/>
      <c r="C235" s="501"/>
      <c r="D235" s="524"/>
      <c r="E235" s="533"/>
      <c r="F235" s="620" t="s">
        <v>988</v>
      </c>
      <c r="G235" s="1772" t="s">
        <v>897</v>
      </c>
      <c r="H235" s="621"/>
      <c r="I235" s="600"/>
      <c r="J235" s="600"/>
      <c r="K235" s="600"/>
      <c r="L235" s="600"/>
      <c r="M235" s="600"/>
      <c r="N235" s="600"/>
      <c r="O235" s="600"/>
      <c r="P235" s="541"/>
      <c r="Q235" s="542"/>
      <c r="R235" s="525"/>
      <c r="S235" s="526"/>
      <c r="T235" s="1798"/>
      <c r="U235" s="1793"/>
      <c r="V235" s="1793"/>
      <c r="W235" s="1793"/>
      <c r="Y235" s="740">
        <f t="shared" ref="Y235:Y240" si="1">IF(Q235&lt;&gt;0,1,0)</f>
        <v>0</v>
      </c>
    </row>
    <row r="236" spans="2:25" s="121" customFormat="1" ht="12.75" hidden="1" customHeight="1" x14ac:dyDescent="0.2">
      <c r="B236" s="1797"/>
      <c r="C236" s="501"/>
      <c r="D236" s="524"/>
      <c r="E236" s="622"/>
      <c r="F236" s="620"/>
      <c r="G236" s="623" t="s">
        <v>287</v>
      </c>
      <c r="H236" s="624" t="s">
        <v>898</v>
      </c>
      <c r="I236" s="601"/>
      <c r="J236" s="601"/>
      <c r="K236" s="601"/>
      <c r="L236" s="601"/>
      <c r="M236" s="601"/>
      <c r="N236" s="601"/>
      <c r="O236" s="601"/>
      <c r="P236" s="381" t="s">
        <v>8985</v>
      </c>
      <c r="Q236" s="2656"/>
      <c r="R236" s="525"/>
      <c r="S236" s="526"/>
      <c r="T236" s="1798"/>
      <c r="U236" s="1793"/>
      <c r="V236" s="1793"/>
      <c r="W236" s="1793"/>
      <c r="Y236" s="740">
        <f t="shared" si="1"/>
        <v>0</v>
      </c>
    </row>
    <row r="237" spans="2:25" s="121" customFormat="1" ht="12.75" hidden="1" customHeight="1" x14ac:dyDescent="0.2">
      <c r="B237" s="1797"/>
      <c r="C237" s="501"/>
      <c r="D237" s="524"/>
      <c r="E237" s="622"/>
      <c r="F237" s="540"/>
      <c r="G237" s="623" t="s">
        <v>290</v>
      </c>
      <c r="H237" s="625" t="s">
        <v>980</v>
      </c>
      <c r="I237" s="602"/>
      <c r="J237" s="602"/>
      <c r="K237" s="602"/>
      <c r="L237" s="602"/>
      <c r="M237" s="602"/>
      <c r="N237" s="602"/>
      <c r="O237" s="603"/>
      <c r="P237" s="555" t="s">
        <v>292</v>
      </c>
      <c r="Q237" s="2656"/>
      <c r="R237" s="525"/>
      <c r="S237" s="526"/>
      <c r="T237" s="1798"/>
      <c r="U237" s="1793"/>
      <c r="V237" s="1793"/>
      <c r="W237" s="1793"/>
      <c r="Y237" s="740">
        <f t="shared" si="1"/>
        <v>0</v>
      </c>
    </row>
    <row r="238" spans="2:25" s="121" customFormat="1" ht="12.75" hidden="1" customHeight="1" x14ac:dyDescent="0.2">
      <c r="B238" s="1797"/>
      <c r="C238" s="501"/>
      <c r="D238" s="524"/>
      <c r="E238" s="622"/>
      <c r="F238" s="540"/>
      <c r="G238" s="623" t="s">
        <v>293</v>
      </c>
      <c r="H238" s="626" t="s">
        <v>900</v>
      </c>
      <c r="I238" s="547"/>
      <c r="J238" s="547"/>
      <c r="K238" s="547"/>
      <c r="L238" s="547"/>
      <c r="M238" s="547"/>
      <c r="N238" s="547"/>
      <c r="O238" s="548"/>
      <c r="P238" s="555" t="s">
        <v>295</v>
      </c>
      <c r="Q238" s="2656"/>
      <c r="R238" s="525"/>
      <c r="S238" s="526"/>
      <c r="T238" s="1798"/>
      <c r="U238" s="1793"/>
      <c r="V238" s="1793"/>
      <c r="W238" s="1793"/>
      <c r="Y238" s="740">
        <f t="shared" si="1"/>
        <v>0</v>
      </c>
    </row>
    <row r="239" spans="2:25" s="121" customFormat="1" ht="12.75" hidden="1" customHeight="1" x14ac:dyDescent="0.2">
      <c r="B239" s="1797"/>
      <c r="C239" s="501"/>
      <c r="D239" s="524"/>
      <c r="E239" s="622"/>
      <c r="F239" s="29"/>
      <c r="G239" s="591" t="s">
        <v>296</v>
      </c>
      <c r="H239" s="1784" t="s">
        <v>981</v>
      </c>
      <c r="I239" s="627"/>
      <c r="J239" s="627"/>
      <c r="K239" s="627"/>
      <c r="L239" s="627"/>
      <c r="M239" s="627"/>
      <c r="N239" s="627"/>
      <c r="O239" s="628"/>
      <c r="P239" s="520" t="s">
        <v>298</v>
      </c>
      <c r="Q239" s="478">
        <f>SUM(Q236:Q238)</f>
        <v>0</v>
      </c>
      <c r="R239" s="525"/>
      <c r="S239" s="526"/>
      <c r="T239" s="1798"/>
      <c r="U239" s="1793"/>
      <c r="V239" s="1793"/>
      <c r="W239" s="1793"/>
      <c r="Y239" s="740">
        <f t="shared" si="1"/>
        <v>0</v>
      </c>
    </row>
    <row r="240" spans="2:25" s="121" customFormat="1" ht="12.75" hidden="1" customHeight="1" x14ac:dyDescent="0.2">
      <c r="B240" s="1797"/>
      <c r="C240" s="501"/>
      <c r="D240" s="524"/>
      <c r="E240" s="533"/>
      <c r="F240" s="629" t="s">
        <v>989</v>
      </c>
      <c r="G240" s="630" t="s">
        <v>8984</v>
      </c>
      <c r="H240" s="631"/>
      <c r="I240" s="521"/>
      <c r="J240" s="521"/>
      <c r="K240" s="521"/>
      <c r="L240" s="521"/>
      <c r="M240" s="521"/>
      <c r="N240" s="521"/>
      <c r="O240" s="522"/>
      <c r="P240" s="520" t="s">
        <v>8986</v>
      </c>
      <c r="Q240" s="478">
        <f>(Q234-Q239)</f>
        <v>0</v>
      </c>
      <c r="R240" s="525"/>
      <c r="S240" s="526"/>
      <c r="T240" s="1798"/>
      <c r="U240" s="1793"/>
      <c r="V240" s="1793"/>
      <c r="W240" s="1793"/>
      <c r="Y240" s="740">
        <f t="shared" si="1"/>
        <v>0</v>
      </c>
    </row>
    <row r="241" spans="2:25" s="121" customFormat="1" ht="12.75" hidden="1" customHeight="1" x14ac:dyDescent="0.2">
      <c r="B241" s="1797"/>
      <c r="C241" s="501"/>
      <c r="D241" s="524"/>
      <c r="E241" s="533"/>
      <c r="F241" s="381" t="s">
        <v>991</v>
      </c>
      <c r="G241" s="619" t="s">
        <v>984</v>
      </c>
      <c r="H241" s="515"/>
      <c r="I241" s="521"/>
      <c r="J241" s="521"/>
      <c r="K241" s="521"/>
      <c r="L241" s="521"/>
      <c r="M241" s="521"/>
      <c r="N241" s="521"/>
      <c r="O241" s="522"/>
      <c r="P241" s="381" t="s">
        <v>36</v>
      </c>
      <c r="Q241" s="2656"/>
      <c r="R241" s="525"/>
      <c r="S241" s="526"/>
      <c r="T241" s="1798"/>
      <c r="U241" s="1793"/>
      <c r="V241" s="1793"/>
      <c r="W241" s="1793"/>
      <c r="X241" s="1815"/>
      <c r="Y241" s="740">
        <f t="shared" ref="Y241:Y314" si="2">IF(Q241&lt;&gt;0,1,0)</f>
        <v>0</v>
      </c>
    </row>
    <row r="242" spans="2:25" s="121" customFormat="1" ht="12.75" hidden="1" customHeight="1" x14ac:dyDescent="0.2">
      <c r="B242" s="1797"/>
      <c r="C242" s="501"/>
      <c r="D242" s="524"/>
      <c r="E242" s="533"/>
      <c r="F242" s="518" t="s">
        <v>929</v>
      </c>
      <c r="G242" s="1784" t="s">
        <v>12749</v>
      </c>
      <c r="H242" s="554"/>
      <c r="I242" s="1782"/>
      <c r="J242" s="1782"/>
      <c r="K242" s="1782"/>
      <c r="L242" s="1782"/>
      <c r="M242" s="1782"/>
      <c r="N242" s="1782"/>
      <c r="O242" s="1782"/>
      <c r="P242" s="1782"/>
      <c r="Q242" s="1783"/>
      <c r="R242" s="520" t="s">
        <v>8987</v>
      </c>
      <c r="S242" s="262">
        <f>IF(Q240&lt;0,Q240,IF(LTCG.B07dii_ExemptionGrandTotal&gt;Q240,0,Q240-LTCG.B07dii_ExemptionGrandTotal))</f>
        <v>0</v>
      </c>
      <c r="T242" s="1798"/>
      <c r="U242" s="1793"/>
      <c r="V242" s="1793"/>
      <c r="W242" s="1793"/>
      <c r="Y242" s="740">
        <f t="shared" si="2"/>
        <v>0</v>
      </c>
    </row>
    <row r="243" spans="2:25" s="121" customFormat="1" ht="12.75" hidden="1" customHeight="1" x14ac:dyDescent="0.2">
      <c r="B243" s="1797"/>
      <c r="C243" s="501"/>
      <c r="D243" s="524"/>
      <c r="E243" s="533"/>
      <c r="F243" s="3513" t="s">
        <v>997</v>
      </c>
      <c r="G243" s="3514"/>
      <c r="H243" s="3514"/>
      <c r="I243" s="3514"/>
      <c r="J243" s="3514"/>
      <c r="K243" s="3514"/>
      <c r="L243" s="3514"/>
      <c r="M243" s="3514"/>
      <c r="N243" s="3514"/>
      <c r="O243" s="3514"/>
      <c r="P243" s="3514"/>
      <c r="Q243" s="3515"/>
      <c r="R243" s="525"/>
      <c r="S243" s="526"/>
      <c r="T243" s="1798"/>
      <c r="U243" s="1793"/>
      <c r="V243" s="1793"/>
      <c r="W243" s="1793"/>
      <c r="Y243" s="740">
        <f t="shared" si="2"/>
        <v>0</v>
      </c>
    </row>
    <row r="244" spans="2:25" s="121" customFormat="1" ht="12.75" hidden="1" customHeight="1" x14ac:dyDescent="0.2">
      <c r="B244" s="1797"/>
      <c r="C244" s="501"/>
      <c r="D244" s="524"/>
      <c r="E244" s="533"/>
      <c r="F244" s="3378" t="s">
        <v>998</v>
      </c>
      <c r="G244" s="3378" t="s">
        <v>287</v>
      </c>
      <c r="H244" s="3410" t="s">
        <v>8310</v>
      </c>
      <c r="I244" s="3411"/>
      <c r="J244" s="3411"/>
      <c r="K244" s="3411"/>
      <c r="L244" s="3411"/>
      <c r="M244" s="3411"/>
      <c r="N244" s="3411"/>
      <c r="O244" s="3411"/>
      <c r="P244" s="3411"/>
      <c r="Q244" s="3412"/>
      <c r="R244" s="525"/>
      <c r="S244" s="526"/>
      <c r="T244" s="1798"/>
      <c r="U244" s="1793"/>
      <c r="V244" s="1793"/>
      <c r="W244" s="1793"/>
      <c r="Y244" s="740"/>
    </row>
    <row r="245" spans="2:25" s="121" customFormat="1" ht="12.75" hidden="1" customHeight="1" x14ac:dyDescent="0.2">
      <c r="B245" s="1797"/>
      <c r="C245" s="501"/>
      <c r="D245" s="524"/>
      <c r="E245" s="533"/>
      <c r="F245" s="3379"/>
      <c r="G245" s="3379"/>
      <c r="H245" s="544" t="s">
        <v>27</v>
      </c>
      <c r="I245" s="3381" t="s">
        <v>8311</v>
      </c>
      <c r="J245" s="3382"/>
      <c r="K245" s="3382"/>
      <c r="L245" s="3382"/>
      <c r="M245" s="3382"/>
      <c r="N245" s="3382"/>
      <c r="O245" s="3383"/>
      <c r="P245" s="381" t="s">
        <v>8988</v>
      </c>
      <c r="Q245" s="2656"/>
      <c r="R245" s="525"/>
      <c r="S245" s="526"/>
      <c r="T245" s="1798"/>
      <c r="U245" s="1793"/>
      <c r="V245" s="1793"/>
      <c r="W245" s="1793"/>
      <c r="Y245" s="740">
        <f>IF(LTCG.B6ibia_FullConsideration&lt;&gt;0,1,0)</f>
        <v>0</v>
      </c>
    </row>
    <row r="246" spans="2:25" s="121" customFormat="1" ht="12.75" hidden="1" customHeight="1" x14ac:dyDescent="0.2">
      <c r="B246" s="1797"/>
      <c r="C246" s="501"/>
      <c r="D246" s="524"/>
      <c r="E246" s="533"/>
      <c r="F246" s="3379"/>
      <c r="G246" s="3379"/>
      <c r="H246" s="544" t="s">
        <v>28</v>
      </c>
      <c r="I246" s="3381" t="s">
        <v>8312</v>
      </c>
      <c r="J246" s="3382"/>
      <c r="K246" s="3382"/>
      <c r="L246" s="3382"/>
      <c r="M246" s="3382"/>
      <c r="N246" s="3382"/>
      <c r="O246" s="3383"/>
      <c r="P246" s="381" t="s">
        <v>8778</v>
      </c>
      <c r="Q246" s="2656"/>
      <c r="R246" s="525"/>
      <c r="S246" s="526"/>
      <c r="T246" s="1798"/>
      <c r="U246" s="1793"/>
      <c r="V246" s="1793"/>
      <c r="W246" s="1793"/>
      <c r="Y246" s="740">
        <f>IF(LTCG.B6ibib_FullMarketValue&lt;&gt;0,1,0)</f>
        <v>0</v>
      </c>
    </row>
    <row r="247" spans="2:25" s="121" customFormat="1" ht="26.25" hidden="1" customHeight="1" x14ac:dyDescent="0.2">
      <c r="B247" s="1797"/>
      <c r="C247" s="501"/>
      <c r="D247" s="524"/>
      <c r="E247" s="533"/>
      <c r="F247" s="3379"/>
      <c r="G247" s="3380"/>
      <c r="H247" s="544" t="s">
        <v>29</v>
      </c>
      <c r="I247" s="3428" t="s">
        <v>8313</v>
      </c>
      <c r="J247" s="3429"/>
      <c r="K247" s="3429"/>
      <c r="L247" s="3429"/>
      <c r="M247" s="3429"/>
      <c r="N247" s="3429"/>
      <c r="O247" s="3430"/>
      <c r="P247" s="520" t="s">
        <v>8779</v>
      </c>
      <c r="Q247" s="478">
        <f>MAX(LTCG.B6ibia_FullConsideration,LTCG.B6ibib_FullMarketValue)</f>
        <v>0</v>
      </c>
      <c r="R247" s="525"/>
      <c r="S247" s="526"/>
      <c r="T247" s="1798"/>
      <c r="U247" s="1793"/>
      <c r="V247" s="1793"/>
      <c r="W247" s="1793"/>
      <c r="Y247" s="740">
        <f>IF(LTCG.B6ibic_FullConsideration&lt;&gt;0,1,0)</f>
        <v>0</v>
      </c>
    </row>
    <row r="248" spans="2:25" s="121" customFormat="1" ht="12.75" hidden="1" customHeight="1" x14ac:dyDescent="0.2">
      <c r="B248" s="1797"/>
      <c r="C248" s="501"/>
      <c r="D248" s="524"/>
      <c r="E248" s="533"/>
      <c r="F248" s="3379"/>
      <c r="G248" s="544" t="s">
        <v>290</v>
      </c>
      <c r="H248" s="3381" t="s">
        <v>8314</v>
      </c>
      <c r="I248" s="3382"/>
      <c r="J248" s="3382"/>
      <c r="K248" s="3382"/>
      <c r="L248" s="3382"/>
      <c r="M248" s="3382"/>
      <c r="N248" s="3382"/>
      <c r="O248" s="3383"/>
      <c r="P248" s="381" t="s">
        <v>8780</v>
      </c>
      <c r="Q248" s="2656"/>
      <c r="R248" s="525"/>
      <c r="S248" s="526"/>
      <c r="T248" s="1798"/>
      <c r="U248" s="1793"/>
      <c r="V248" s="1793"/>
      <c r="W248" s="1793"/>
      <c r="Y248" s="740">
        <f>IF(LTCG.B6ibii_FullConsideration50CA&lt;&gt;0,1,0)</f>
        <v>0</v>
      </c>
    </row>
    <row r="249" spans="2:25" s="121" customFormat="1" ht="12.75" hidden="1" customHeight="1" x14ac:dyDescent="0.2">
      <c r="B249" s="1797"/>
      <c r="C249" s="501"/>
      <c r="D249" s="524"/>
      <c r="E249" s="533"/>
      <c r="F249" s="3380" t="s">
        <v>998</v>
      </c>
      <c r="G249" s="544" t="s">
        <v>293</v>
      </c>
      <c r="H249" s="3381" t="s">
        <v>8315</v>
      </c>
      <c r="I249" s="3382"/>
      <c r="J249" s="3382"/>
      <c r="K249" s="3382"/>
      <c r="L249" s="3382"/>
      <c r="M249" s="3382"/>
      <c r="N249" s="3382"/>
      <c r="O249" s="3383"/>
      <c r="P249" s="381" t="s">
        <v>8781</v>
      </c>
      <c r="Q249" s="210">
        <f>SUM(LTCG.B6ibii_FullConsideration50CA,LTCG.B6ibic_FullConsideration)</f>
        <v>0</v>
      </c>
      <c r="R249" s="525"/>
      <c r="S249" s="526"/>
      <c r="T249" s="1798"/>
      <c r="U249" s="1793"/>
      <c r="V249" s="1793"/>
      <c r="W249" s="1793"/>
      <c r="Y249" s="740">
        <f t="shared" si="2"/>
        <v>0</v>
      </c>
    </row>
    <row r="250" spans="2:25" s="121" customFormat="1" ht="12.75" hidden="1" customHeight="1" x14ac:dyDescent="0.2">
      <c r="B250" s="1797"/>
      <c r="C250" s="501"/>
      <c r="D250" s="524"/>
      <c r="E250" s="533"/>
      <c r="F250" s="620" t="s">
        <v>999</v>
      </c>
      <c r="G250" s="1772" t="s">
        <v>897</v>
      </c>
      <c r="H250" s="621"/>
      <c r="I250" s="600"/>
      <c r="J250" s="600"/>
      <c r="K250" s="600"/>
      <c r="L250" s="600"/>
      <c r="M250" s="600"/>
      <c r="N250" s="600"/>
      <c r="O250" s="600"/>
      <c r="P250" s="541"/>
      <c r="Q250" s="542"/>
      <c r="R250" s="525"/>
      <c r="S250" s="526"/>
      <c r="T250" s="1798"/>
      <c r="U250" s="1793"/>
      <c r="V250" s="1793"/>
      <c r="W250" s="1793"/>
      <c r="Y250" s="740">
        <f t="shared" si="2"/>
        <v>0</v>
      </c>
    </row>
    <row r="251" spans="2:25" s="121" customFormat="1" ht="12.75" hidden="1" customHeight="1" x14ac:dyDescent="0.2">
      <c r="B251" s="1797"/>
      <c r="C251" s="501"/>
      <c r="D251" s="524"/>
      <c r="E251" s="622"/>
      <c r="F251" s="620"/>
      <c r="G251" s="623" t="s">
        <v>287</v>
      </c>
      <c r="H251" s="624" t="s">
        <v>898</v>
      </c>
      <c r="I251" s="601"/>
      <c r="J251" s="601"/>
      <c r="K251" s="601"/>
      <c r="L251" s="601"/>
      <c r="M251" s="601"/>
      <c r="N251" s="601"/>
      <c r="O251" s="601"/>
      <c r="P251" s="381" t="s">
        <v>289</v>
      </c>
      <c r="Q251" s="2656"/>
      <c r="R251" s="525"/>
      <c r="S251" s="526"/>
      <c r="T251" s="1798"/>
      <c r="U251" s="1793"/>
      <c r="V251" s="1793"/>
      <c r="W251" s="1793"/>
      <c r="Y251" s="740">
        <f t="shared" si="2"/>
        <v>0</v>
      </c>
    </row>
    <row r="252" spans="2:25" s="121" customFormat="1" ht="12.75" hidden="1" customHeight="1" x14ac:dyDescent="0.2">
      <c r="B252" s="1797"/>
      <c r="C252" s="501"/>
      <c r="D252" s="524"/>
      <c r="E252" s="622"/>
      <c r="F252" s="540"/>
      <c r="G252" s="623" t="s">
        <v>290</v>
      </c>
      <c r="H252" s="625" t="s">
        <v>980</v>
      </c>
      <c r="I252" s="602"/>
      <c r="J252" s="602"/>
      <c r="K252" s="602"/>
      <c r="L252" s="602"/>
      <c r="M252" s="602"/>
      <c r="N252" s="602"/>
      <c r="O252" s="603"/>
      <c r="P252" s="555" t="s">
        <v>292</v>
      </c>
      <c r="Q252" s="2656"/>
      <c r="R252" s="525"/>
      <c r="S252" s="526"/>
      <c r="T252" s="1798"/>
      <c r="U252" s="1793"/>
      <c r="V252" s="1793"/>
      <c r="W252" s="1793"/>
      <c r="Y252" s="740">
        <f t="shared" si="2"/>
        <v>0</v>
      </c>
    </row>
    <row r="253" spans="2:25" s="121" customFormat="1" ht="12.75" hidden="1" customHeight="1" x14ac:dyDescent="0.2">
      <c r="B253" s="1797"/>
      <c r="C253" s="501"/>
      <c r="D253" s="524"/>
      <c r="E253" s="622"/>
      <c r="F253" s="540"/>
      <c r="G253" s="623" t="s">
        <v>293</v>
      </c>
      <c r="H253" s="626" t="s">
        <v>900</v>
      </c>
      <c r="I253" s="547"/>
      <c r="J253" s="547"/>
      <c r="K253" s="547"/>
      <c r="L253" s="547"/>
      <c r="M253" s="547"/>
      <c r="N253" s="547"/>
      <c r="O253" s="548"/>
      <c r="P253" s="555" t="s">
        <v>295</v>
      </c>
      <c r="Q253" s="2656"/>
      <c r="R253" s="525"/>
      <c r="S253" s="526"/>
      <c r="T253" s="1798"/>
      <c r="U253" s="1793"/>
      <c r="V253" s="1793"/>
      <c r="W253" s="1793"/>
      <c r="Y253" s="740">
        <f t="shared" si="2"/>
        <v>0</v>
      </c>
    </row>
    <row r="254" spans="2:25" s="121" customFormat="1" ht="12.75" hidden="1" customHeight="1" x14ac:dyDescent="0.2">
      <c r="B254" s="1797"/>
      <c r="C254" s="501"/>
      <c r="D254" s="524"/>
      <c r="E254" s="622"/>
      <c r="F254" s="29"/>
      <c r="G254" s="632" t="s">
        <v>296</v>
      </c>
      <c r="H254" s="1784" t="s">
        <v>981</v>
      </c>
      <c r="I254" s="627"/>
      <c r="J254" s="627"/>
      <c r="K254" s="627"/>
      <c r="L254" s="627"/>
      <c r="M254" s="627"/>
      <c r="N254" s="627"/>
      <c r="O254" s="628"/>
      <c r="P254" s="520" t="s">
        <v>298</v>
      </c>
      <c r="Q254" s="478">
        <f>SUM(Q251:Q253)</f>
        <v>0</v>
      </c>
      <c r="R254" s="525"/>
      <c r="S254" s="526"/>
      <c r="T254" s="1798"/>
      <c r="U254" s="1793"/>
      <c r="V254" s="1793"/>
      <c r="W254" s="1793"/>
      <c r="Y254" s="740">
        <f t="shared" si="2"/>
        <v>0</v>
      </c>
    </row>
    <row r="255" spans="2:25" s="121" customFormat="1" ht="12.75" hidden="1" customHeight="1" x14ac:dyDescent="0.2">
      <c r="B255" s="1797"/>
      <c r="C255" s="501"/>
      <c r="D255" s="524"/>
      <c r="E255" s="533"/>
      <c r="F255" s="632" t="s">
        <v>1000</v>
      </c>
      <c r="G255" s="1784" t="s">
        <v>9220</v>
      </c>
      <c r="H255" s="631"/>
      <c r="I255" s="521"/>
      <c r="J255" s="521"/>
      <c r="K255" s="521"/>
      <c r="L255" s="521"/>
      <c r="M255" s="521"/>
      <c r="N255" s="521"/>
      <c r="O255" s="522"/>
      <c r="P255" s="520" t="s">
        <v>8989</v>
      </c>
      <c r="Q255" s="478">
        <f>(Q249-Q254)</f>
        <v>0</v>
      </c>
      <c r="R255" s="525"/>
      <c r="S255" s="526"/>
      <c r="T255" s="1798"/>
      <c r="U255" s="1793"/>
      <c r="V255" s="1793"/>
      <c r="W255" s="1793"/>
      <c r="Y255" s="740">
        <f t="shared" si="2"/>
        <v>0</v>
      </c>
    </row>
    <row r="256" spans="2:25" s="121" customFormat="1" ht="12.75" hidden="1" customHeight="1" x14ac:dyDescent="0.2">
      <c r="B256" s="1797"/>
      <c r="C256" s="501"/>
      <c r="D256" s="524"/>
      <c r="E256" s="533"/>
      <c r="F256" s="381" t="s">
        <v>1001</v>
      </c>
      <c r="G256" s="619" t="s">
        <v>984</v>
      </c>
      <c r="H256" s="515"/>
      <c r="I256" s="521"/>
      <c r="J256" s="521"/>
      <c r="K256" s="521"/>
      <c r="L256" s="521"/>
      <c r="M256" s="521"/>
      <c r="N256" s="521"/>
      <c r="O256" s="522"/>
      <c r="P256" s="381" t="s">
        <v>36</v>
      </c>
      <c r="Q256" s="2656"/>
      <c r="R256" s="525"/>
      <c r="S256" s="526"/>
      <c r="T256" s="1798"/>
      <c r="U256" s="1793"/>
      <c r="V256" s="1793"/>
      <c r="W256" s="1793"/>
      <c r="Y256" s="740">
        <f t="shared" si="2"/>
        <v>0</v>
      </c>
    </row>
    <row r="257" spans="2:25" s="121" customFormat="1" ht="12.75" hidden="1" customHeight="1" x14ac:dyDescent="0.2">
      <c r="B257" s="1797"/>
      <c r="C257" s="501"/>
      <c r="D257" s="524"/>
      <c r="E257" s="533"/>
      <c r="F257" s="518" t="s">
        <v>939</v>
      </c>
      <c r="G257" s="1784" t="s">
        <v>12749</v>
      </c>
      <c r="H257" s="554"/>
      <c r="I257" s="1782"/>
      <c r="J257" s="1782"/>
      <c r="K257" s="1782"/>
      <c r="L257" s="1782"/>
      <c r="M257" s="1782"/>
      <c r="N257" s="1782"/>
      <c r="O257" s="1782"/>
      <c r="P257" s="1782"/>
      <c r="Q257" s="1783"/>
      <c r="R257" s="520" t="s">
        <v>8990</v>
      </c>
      <c r="S257" s="262">
        <f>IF(Q255&lt;0,Q255,IF(LTCG.B07div_ExemptionGrandTotal&gt;Q255,0,Q255-LTCG.B07div_ExemptionGrandTotal))</f>
        <v>0</v>
      </c>
      <c r="T257" s="1798"/>
      <c r="U257" s="1793"/>
      <c r="V257" s="1793"/>
      <c r="W257" s="1793"/>
      <c r="Y257" s="740">
        <f t="shared" si="2"/>
        <v>0</v>
      </c>
    </row>
    <row r="258" spans="2:25" s="121" customFormat="1" ht="15" hidden="1" customHeight="1" x14ac:dyDescent="0.2">
      <c r="B258" s="1797"/>
      <c r="C258" s="501"/>
      <c r="D258" s="524"/>
      <c r="E258" s="533"/>
      <c r="F258" s="3513" t="s">
        <v>9019</v>
      </c>
      <c r="G258" s="3514"/>
      <c r="H258" s="3514"/>
      <c r="I258" s="3514"/>
      <c r="J258" s="3514"/>
      <c r="K258" s="3514"/>
      <c r="L258" s="3514"/>
      <c r="M258" s="3514"/>
      <c r="N258" s="3514"/>
      <c r="O258" s="3514"/>
      <c r="P258" s="3514"/>
      <c r="Q258" s="3515"/>
      <c r="R258" s="525"/>
      <c r="S258" s="526"/>
      <c r="T258" s="1798"/>
      <c r="U258" s="1793"/>
      <c r="V258" s="1793"/>
      <c r="W258" s="1793"/>
      <c r="Y258" s="740">
        <f t="shared" si="2"/>
        <v>0</v>
      </c>
    </row>
    <row r="259" spans="2:25" s="121" customFormat="1" ht="15" hidden="1" customHeight="1" x14ac:dyDescent="0.2">
      <c r="B259" s="1797"/>
      <c r="C259" s="501"/>
      <c r="D259" s="524"/>
      <c r="E259" s="533"/>
      <c r="F259" s="3378" t="s">
        <v>416</v>
      </c>
      <c r="G259" s="3378" t="s">
        <v>287</v>
      </c>
      <c r="H259" s="3410" t="s">
        <v>8310</v>
      </c>
      <c r="I259" s="3411"/>
      <c r="J259" s="3411"/>
      <c r="K259" s="3411"/>
      <c r="L259" s="3411"/>
      <c r="M259" s="3411"/>
      <c r="N259" s="3411"/>
      <c r="O259" s="3411"/>
      <c r="P259" s="3411" t="s">
        <v>1350</v>
      </c>
      <c r="Q259" s="3412">
        <v>0</v>
      </c>
      <c r="R259" s="525"/>
      <c r="S259" s="526"/>
      <c r="T259" s="1798"/>
      <c r="U259" s="1793"/>
      <c r="V259" s="1793"/>
      <c r="W259" s="1793"/>
      <c r="Y259" s="740"/>
    </row>
    <row r="260" spans="2:25" s="121" customFormat="1" ht="12.75" hidden="1" customHeight="1" x14ac:dyDescent="0.2">
      <c r="B260" s="1797"/>
      <c r="C260" s="501"/>
      <c r="D260" s="524"/>
      <c r="E260" s="533"/>
      <c r="F260" s="3379"/>
      <c r="G260" s="3379"/>
      <c r="H260" s="544" t="s">
        <v>27</v>
      </c>
      <c r="I260" s="3381" t="s">
        <v>8311</v>
      </c>
      <c r="J260" s="3382"/>
      <c r="K260" s="3382"/>
      <c r="L260" s="3382"/>
      <c r="M260" s="3382"/>
      <c r="N260" s="3382"/>
      <c r="O260" s="3383"/>
      <c r="P260" s="381" t="s">
        <v>8991</v>
      </c>
      <c r="Q260" s="2656"/>
      <c r="R260" s="525"/>
      <c r="S260" s="526"/>
      <c r="T260" s="1798"/>
      <c r="U260" s="1793"/>
      <c r="V260" s="1793"/>
      <c r="W260" s="1793"/>
      <c r="Y260" s="740">
        <f>IF(LTCG.B6iiiaia_FullConsideration&lt;&gt;0,1,0)</f>
        <v>0</v>
      </c>
    </row>
    <row r="261" spans="2:25" s="121" customFormat="1" ht="12.75" hidden="1" customHeight="1" x14ac:dyDescent="0.2">
      <c r="B261" s="1797"/>
      <c r="C261" s="501"/>
      <c r="D261" s="524"/>
      <c r="E261" s="533"/>
      <c r="F261" s="3379"/>
      <c r="G261" s="3379"/>
      <c r="H261" s="544" t="s">
        <v>28</v>
      </c>
      <c r="I261" s="3381" t="s">
        <v>8312</v>
      </c>
      <c r="J261" s="3382"/>
      <c r="K261" s="3382"/>
      <c r="L261" s="3382"/>
      <c r="M261" s="3382"/>
      <c r="N261" s="3382"/>
      <c r="O261" s="3383"/>
      <c r="P261" s="381" t="s">
        <v>8782</v>
      </c>
      <c r="Q261" s="2656"/>
      <c r="R261" s="525"/>
      <c r="S261" s="526"/>
      <c r="T261" s="1798"/>
      <c r="U261" s="1793"/>
      <c r="V261" s="1793"/>
      <c r="W261" s="1793"/>
      <c r="Y261" s="740">
        <f>IF(LTCG.B6iiiaib_FullMarketValue&lt;&gt;0,1,0)</f>
        <v>0</v>
      </c>
    </row>
    <row r="262" spans="2:25" s="121" customFormat="1" ht="26.25" hidden="1" customHeight="1" x14ac:dyDescent="0.2">
      <c r="B262" s="1797"/>
      <c r="C262" s="501"/>
      <c r="D262" s="524"/>
      <c r="E262" s="533"/>
      <c r="F262" s="3379"/>
      <c r="G262" s="3380"/>
      <c r="H262" s="544" t="s">
        <v>29</v>
      </c>
      <c r="I262" s="3428" t="s">
        <v>8313</v>
      </c>
      <c r="J262" s="3429"/>
      <c r="K262" s="3429"/>
      <c r="L262" s="3429"/>
      <c r="M262" s="3429"/>
      <c r="N262" s="3429"/>
      <c r="O262" s="3430"/>
      <c r="P262" s="520" t="s">
        <v>8783</v>
      </c>
      <c r="Q262" s="210">
        <f>MAX(LTCG.B6iiiaia_FullConsideration,LTCG.B6iiiaib_FullMarketValue)</f>
        <v>0</v>
      </c>
      <c r="R262" s="525"/>
      <c r="S262" s="526"/>
      <c r="T262" s="1798"/>
      <c r="U262" s="1793"/>
      <c r="V262" s="1793"/>
      <c r="W262" s="1793"/>
      <c r="Y262" s="740">
        <f>IF(LTCG.B6iiiaic_FullConsideration50CA&lt;&gt;0,1,0)</f>
        <v>0</v>
      </c>
    </row>
    <row r="263" spans="2:25" s="121" customFormat="1" ht="12.75" hidden="1" customHeight="1" x14ac:dyDescent="0.2">
      <c r="B263" s="1797"/>
      <c r="C263" s="501"/>
      <c r="D263" s="524"/>
      <c r="E263" s="533"/>
      <c r="F263" s="3379"/>
      <c r="G263" s="544" t="s">
        <v>290</v>
      </c>
      <c r="H263" s="3381" t="s">
        <v>8314</v>
      </c>
      <c r="I263" s="3382"/>
      <c r="J263" s="3382"/>
      <c r="K263" s="3382"/>
      <c r="L263" s="3382"/>
      <c r="M263" s="3382"/>
      <c r="N263" s="3382"/>
      <c r="O263" s="3383"/>
      <c r="P263" s="381" t="s">
        <v>8784</v>
      </c>
      <c r="Q263" s="2656"/>
      <c r="R263" s="525"/>
      <c r="S263" s="526"/>
      <c r="T263" s="1798"/>
      <c r="U263" s="1793"/>
      <c r="V263" s="1793"/>
      <c r="W263" s="1793"/>
      <c r="Y263" s="740">
        <f>IF(LTCG.B6iiiaii_FullConsiderationS&lt;&gt;0,1,0)</f>
        <v>0</v>
      </c>
    </row>
    <row r="264" spans="2:25" s="121" customFormat="1" ht="12.75" hidden="1" customHeight="1" x14ac:dyDescent="0.2">
      <c r="B264" s="1797"/>
      <c r="C264" s="501"/>
      <c r="D264" s="524"/>
      <c r="E264" s="533"/>
      <c r="F264" s="3380"/>
      <c r="G264" s="544" t="s">
        <v>293</v>
      </c>
      <c r="H264" s="3381" t="s">
        <v>8315</v>
      </c>
      <c r="I264" s="3382"/>
      <c r="J264" s="3382"/>
      <c r="K264" s="3382"/>
      <c r="L264" s="3382"/>
      <c r="M264" s="3382"/>
      <c r="N264" s="3382"/>
      <c r="O264" s="3383"/>
      <c r="P264" s="520" t="s">
        <v>8785</v>
      </c>
      <c r="Q264" s="210">
        <f>SUM(LTCG.B6iiiaic_FullConsideration50CA,LTCG.B6iiiaii_FullConsiderationS)</f>
        <v>0</v>
      </c>
      <c r="R264" s="525"/>
      <c r="S264" s="526"/>
      <c r="T264" s="1798"/>
      <c r="U264" s="1793"/>
      <c r="V264" s="1793"/>
      <c r="W264" s="1793"/>
      <c r="Y264" s="740">
        <f t="shared" si="2"/>
        <v>0</v>
      </c>
    </row>
    <row r="265" spans="2:25" s="121" customFormat="1" ht="12.75" hidden="1" customHeight="1" x14ac:dyDescent="0.2">
      <c r="B265" s="1797"/>
      <c r="C265" s="501"/>
      <c r="D265" s="524"/>
      <c r="E265" s="533"/>
      <c r="F265" s="620" t="s">
        <v>417</v>
      </c>
      <c r="G265" s="1772" t="s">
        <v>897</v>
      </c>
      <c r="H265" s="621"/>
      <c r="I265" s="600"/>
      <c r="J265" s="600"/>
      <c r="K265" s="600"/>
      <c r="L265" s="600"/>
      <c r="M265" s="600"/>
      <c r="N265" s="600"/>
      <c r="O265" s="600"/>
      <c r="P265" s="541"/>
      <c r="Q265" s="542"/>
      <c r="R265" s="525"/>
      <c r="S265" s="526"/>
      <c r="T265" s="1798"/>
      <c r="U265" s="1793"/>
      <c r="V265" s="1793"/>
      <c r="W265" s="1793"/>
      <c r="Y265" s="740">
        <f t="shared" si="2"/>
        <v>0</v>
      </c>
    </row>
    <row r="266" spans="2:25" s="121" customFormat="1" ht="12.75" hidden="1" customHeight="1" x14ac:dyDescent="0.2">
      <c r="B266" s="1797"/>
      <c r="C266" s="501"/>
      <c r="D266" s="524"/>
      <c r="E266" s="622"/>
      <c r="F266" s="620"/>
      <c r="G266" s="623" t="s">
        <v>287</v>
      </c>
      <c r="H266" s="624" t="s">
        <v>898</v>
      </c>
      <c r="I266" s="601"/>
      <c r="J266" s="601"/>
      <c r="K266" s="601"/>
      <c r="L266" s="601"/>
      <c r="M266" s="601"/>
      <c r="N266" s="601"/>
      <c r="O266" s="601"/>
      <c r="P266" s="381" t="s">
        <v>289</v>
      </c>
      <c r="Q266" s="2656"/>
      <c r="R266" s="525"/>
      <c r="S266" s="526"/>
      <c r="T266" s="1798"/>
      <c r="U266" s="1793"/>
      <c r="V266" s="1793"/>
      <c r="W266" s="1793"/>
      <c r="Y266" s="740">
        <f t="shared" si="2"/>
        <v>0</v>
      </c>
    </row>
    <row r="267" spans="2:25" s="121" customFormat="1" ht="12.75" hidden="1" customHeight="1" x14ac:dyDescent="0.2">
      <c r="B267" s="1797"/>
      <c r="C267" s="501"/>
      <c r="D267" s="524"/>
      <c r="E267" s="622"/>
      <c r="F267" s="540"/>
      <c r="G267" s="623" t="s">
        <v>290</v>
      </c>
      <c r="H267" s="625" t="s">
        <v>980</v>
      </c>
      <c r="I267" s="602"/>
      <c r="J267" s="602"/>
      <c r="K267" s="602"/>
      <c r="L267" s="602"/>
      <c r="M267" s="602"/>
      <c r="N267" s="602"/>
      <c r="O267" s="603"/>
      <c r="P267" s="555" t="s">
        <v>292</v>
      </c>
      <c r="Q267" s="2656"/>
      <c r="R267" s="525"/>
      <c r="S267" s="526"/>
      <c r="T267" s="1798"/>
      <c r="U267" s="1793"/>
      <c r="V267" s="1793"/>
      <c r="W267" s="1793"/>
      <c r="Y267" s="740">
        <f t="shared" si="2"/>
        <v>0</v>
      </c>
    </row>
    <row r="268" spans="2:25" s="121" customFormat="1" ht="12.75" hidden="1" customHeight="1" x14ac:dyDescent="0.2">
      <c r="B268" s="1797"/>
      <c r="C268" s="501"/>
      <c r="D268" s="524"/>
      <c r="E268" s="622"/>
      <c r="F268" s="540"/>
      <c r="G268" s="623" t="s">
        <v>293</v>
      </c>
      <c r="H268" s="626" t="s">
        <v>900</v>
      </c>
      <c r="I268" s="547"/>
      <c r="J268" s="547"/>
      <c r="K268" s="547"/>
      <c r="L268" s="547"/>
      <c r="M268" s="547"/>
      <c r="N268" s="547"/>
      <c r="O268" s="548"/>
      <c r="P268" s="555" t="s">
        <v>295</v>
      </c>
      <c r="Q268" s="2656"/>
      <c r="R268" s="525"/>
      <c r="S268" s="526"/>
      <c r="T268" s="1798"/>
      <c r="U268" s="1793"/>
      <c r="V268" s="1793"/>
      <c r="W268" s="1793"/>
      <c r="Y268" s="740">
        <f t="shared" si="2"/>
        <v>0</v>
      </c>
    </row>
    <row r="269" spans="2:25" s="121" customFormat="1" ht="12.75" hidden="1" customHeight="1" x14ac:dyDescent="0.2">
      <c r="B269" s="1797"/>
      <c r="C269" s="501"/>
      <c r="D269" s="524"/>
      <c r="E269" s="622"/>
      <c r="F269" s="29"/>
      <c r="G269" s="591" t="s">
        <v>296</v>
      </c>
      <c r="H269" s="1784" t="s">
        <v>981</v>
      </c>
      <c r="I269" s="627"/>
      <c r="J269" s="627"/>
      <c r="K269" s="627"/>
      <c r="L269" s="627"/>
      <c r="M269" s="627"/>
      <c r="N269" s="627"/>
      <c r="O269" s="628"/>
      <c r="P269" s="520" t="s">
        <v>298</v>
      </c>
      <c r="Q269" s="478">
        <f>SUM(Q266:Q268)</f>
        <v>0</v>
      </c>
      <c r="R269" s="525"/>
      <c r="S269" s="526"/>
      <c r="T269" s="1798"/>
      <c r="U269" s="1793"/>
      <c r="V269" s="1793"/>
      <c r="W269" s="1793"/>
      <c r="Y269" s="740">
        <f t="shared" si="2"/>
        <v>0</v>
      </c>
    </row>
    <row r="270" spans="2:25" s="121" customFormat="1" ht="11.25" hidden="1" customHeight="1" x14ac:dyDescent="0.2">
      <c r="B270" s="1797"/>
      <c r="C270" s="501"/>
      <c r="D270" s="524"/>
      <c r="E270" s="533"/>
      <c r="F270" s="632" t="s">
        <v>418</v>
      </c>
      <c r="G270" s="1784" t="s">
        <v>9220</v>
      </c>
      <c r="H270" s="631"/>
      <c r="I270" s="521"/>
      <c r="J270" s="521"/>
      <c r="K270" s="521"/>
      <c r="L270" s="521"/>
      <c r="M270" s="521"/>
      <c r="N270" s="521"/>
      <c r="O270" s="522"/>
      <c r="P270" s="520" t="s">
        <v>8992</v>
      </c>
      <c r="Q270" s="478">
        <f>(Q264-Q269)</f>
        <v>0</v>
      </c>
      <c r="R270" s="525"/>
      <c r="S270" s="526"/>
      <c r="T270" s="1798"/>
      <c r="U270" s="1793"/>
      <c r="V270" s="1793"/>
      <c r="W270" s="1793"/>
      <c r="Y270" s="740">
        <f t="shared" si="2"/>
        <v>0</v>
      </c>
    </row>
    <row r="271" spans="2:25" s="121" customFormat="1" ht="12.75" hidden="1" customHeight="1" x14ac:dyDescent="0.2">
      <c r="B271" s="1797"/>
      <c r="C271" s="501"/>
      <c r="D271" s="524"/>
      <c r="E271" s="533"/>
      <c r="F271" s="381" t="s">
        <v>419</v>
      </c>
      <c r="G271" s="619" t="s">
        <v>984</v>
      </c>
      <c r="H271" s="515"/>
      <c r="I271" s="521"/>
      <c r="J271" s="521"/>
      <c r="K271" s="521"/>
      <c r="L271" s="521"/>
      <c r="M271" s="521"/>
      <c r="N271" s="521"/>
      <c r="O271" s="522"/>
      <c r="P271" s="381" t="s">
        <v>390</v>
      </c>
      <c r="Q271" s="2656"/>
      <c r="R271" s="525"/>
      <c r="S271" s="526"/>
      <c r="T271" s="1798"/>
      <c r="U271" s="1793"/>
      <c r="V271" s="1793"/>
      <c r="W271" s="1793"/>
      <c r="Y271" s="740">
        <f t="shared" si="2"/>
        <v>0</v>
      </c>
    </row>
    <row r="272" spans="2:25" s="121" customFormat="1" ht="12.75" hidden="1" customHeight="1" x14ac:dyDescent="0.2">
      <c r="B272" s="1797"/>
      <c r="C272" s="501"/>
      <c r="D272" s="524"/>
      <c r="E272" s="535"/>
      <c r="F272" s="518" t="s">
        <v>1002</v>
      </c>
      <c r="G272" s="1784" t="s">
        <v>12749</v>
      </c>
      <c r="H272" s="554"/>
      <c r="I272" s="1782"/>
      <c r="J272" s="1782"/>
      <c r="K272" s="1782"/>
      <c r="L272" s="1782"/>
      <c r="M272" s="1782"/>
      <c r="N272" s="1782"/>
      <c r="O272" s="1782"/>
      <c r="P272" s="1782"/>
      <c r="Q272" s="1783"/>
      <c r="R272" s="520" t="s">
        <v>8993</v>
      </c>
      <c r="S272" s="262">
        <f>IF(Q270&lt;0,Q270,IF(LTCG.B07dv_ExemptionGrandTotal&gt;Q270,0,Q270-LTCG.B07dv_ExemptionGrandTotal))</f>
        <v>0</v>
      </c>
      <c r="T272" s="1798"/>
      <c r="U272" s="1793"/>
      <c r="V272" s="1793"/>
      <c r="W272" s="1793"/>
      <c r="Y272" s="740">
        <f t="shared" si="2"/>
        <v>0</v>
      </c>
    </row>
    <row r="273" spans="2:25" s="121" customFormat="1" ht="12.75" hidden="1" customHeight="1" x14ac:dyDescent="0.2">
      <c r="B273" s="1797"/>
      <c r="C273" s="501"/>
      <c r="D273" s="524"/>
      <c r="E273" s="1939">
        <v>8</v>
      </c>
      <c r="F273" s="3498" t="s">
        <v>8980</v>
      </c>
      <c r="G273" s="3499"/>
      <c r="H273" s="3499"/>
      <c r="I273" s="3499"/>
      <c r="J273" s="3499"/>
      <c r="K273" s="3499"/>
      <c r="L273" s="3499"/>
      <c r="M273" s="3499"/>
      <c r="N273" s="3499"/>
      <c r="O273" s="3499"/>
      <c r="P273" s="3499"/>
      <c r="Q273" s="3500"/>
      <c r="R273" s="525"/>
      <c r="S273" s="526"/>
      <c r="T273" s="1798"/>
      <c r="U273" s="1793"/>
      <c r="V273" s="1793"/>
      <c r="W273" s="1793"/>
      <c r="Y273" s="740"/>
    </row>
    <row r="274" spans="2:25" s="121" customFormat="1" ht="12.75" hidden="1" customHeight="1" x14ac:dyDescent="0.2">
      <c r="B274" s="1797"/>
      <c r="C274" s="501"/>
      <c r="D274" s="524"/>
      <c r="E274" s="1939"/>
      <c r="F274" s="381" t="s">
        <v>27</v>
      </c>
      <c r="G274" s="3416" t="s">
        <v>12070</v>
      </c>
      <c r="H274" s="3417"/>
      <c r="I274" s="3417"/>
      <c r="J274" s="3417"/>
      <c r="K274" s="3417"/>
      <c r="L274" s="3417"/>
      <c r="M274" s="3417"/>
      <c r="N274" s="3417"/>
      <c r="O274" s="3418"/>
      <c r="P274" s="381" t="s">
        <v>723</v>
      </c>
      <c r="Q274" s="262">
        <f>ROUND(Total_Balance_115AD,0)</f>
        <v>0</v>
      </c>
      <c r="R274" s="525"/>
      <c r="S274" s="526"/>
      <c r="T274" s="1798"/>
      <c r="U274" s="1793"/>
      <c r="V274" s="1793"/>
      <c r="W274" s="1793"/>
      <c r="Y274" s="740"/>
    </row>
    <row r="275" spans="2:25" s="121" customFormat="1" ht="12.75" hidden="1" customHeight="1" x14ac:dyDescent="0.2">
      <c r="B275" s="1797"/>
      <c r="C275" s="501"/>
      <c r="D275" s="524"/>
      <c r="E275" s="1939"/>
      <c r="F275" s="381" t="s">
        <v>28</v>
      </c>
      <c r="G275" s="3416" t="s">
        <v>1011</v>
      </c>
      <c r="H275" s="3417"/>
      <c r="I275" s="3417"/>
      <c r="J275" s="3417"/>
      <c r="K275" s="3417"/>
      <c r="L275" s="3417"/>
      <c r="M275" s="3417"/>
      <c r="N275" s="3417"/>
      <c r="O275" s="3418"/>
      <c r="P275" s="381" t="s">
        <v>724</v>
      </c>
      <c r="Q275" s="2618"/>
      <c r="R275" s="525"/>
      <c r="S275" s="526"/>
      <c r="T275" s="1798"/>
      <c r="U275" s="1793"/>
      <c r="V275" s="1793"/>
      <c r="W275" s="1793"/>
      <c r="Y275" s="740"/>
    </row>
    <row r="276" spans="2:25" s="121" customFormat="1" ht="12.75" hidden="1" customHeight="1" x14ac:dyDescent="0.2">
      <c r="B276" s="1797"/>
      <c r="C276" s="501"/>
      <c r="D276" s="524"/>
      <c r="E276" s="1939"/>
      <c r="F276" s="2513" t="s">
        <v>29</v>
      </c>
      <c r="G276" s="3425" t="s">
        <v>12071</v>
      </c>
      <c r="H276" s="3426"/>
      <c r="I276" s="3426"/>
      <c r="J276" s="3426"/>
      <c r="K276" s="3426"/>
      <c r="L276" s="3426"/>
      <c r="M276" s="3426"/>
      <c r="N276" s="3426"/>
      <c r="O276" s="3426"/>
      <c r="P276" s="3426"/>
      <c r="Q276" s="3427"/>
      <c r="R276" s="520" t="s">
        <v>12069</v>
      </c>
      <c r="S276" s="262">
        <f>IF(LTCG.8.LTCG_AfterThreshold&lt;0,LTCG.8.LTCG_AfterThreshold,IF(LTCG.8.DeductionUnder54F&gt;LTCG.8.LTCG_AfterThreshold,0,LTCG.8.LTCG_AfterThreshold-LTCG.8.DeductionUnder54F))</f>
        <v>0</v>
      </c>
      <c r="T276" s="1798"/>
      <c r="U276" s="1793"/>
      <c r="V276" s="1793"/>
      <c r="W276" s="1793"/>
      <c r="Y276" s="740"/>
    </row>
    <row r="277" spans="2:25" s="121" customFormat="1" ht="12.75" hidden="1" customHeight="1" x14ac:dyDescent="0.2">
      <c r="B277" s="1797"/>
      <c r="C277" s="501"/>
      <c r="D277" s="524"/>
      <c r="E277" s="620">
        <v>9</v>
      </c>
      <c r="F277" s="608" t="s">
        <v>1003</v>
      </c>
      <c r="G277" s="633"/>
      <c r="H277" s="634"/>
      <c r="I277" s="635"/>
      <c r="J277" s="635"/>
      <c r="K277" s="635"/>
      <c r="L277" s="635"/>
      <c r="M277" s="635"/>
      <c r="N277" s="635"/>
      <c r="O277" s="636"/>
      <c r="P277" s="1778"/>
      <c r="Q277" s="1780"/>
      <c r="R277" s="525"/>
      <c r="S277" s="526"/>
      <c r="T277" s="1798"/>
      <c r="U277" s="1793"/>
      <c r="V277" s="1793"/>
      <c r="W277" s="1793"/>
      <c r="Y277" s="740">
        <f t="shared" si="2"/>
        <v>0</v>
      </c>
    </row>
    <row r="278" spans="2:25" s="121" customFormat="1" ht="12.75" hidden="1" customHeight="1" x14ac:dyDescent="0.2">
      <c r="B278" s="1797"/>
      <c r="C278" s="501"/>
      <c r="D278" s="1753"/>
      <c r="E278" s="538"/>
      <c r="F278" s="555" t="s">
        <v>27</v>
      </c>
      <c r="G278" s="637" t="s">
        <v>1004</v>
      </c>
      <c r="H278" s="638"/>
      <c r="I278" s="639"/>
      <c r="J278" s="639"/>
      <c r="K278" s="639"/>
      <c r="L278" s="639"/>
      <c r="M278" s="639"/>
      <c r="N278" s="639"/>
      <c r="O278" s="640"/>
      <c r="P278" s="381" t="s">
        <v>596</v>
      </c>
      <c r="Q278" s="2656"/>
      <c r="R278" s="525"/>
      <c r="S278" s="526"/>
      <c r="T278" s="1798"/>
      <c r="U278" s="1793"/>
      <c r="V278" s="1793"/>
      <c r="W278" s="1793"/>
      <c r="Y278" s="740">
        <f t="shared" si="2"/>
        <v>0</v>
      </c>
    </row>
    <row r="279" spans="2:25" s="121" customFormat="1" ht="12.75" hidden="1" customHeight="1" x14ac:dyDescent="0.2">
      <c r="B279" s="1797"/>
      <c r="C279" s="501"/>
      <c r="D279" s="1753"/>
      <c r="E279" s="641"/>
      <c r="F279" s="555" t="s">
        <v>28</v>
      </c>
      <c r="G279" s="637" t="s">
        <v>8225</v>
      </c>
      <c r="H279" s="638"/>
      <c r="I279" s="639"/>
      <c r="J279" s="639"/>
      <c r="K279" s="639"/>
      <c r="L279" s="639"/>
      <c r="M279" s="639"/>
      <c r="N279" s="639"/>
      <c r="O279" s="640"/>
      <c r="P279" s="381" t="s">
        <v>597</v>
      </c>
      <c r="Q279" s="2656"/>
      <c r="R279" s="525"/>
      <c r="S279" s="526"/>
      <c r="T279" s="1798"/>
      <c r="U279" s="1793"/>
      <c r="V279" s="1793"/>
      <c r="W279" s="1793"/>
      <c r="Y279" s="740">
        <f t="shared" si="2"/>
        <v>0</v>
      </c>
    </row>
    <row r="280" spans="2:25" s="121" customFormat="1" ht="12.75" hidden="1" customHeight="1" x14ac:dyDescent="0.2">
      <c r="B280" s="1797"/>
      <c r="C280" s="501"/>
      <c r="D280" s="1753"/>
      <c r="E280" s="641"/>
      <c r="F280" s="518" t="s">
        <v>29</v>
      </c>
      <c r="G280" s="1784" t="s">
        <v>8996</v>
      </c>
      <c r="H280" s="626"/>
      <c r="I280" s="1779"/>
      <c r="J280" s="1779"/>
      <c r="K280" s="1779"/>
      <c r="L280" s="1779"/>
      <c r="M280" s="1779"/>
      <c r="N280" s="1779"/>
      <c r="O280" s="1780"/>
      <c r="P280" s="536"/>
      <c r="Q280" s="522"/>
      <c r="R280" s="520" t="s">
        <v>8994</v>
      </c>
      <c r="S280" s="262">
        <f>IF(Q278&lt;0,Q278,IF(LTCG.B6b_DednSpecAssetus115&gt;Q278,0,Q278-LTCG.B6b_DednSpecAssetus115))</f>
        <v>0</v>
      </c>
      <c r="T280" s="1798"/>
      <c r="U280" s="1793"/>
      <c r="V280" s="1793"/>
      <c r="W280" s="1793"/>
      <c r="Y280" s="740">
        <f t="shared" si="2"/>
        <v>0</v>
      </c>
    </row>
    <row r="281" spans="2:25" s="121" customFormat="1" ht="12.75" hidden="1" customHeight="1" x14ac:dyDescent="0.2">
      <c r="B281" s="1797"/>
      <c r="C281" s="501"/>
      <c r="D281" s="1753"/>
      <c r="E281" s="641"/>
      <c r="F281" s="555" t="s">
        <v>36</v>
      </c>
      <c r="G281" s="637" t="s">
        <v>1006</v>
      </c>
      <c r="H281" s="642"/>
      <c r="I281" s="639"/>
      <c r="J281" s="639"/>
      <c r="K281" s="639"/>
      <c r="L281" s="639"/>
      <c r="M281" s="639"/>
      <c r="N281" s="639"/>
      <c r="O281" s="640"/>
      <c r="P281" s="381" t="s">
        <v>599</v>
      </c>
      <c r="Q281" s="2656"/>
      <c r="R281" s="525"/>
      <c r="S281" s="526"/>
      <c r="T281" s="1798"/>
      <c r="U281" s="1793"/>
      <c r="V281" s="1793"/>
      <c r="W281" s="1793"/>
      <c r="Y281" s="740">
        <f t="shared" si="2"/>
        <v>0</v>
      </c>
    </row>
    <row r="282" spans="2:25" s="121" customFormat="1" ht="16.5" hidden="1" customHeight="1" x14ac:dyDescent="0.2">
      <c r="B282" s="1797"/>
      <c r="C282" s="501"/>
      <c r="D282" s="1753"/>
      <c r="E282" s="641"/>
      <c r="F282" s="555" t="s">
        <v>869</v>
      </c>
      <c r="G282" s="643" t="s">
        <v>1007</v>
      </c>
      <c r="H282" s="644"/>
      <c r="I282" s="645"/>
      <c r="J282" s="645"/>
      <c r="K282" s="645"/>
      <c r="L282" s="645"/>
      <c r="M282" s="645"/>
      <c r="N282" s="645"/>
      <c r="O282" s="646"/>
      <c r="P282" s="620" t="s">
        <v>600</v>
      </c>
      <c r="Q282" s="2656"/>
      <c r="R282" s="525"/>
      <c r="S282" s="526"/>
      <c r="T282" s="1798"/>
      <c r="U282" s="1793"/>
      <c r="V282" s="1793"/>
      <c r="W282" s="1793"/>
      <c r="Y282" s="740">
        <f t="shared" si="2"/>
        <v>0</v>
      </c>
    </row>
    <row r="283" spans="2:25" s="121" customFormat="1" ht="12.75" hidden="1" customHeight="1" x14ac:dyDescent="0.2">
      <c r="B283" s="1797"/>
      <c r="C283" s="501"/>
      <c r="D283" s="1753"/>
      <c r="E283" s="647"/>
      <c r="F283" s="518" t="s">
        <v>40</v>
      </c>
      <c r="G283" s="1784" t="s">
        <v>8997</v>
      </c>
      <c r="H283" s="639"/>
      <c r="I283" s="639"/>
      <c r="J283" s="639"/>
      <c r="K283" s="639"/>
      <c r="L283" s="639"/>
      <c r="M283" s="639"/>
      <c r="N283" s="639"/>
      <c r="O283" s="639"/>
      <c r="P283" s="536"/>
      <c r="Q283" s="522"/>
      <c r="R283" s="520" t="s">
        <v>8995</v>
      </c>
      <c r="S283" s="262">
        <f>IF(Q281&lt;0,Q281,IF(LTCG.B6e_DednOtherSpecAssetus115&gt;Q281,0,Q281-LTCG.B6e_DednOtherSpecAssetus115))</f>
        <v>0</v>
      </c>
      <c r="T283" s="1798"/>
      <c r="U283" s="1793"/>
      <c r="V283" s="1793"/>
      <c r="W283" s="1793"/>
      <c r="Y283" s="740">
        <f t="shared" si="2"/>
        <v>0</v>
      </c>
    </row>
    <row r="284" spans="2:25" s="121" customFormat="1" ht="12.75" customHeight="1" x14ac:dyDescent="0.2">
      <c r="B284" s="1797"/>
      <c r="C284" s="501"/>
      <c r="D284" s="524"/>
      <c r="E284" s="3431">
        <v>10</v>
      </c>
      <c r="F284" s="619" t="s">
        <v>9221</v>
      </c>
      <c r="G284" s="648"/>
      <c r="H284" s="649"/>
      <c r="I284" s="649"/>
      <c r="J284" s="649"/>
      <c r="K284" s="649"/>
      <c r="L284" s="649"/>
      <c r="M284" s="649"/>
      <c r="N284" s="649"/>
      <c r="O284" s="649"/>
      <c r="P284" s="650"/>
      <c r="Q284" s="607"/>
      <c r="R284" s="525"/>
      <c r="S284" s="526"/>
      <c r="T284" s="1798"/>
      <c r="U284" s="1793"/>
      <c r="V284" s="1793"/>
      <c r="W284" s="1793"/>
      <c r="Y284" s="740">
        <f t="shared" si="2"/>
        <v>0</v>
      </c>
    </row>
    <row r="285" spans="2:25" s="121" customFormat="1" ht="12.75" customHeight="1" x14ac:dyDescent="0.2">
      <c r="B285" s="1797"/>
      <c r="C285" s="501"/>
      <c r="D285" s="524"/>
      <c r="E285" s="3432"/>
      <c r="F285" s="3378" t="s">
        <v>27</v>
      </c>
      <c r="G285" s="3378" t="s">
        <v>287</v>
      </c>
      <c r="H285" s="3410" t="s">
        <v>8327</v>
      </c>
      <c r="I285" s="3411"/>
      <c r="J285" s="3411"/>
      <c r="K285" s="3411"/>
      <c r="L285" s="3411"/>
      <c r="M285" s="3411"/>
      <c r="N285" s="3411"/>
      <c r="O285" s="3411"/>
      <c r="P285" s="3411" t="s">
        <v>1350</v>
      </c>
      <c r="Q285" s="3412">
        <v>0</v>
      </c>
      <c r="R285" s="525"/>
      <c r="S285" s="526"/>
      <c r="T285" s="1798"/>
      <c r="U285" s="1793"/>
      <c r="V285" s="1793"/>
      <c r="W285" s="1793"/>
      <c r="Y285" s="740"/>
    </row>
    <row r="286" spans="2:25" s="121" customFormat="1" ht="12.75" customHeight="1" x14ac:dyDescent="0.2">
      <c r="B286" s="1797"/>
      <c r="C286" s="501"/>
      <c r="D286" s="524"/>
      <c r="E286" s="3432"/>
      <c r="F286" s="3379"/>
      <c r="G286" s="3379"/>
      <c r="H286" s="1078" t="s">
        <v>27</v>
      </c>
      <c r="I286" s="3381" t="s">
        <v>8311</v>
      </c>
      <c r="J286" s="3382"/>
      <c r="K286" s="3382"/>
      <c r="L286" s="3382"/>
      <c r="M286" s="3382"/>
      <c r="N286" s="3382"/>
      <c r="O286" s="3383"/>
      <c r="P286" s="381" t="s">
        <v>8998</v>
      </c>
      <c r="Q286" s="1973"/>
      <c r="R286" s="525"/>
      <c r="S286" s="526"/>
      <c r="T286" s="1798"/>
      <c r="U286" s="1793"/>
      <c r="V286" s="1793"/>
      <c r="W286" s="1793"/>
      <c r="Y286" s="740">
        <f>IF(LTCG.B8aia_FullConsideration&lt;&gt;0,1,0)</f>
        <v>0</v>
      </c>
    </row>
    <row r="287" spans="2:25" s="121" customFormat="1" ht="12.75" customHeight="1" x14ac:dyDescent="0.2">
      <c r="B287" s="1797"/>
      <c r="C287" s="501"/>
      <c r="D287" s="524"/>
      <c r="E287" s="3432"/>
      <c r="F287" s="3379"/>
      <c r="G287" s="3379"/>
      <c r="H287" s="1078" t="s">
        <v>28</v>
      </c>
      <c r="I287" s="3381" t="s">
        <v>8312</v>
      </c>
      <c r="J287" s="3382"/>
      <c r="K287" s="3382"/>
      <c r="L287" s="3382"/>
      <c r="M287" s="3382"/>
      <c r="N287" s="3382"/>
      <c r="O287" s="3383"/>
      <c r="P287" s="381" t="s">
        <v>988</v>
      </c>
      <c r="Q287" s="1973"/>
      <c r="R287" s="525"/>
      <c r="S287" s="526"/>
      <c r="T287" s="1798"/>
      <c r="U287" s="1793"/>
      <c r="V287" s="1793"/>
      <c r="W287" s="1793"/>
      <c r="Y287" s="740">
        <f>IF(LTCG.B8aib_FullMarketValue&lt;&gt;0,1,0)</f>
        <v>0</v>
      </c>
    </row>
    <row r="288" spans="2:25" s="121" customFormat="1" ht="12.75" x14ac:dyDescent="0.2">
      <c r="B288" s="1797"/>
      <c r="C288" s="501"/>
      <c r="D288" s="524"/>
      <c r="E288" s="3432"/>
      <c r="F288" s="3379"/>
      <c r="G288" s="3380"/>
      <c r="H288" s="1078" t="s">
        <v>29</v>
      </c>
      <c r="I288" s="3428" t="s">
        <v>8313</v>
      </c>
      <c r="J288" s="3429"/>
      <c r="K288" s="3429"/>
      <c r="L288" s="3429"/>
      <c r="M288" s="3429"/>
      <c r="N288" s="3429"/>
      <c r="O288" s="3430"/>
      <c r="P288" s="520" t="s">
        <v>989</v>
      </c>
      <c r="Q288" s="1391">
        <f>MAX(LTCG.B8aia_FullConsideration,LTCG.B8aib_FullMarketValue)</f>
        <v>0</v>
      </c>
      <c r="R288" s="525"/>
      <c r="S288" s="526"/>
      <c r="T288" s="1798"/>
      <c r="U288" s="1793"/>
      <c r="V288" s="1793"/>
      <c r="W288" s="1793"/>
      <c r="Y288" s="740">
        <f>IF(LTCG.B8aic_FullConsideration50CA&lt;&gt;0,1,0)</f>
        <v>0</v>
      </c>
    </row>
    <row r="289" spans="2:25" s="121" customFormat="1" ht="12.75" customHeight="1" x14ac:dyDescent="0.2">
      <c r="B289" s="1797"/>
      <c r="C289" s="501"/>
      <c r="D289" s="524"/>
      <c r="E289" s="3432"/>
      <c r="F289" s="3379"/>
      <c r="G289" s="544" t="s">
        <v>290</v>
      </c>
      <c r="H289" s="3381" t="s">
        <v>8328</v>
      </c>
      <c r="I289" s="3382"/>
      <c r="J289" s="3382"/>
      <c r="K289" s="3382"/>
      <c r="L289" s="3382"/>
      <c r="M289" s="3382"/>
      <c r="N289" s="3382"/>
      <c r="O289" s="3383"/>
      <c r="P289" s="381" t="s">
        <v>8999</v>
      </c>
      <c r="Q289" s="1973"/>
      <c r="R289" s="525"/>
      <c r="S289" s="526"/>
      <c r="T289" s="1798"/>
      <c r="U289" s="1793"/>
      <c r="V289" s="1793"/>
      <c r="W289" s="1793"/>
      <c r="Y289" s="740">
        <f>IF(LTCG.B8aii_FullConsiderationO&lt;&gt;0,1,0)</f>
        <v>0</v>
      </c>
    </row>
    <row r="290" spans="2:25" s="121" customFormat="1" ht="12" customHeight="1" x14ac:dyDescent="0.2">
      <c r="B290" s="1797"/>
      <c r="C290" s="501"/>
      <c r="D290" s="524"/>
      <c r="E290" s="3432"/>
      <c r="F290" s="3380"/>
      <c r="G290" s="544" t="s">
        <v>293</v>
      </c>
      <c r="H290" s="3381" t="s">
        <v>8315</v>
      </c>
      <c r="I290" s="3382"/>
      <c r="J290" s="3382"/>
      <c r="K290" s="3382"/>
      <c r="L290" s="3382"/>
      <c r="M290" s="3382"/>
      <c r="N290" s="3382"/>
      <c r="O290" s="3383"/>
      <c r="P290" s="520" t="s">
        <v>9000</v>
      </c>
      <c r="Q290" s="1391">
        <f>SUM(LTCG.B8aic_FullConsideration50CA,LTCG.B8aii_FullConsiderationO)</f>
        <v>0</v>
      </c>
      <c r="R290" s="525"/>
      <c r="S290" s="526"/>
      <c r="T290" s="1798"/>
      <c r="U290" s="1793"/>
      <c r="V290" s="1793"/>
      <c r="W290" s="1793"/>
      <c r="Y290" s="740">
        <f t="shared" si="2"/>
        <v>0</v>
      </c>
    </row>
    <row r="291" spans="2:25" s="121" customFormat="1" ht="11.25" customHeight="1" x14ac:dyDescent="0.2">
      <c r="B291" s="1797"/>
      <c r="C291" s="501"/>
      <c r="D291" s="524"/>
      <c r="E291" s="3432"/>
      <c r="F291" s="620" t="s">
        <v>28</v>
      </c>
      <c r="G291" s="614" t="s">
        <v>897</v>
      </c>
      <c r="H291" s="621"/>
      <c r="I291" s="600"/>
      <c r="J291" s="600"/>
      <c r="K291" s="600"/>
      <c r="L291" s="600"/>
      <c r="M291" s="600"/>
      <c r="N291" s="600"/>
      <c r="O291" s="600"/>
      <c r="P291" s="536"/>
      <c r="Q291" s="537"/>
      <c r="R291" s="525"/>
      <c r="S291" s="526"/>
      <c r="T291" s="1798"/>
      <c r="U291" s="1793"/>
      <c r="V291" s="1793"/>
      <c r="W291" s="1793"/>
      <c r="Y291" s="740"/>
    </row>
    <row r="292" spans="2:25" s="121" customFormat="1" ht="12.75" customHeight="1" x14ac:dyDescent="0.2">
      <c r="B292" s="1797"/>
      <c r="C292" s="501"/>
      <c r="D292" s="524"/>
      <c r="E292" s="3432"/>
      <c r="F292" s="538"/>
      <c r="G292" s="651" t="s">
        <v>287</v>
      </c>
      <c r="H292" s="652" t="s">
        <v>958</v>
      </c>
      <c r="I292" s="547"/>
      <c r="J292" s="547"/>
      <c r="K292" s="547"/>
      <c r="L292" s="547"/>
      <c r="M292" s="547"/>
      <c r="N292" s="547"/>
      <c r="O292" s="548"/>
      <c r="P292" s="381" t="s">
        <v>289</v>
      </c>
      <c r="Q292" s="1390"/>
      <c r="R292" s="525"/>
      <c r="S292" s="526"/>
      <c r="T292" s="1798"/>
      <c r="U292" s="1793"/>
      <c r="V292" s="1793"/>
      <c r="W292" s="1793"/>
      <c r="Y292" s="740">
        <f t="shared" si="2"/>
        <v>0</v>
      </c>
    </row>
    <row r="293" spans="2:25" s="121" customFormat="1" ht="13.5" customHeight="1" x14ac:dyDescent="0.2">
      <c r="B293" s="1797"/>
      <c r="C293" s="501"/>
      <c r="D293" s="524"/>
      <c r="E293" s="3432"/>
      <c r="F293" s="641"/>
      <c r="G293" s="651" t="s">
        <v>290</v>
      </c>
      <c r="H293" s="652" t="s">
        <v>1009</v>
      </c>
      <c r="I293" s="547"/>
      <c r="J293" s="547"/>
      <c r="K293" s="547"/>
      <c r="L293" s="547"/>
      <c r="M293" s="547"/>
      <c r="N293" s="547"/>
      <c r="O293" s="548"/>
      <c r="P293" s="555" t="s">
        <v>292</v>
      </c>
      <c r="Q293" s="1390"/>
      <c r="R293" s="525"/>
      <c r="S293" s="526"/>
      <c r="T293" s="1798"/>
      <c r="U293" s="1793"/>
      <c r="V293" s="1793"/>
      <c r="W293" s="1793"/>
      <c r="Y293" s="740">
        <f t="shared" si="2"/>
        <v>0</v>
      </c>
    </row>
    <row r="294" spans="2:25" s="121" customFormat="1" ht="12.75" customHeight="1" x14ac:dyDescent="0.2">
      <c r="B294" s="1797"/>
      <c r="C294" s="501"/>
      <c r="D294" s="524"/>
      <c r="E294" s="3432"/>
      <c r="F294" s="641"/>
      <c r="G294" s="651" t="s">
        <v>293</v>
      </c>
      <c r="H294" s="652" t="s">
        <v>900</v>
      </c>
      <c r="I294" s="547"/>
      <c r="J294" s="547"/>
      <c r="K294" s="547"/>
      <c r="L294" s="547"/>
      <c r="M294" s="547"/>
      <c r="N294" s="547"/>
      <c r="O294" s="548"/>
      <c r="P294" s="555" t="s">
        <v>295</v>
      </c>
      <c r="Q294" s="1390"/>
      <c r="R294" s="525"/>
      <c r="S294" s="526"/>
      <c r="T294" s="1798"/>
      <c r="U294" s="1793"/>
      <c r="V294" s="1793"/>
      <c r="W294" s="1793"/>
      <c r="Y294" s="740">
        <f t="shared" si="2"/>
        <v>0</v>
      </c>
    </row>
    <row r="295" spans="2:25" s="121" customFormat="1" ht="12" customHeight="1" x14ac:dyDescent="0.2">
      <c r="B295" s="1797"/>
      <c r="C295" s="501"/>
      <c r="D295" s="524"/>
      <c r="E295" s="3432"/>
      <c r="F295" s="653"/>
      <c r="G295" s="556" t="s">
        <v>296</v>
      </c>
      <c r="H295" s="530" t="s">
        <v>981</v>
      </c>
      <c r="I295" s="654"/>
      <c r="J295" s="654"/>
      <c r="K295" s="654"/>
      <c r="L295" s="654"/>
      <c r="M295" s="654"/>
      <c r="N295" s="654"/>
      <c r="O295" s="655"/>
      <c r="P295" s="591" t="s">
        <v>298</v>
      </c>
      <c r="Q295" s="486">
        <f>SUM(Q292:Q294)</f>
        <v>0</v>
      </c>
      <c r="R295" s="525"/>
      <c r="S295" s="526"/>
      <c r="T295" s="1798"/>
      <c r="U295" s="1793"/>
      <c r="V295" s="1793"/>
      <c r="W295" s="1793"/>
      <c r="Y295" s="740"/>
    </row>
    <row r="296" spans="2:25" s="121" customFormat="1" ht="12.75" customHeight="1" x14ac:dyDescent="0.2">
      <c r="B296" s="1797"/>
      <c r="C296" s="501"/>
      <c r="D296" s="524"/>
      <c r="E296" s="3432"/>
      <c r="F296" s="632" t="s">
        <v>29</v>
      </c>
      <c r="G296" s="604" t="s">
        <v>9222</v>
      </c>
      <c r="H296" s="515"/>
      <c r="I296" s="521"/>
      <c r="J296" s="521"/>
      <c r="K296" s="521"/>
      <c r="L296" s="521"/>
      <c r="M296" s="521"/>
      <c r="N296" s="521"/>
      <c r="O296" s="522"/>
      <c r="P296" s="518" t="s">
        <v>608</v>
      </c>
      <c r="Q296" s="486">
        <f>(LTCG.B7a_FullConsideration-LTCG.B7biv_TotalDedn)</f>
        <v>0</v>
      </c>
      <c r="R296" s="525"/>
      <c r="S296" s="526"/>
      <c r="T296" s="1798"/>
      <c r="U296" s="1793"/>
      <c r="V296" s="1793"/>
      <c r="W296" s="1793"/>
      <c r="Y296" s="740"/>
    </row>
    <row r="297" spans="2:25" s="121" customFormat="1" ht="12" customHeight="1" x14ac:dyDescent="0.2">
      <c r="B297" s="1797"/>
      <c r="C297" s="501"/>
      <c r="D297" s="524"/>
      <c r="E297" s="3432"/>
      <c r="F297" s="381" t="s">
        <v>902</v>
      </c>
      <c r="G297" s="3064" t="s">
        <v>1010</v>
      </c>
      <c r="H297" s="3065"/>
      <c r="I297" s="3065"/>
      <c r="J297" s="3065"/>
      <c r="K297" s="3065"/>
      <c r="L297" s="3065"/>
      <c r="M297" s="3065"/>
      <c r="N297" s="3065"/>
      <c r="O297" s="3066"/>
      <c r="P297" s="544" t="s">
        <v>902</v>
      </c>
      <c r="Q297" s="1390"/>
      <c r="R297" s="525"/>
      <c r="S297" s="526"/>
      <c r="T297" s="1798"/>
      <c r="U297" s="1793"/>
      <c r="V297" s="1793"/>
      <c r="W297" s="1793"/>
      <c r="Y297" s="740">
        <f t="shared" si="2"/>
        <v>0</v>
      </c>
    </row>
    <row r="298" spans="2:25" s="121" customFormat="1" ht="12.75" hidden="1" customHeight="1" x14ac:dyDescent="0.2">
      <c r="B298" s="1797"/>
      <c r="C298" s="501"/>
      <c r="D298" s="524"/>
      <c r="E298" s="3432"/>
      <c r="F298" s="381" t="s">
        <v>904</v>
      </c>
      <c r="G298" s="1478" t="s">
        <v>983</v>
      </c>
      <c r="H298" s="649"/>
      <c r="I298" s="649"/>
      <c r="J298" s="649"/>
      <c r="K298" s="649"/>
      <c r="L298" s="649"/>
      <c r="M298" s="649"/>
      <c r="N298" s="649"/>
      <c r="O298" s="649"/>
      <c r="P298" s="544" t="s">
        <v>904</v>
      </c>
      <c r="Q298" s="1390"/>
      <c r="R298" s="525"/>
      <c r="S298" s="526"/>
      <c r="T298" s="1798"/>
      <c r="U298" s="1793"/>
      <c r="V298" s="1793"/>
      <c r="W298" s="1793"/>
      <c r="Y298" s="740">
        <f t="shared" si="2"/>
        <v>0</v>
      </c>
    </row>
    <row r="299" spans="2:25" s="121" customFormat="1" ht="13.5" hidden="1" customHeight="1" x14ac:dyDescent="0.2">
      <c r="B299" s="1797"/>
      <c r="C299" s="501"/>
      <c r="D299" s="524"/>
      <c r="E299" s="3432"/>
      <c r="F299" s="381" t="s">
        <v>390</v>
      </c>
      <c r="G299" s="1478" t="s">
        <v>7660</v>
      </c>
      <c r="H299" s="649"/>
      <c r="I299" s="649"/>
      <c r="J299" s="649"/>
      <c r="K299" s="649"/>
      <c r="L299" s="649"/>
      <c r="M299" s="649"/>
      <c r="N299" s="649"/>
      <c r="O299" s="649"/>
      <c r="P299" s="381" t="s">
        <v>904</v>
      </c>
      <c r="Q299" s="525"/>
      <c r="R299" s="525"/>
      <c r="S299" s="526"/>
      <c r="T299" s="1798"/>
      <c r="U299" s="1793"/>
      <c r="V299" s="1793"/>
      <c r="W299" s="1793"/>
      <c r="Y299" s="740">
        <f t="shared" si="2"/>
        <v>0</v>
      </c>
    </row>
    <row r="300" spans="2:25" s="121" customFormat="1" ht="12" customHeight="1" x14ac:dyDescent="0.2">
      <c r="B300" s="1797"/>
      <c r="C300" s="501"/>
      <c r="D300" s="524"/>
      <c r="E300" s="3432"/>
      <c r="F300" s="381" t="s">
        <v>904</v>
      </c>
      <c r="G300" s="3064" t="s">
        <v>1011</v>
      </c>
      <c r="H300" s="3065"/>
      <c r="I300" s="3065"/>
      <c r="J300" s="3065"/>
      <c r="K300" s="3065"/>
      <c r="L300" s="3065"/>
      <c r="M300" s="3065"/>
      <c r="N300" s="3065"/>
      <c r="O300" s="3066"/>
      <c r="P300" s="381" t="s">
        <v>904</v>
      </c>
      <c r="Q300" s="1390"/>
      <c r="R300" s="525"/>
      <c r="S300" s="526"/>
      <c r="T300" s="1798"/>
      <c r="U300" s="1793"/>
      <c r="V300" s="1793"/>
      <c r="W300" s="1793"/>
      <c r="Y300" s="740">
        <f t="shared" si="2"/>
        <v>0</v>
      </c>
    </row>
    <row r="301" spans="2:25" s="121" customFormat="1" ht="12" customHeight="1" x14ac:dyDescent="0.2">
      <c r="B301" s="1797"/>
      <c r="C301" s="501"/>
      <c r="D301" s="524"/>
      <c r="E301" s="3432"/>
      <c r="F301" s="381" t="s">
        <v>390</v>
      </c>
      <c r="G301" s="3064" t="s">
        <v>1012</v>
      </c>
      <c r="H301" s="3065"/>
      <c r="I301" s="3065"/>
      <c r="J301" s="3065"/>
      <c r="K301" s="3065"/>
      <c r="L301" s="3065"/>
      <c r="M301" s="3065"/>
      <c r="N301" s="3065"/>
      <c r="O301" s="3066"/>
      <c r="P301" s="381" t="s">
        <v>390</v>
      </c>
      <c r="Q301" s="1390"/>
      <c r="R301" s="525"/>
      <c r="S301" s="526"/>
      <c r="T301" s="1798"/>
      <c r="U301" s="1793"/>
      <c r="V301" s="1793"/>
      <c r="W301" s="1793"/>
      <c r="Y301" s="740">
        <f t="shared" si="2"/>
        <v>0</v>
      </c>
    </row>
    <row r="302" spans="2:25" s="121" customFormat="1" ht="12" customHeight="1" x14ac:dyDescent="0.2">
      <c r="B302" s="1797"/>
      <c r="C302" s="501"/>
      <c r="D302" s="524"/>
      <c r="E302" s="3432"/>
      <c r="F302" s="381" t="s">
        <v>907</v>
      </c>
      <c r="G302" s="3064" t="s">
        <v>1013</v>
      </c>
      <c r="H302" s="3065"/>
      <c r="I302" s="3065"/>
      <c r="J302" s="3065"/>
      <c r="K302" s="3065"/>
      <c r="L302" s="3065"/>
      <c r="M302" s="3065"/>
      <c r="N302" s="3065"/>
      <c r="O302" s="3066"/>
      <c r="P302" s="381" t="s">
        <v>907</v>
      </c>
      <c r="Q302" s="1390"/>
      <c r="R302" s="525"/>
      <c r="S302" s="526"/>
      <c r="T302" s="1798"/>
      <c r="U302" s="1793"/>
      <c r="V302" s="1793"/>
      <c r="W302" s="1793"/>
      <c r="Y302" s="740">
        <f t="shared" si="2"/>
        <v>0</v>
      </c>
    </row>
    <row r="303" spans="2:25" s="121" customFormat="1" ht="12" customHeight="1" x14ac:dyDescent="0.2">
      <c r="B303" s="1797"/>
      <c r="C303" s="501"/>
      <c r="D303" s="524"/>
      <c r="E303" s="3432"/>
      <c r="F303" s="609" t="s">
        <v>36</v>
      </c>
      <c r="G303" s="3064" t="s">
        <v>12101</v>
      </c>
      <c r="H303" s="3065"/>
      <c r="I303" s="3065"/>
      <c r="J303" s="3065"/>
      <c r="K303" s="3065"/>
      <c r="L303" s="3065"/>
      <c r="M303" s="3065"/>
      <c r="N303" s="3065"/>
      <c r="O303" s="3066"/>
      <c r="P303" s="510" t="s">
        <v>610</v>
      </c>
      <c r="Q303" s="486">
        <f>SUM(Q297:Q302)</f>
        <v>0</v>
      </c>
      <c r="R303" s="592"/>
      <c r="S303" s="593"/>
      <c r="T303" s="1798"/>
      <c r="U303" s="1793"/>
      <c r="V303" s="1793"/>
      <c r="W303" s="1793"/>
    </row>
    <row r="304" spans="2:25" s="121" customFormat="1" ht="12" customHeight="1" x14ac:dyDescent="0.2">
      <c r="B304" s="1797"/>
      <c r="C304" s="501"/>
      <c r="D304" s="524"/>
      <c r="E304" s="3433"/>
      <c r="F304" s="518" t="s">
        <v>869</v>
      </c>
      <c r="G304" s="3391" t="s">
        <v>13205</v>
      </c>
      <c r="H304" s="3392"/>
      <c r="I304" s="3392"/>
      <c r="J304" s="3392"/>
      <c r="K304" s="3392"/>
      <c r="L304" s="3392"/>
      <c r="M304" s="3392"/>
      <c r="N304" s="3392"/>
      <c r="O304" s="3392"/>
      <c r="P304" s="3392"/>
      <c r="Q304" s="3393"/>
      <c r="R304" s="520" t="s">
        <v>9001</v>
      </c>
      <c r="S304" s="1019">
        <f>IF(LTCG.B7c_BalanceCG&lt;0,LTCG.B7c_BalanceCG,IF(LTCG.B7d_ExemptionGrandTotal&gt;LTCG.B7c_BalanceCG,0,LTCG.B7c_BalanceCG-LTCG.B7d_ExemptionGrandTotal))</f>
        <v>0</v>
      </c>
      <c r="T304" s="1798"/>
      <c r="U304" s="1793"/>
      <c r="V304" s="1793"/>
      <c r="W304" s="1793"/>
    </row>
    <row r="305" spans="2:25" s="121" customFormat="1" ht="12.75" hidden="1" customHeight="1" x14ac:dyDescent="0.2">
      <c r="B305" s="1797"/>
      <c r="C305" s="501"/>
      <c r="D305" s="524"/>
      <c r="E305" s="3431">
        <v>9</v>
      </c>
      <c r="F305" s="381" t="s">
        <v>287</v>
      </c>
      <c r="G305" s="545" t="s">
        <v>1015</v>
      </c>
      <c r="H305" s="649"/>
      <c r="I305" s="649"/>
      <c r="J305" s="649"/>
      <c r="K305" s="649"/>
      <c r="L305" s="649"/>
      <c r="M305" s="649"/>
      <c r="N305" s="649"/>
      <c r="O305" s="649"/>
      <c r="P305" s="544" t="s">
        <v>287</v>
      </c>
      <c r="Q305" s="220"/>
      <c r="R305" s="525"/>
      <c r="S305" s="526"/>
      <c r="T305" s="1798"/>
      <c r="U305" s="1793"/>
      <c r="V305" s="1793"/>
      <c r="W305" s="1793"/>
      <c r="Y305" s="121">
        <f t="shared" si="2"/>
        <v>0</v>
      </c>
    </row>
    <row r="306" spans="2:25" s="121" customFormat="1" ht="12.75" hidden="1" customHeight="1" x14ac:dyDescent="0.2">
      <c r="B306" s="1797"/>
      <c r="C306" s="501"/>
      <c r="D306" s="524"/>
      <c r="E306" s="3432"/>
      <c r="F306" s="381" t="s">
        <v>290</v>
      </c>
      <c r="G306" s="545" t="s">
        <v>1016</v>
      </c>
      <c r="H306" s="649"/>
      <c r="I306" s="649"/>
      <c r="J306" s="649"/>
      <c r="K306" s="649"/>
      <c r="L306" s="649"/>
      <c r="M306" s="649"/>
      <c r="N306" s="649"/>
      <c r="O306" s="649"/>
      <c r="P306" s="544" t="s">
        <v>290</v>
      </c>
      <c r="Q306" s="220"/>
      <c r="R306" s="525"/>
      <c r="S306" s="526"/>
      <c r="T306" s="1798"/>
      <c r="U306" s="1793"/>
      <c r="V306" s="1793"/>
      <c r="W306" s="1793"/>
      <c r="Y306" s="121">
        <f t="shared" si="2"/>
        <v>0</v>
      </c>
    </row>
    <row r="307" spans="2:25" s="121" customFormat="1" ht="12.75" hidden="1" customHeight="1" x14ac:dyDescent="0.2">
      <c r="B307" s="1797"/>
      <c r="C307" s="501"/>
      <c r="D307" s="524"/>
      <c r="E307" s="3432"/>
      <c r="F307" s="381" t="s">
        <v>290</v>
      </c>
      <c r="G307" s="545" t="s">
        <v>1017</v>
      </c>
      <c r="H307" s="649"/>
      <c r="I307" s="649"/>
      <c r="J307" s="649"/>
      <c r="K307" s="649"/>
      <c r="L307" s="649"/>
      <c r="M307" s="649"/>
      <c r="N307" s="649"/>
      <c r="O307" s="649"/>
      <c r="P307" s="544" t="s">
        <v>290</v>
      </c>
      <c r="Q307" s="220"/>
      <c r="R307" s="525"/>
      <c r="S307" s="526"/>
      <c r="T307" s="1798"/>
      <c r="U307" s="1793"/>
      <c r="V307" s="1793"/>
      <c r="W307" s="1793"/>
      <c r="Y307" s="121">
        <f t="shared" si="2"/>
        <v>0</v>
      </c>
    </row>
    <row r="308" spans="2:25" s="121" customFormat="1" ht="12.75" hidden="1" customHeight="1" x14ac:dyDescent="0.2">
      <c r="B308" s="1797"/>
      <c r="C308" s="501"/>
      <c r="D308" s="524"/>
      <c r="E308" s="3432"/>
      <c r="F308" s="381" t="s">
        <v>293</v>
      </c>
      <c r="G308" s="545" t="s">
        <v>1018</v>
      </c>
      <c r="H308" s="649"/>
      <c r="I308" s="649"/>
      <c r="J308" s="649"/>
      <c r="K308" s="649"/>
      <c r="L308" s="649"/>
      <c r="M308" s="649"/>
      <c r="N308" s="649"/>
      <c r="O308" s="649"/>
      <c r="P308" s="544" t="s">
        <v>293</v>
      </c>
      <c r="Q308" s="220"/>
      <c r="R308" s="525"/>
      <c r="S308" s="526"/>
      <c r="T308" s="1798"/>
      <c r="U308" s="1793"/>
      <c r="V308" s="1793"/>
      <c r="W308" s="1793"/>
      <c r="Y308" s="121">
        <f t="shared" si="2"/>
        <v>0</v>
      </c>
    </row>
    <row r="309" spans="2:25" s="121" customFormat="1" ht="12.75" hidden="1" customHeight="1" x14ac:dyDescent="0.2">
      <c r="B309" s="1797"/>
      <c r="C309" s="501"/>
      <c r="D309" s="524"/>
      <c r="E309" s="3432"/>
      <c r="F309" s="381" t="s">
        <v>296</v>
      </c>
      <c r="G309" s="545" t="s">
        <v>1019</v>
      </c>
      <c r="H309" s="649"/>
      <c r="I309" s="649"/>
      <c r="J309" s="649"/>
      <c r="K309" s="649"/>
      <c r="L309" s="649"/>
      <c r="M309" s="649"/>
      <c r="N309" s="649"/>
      <c r="O309" s="649"/>
      <c r="P309" s="544" t="s">
        <v>296</v>
      </c>
      <c r="Q309" s="220"/>
      <c r="R309" s="525"/>
      <c r="S309" s="526"/>
      <c r="T309" s="1798"/>
      <c r="U309" s="1793"/>
      <c r="V309" s="1793"/>
      <c r="W309" s="1793"/>
      <c r="Y309" s="121">
        <f t="shared" si="2"/>
        <v>0</v>
      </c>
    </row>
    <row r="310" spans="2:25" s="121" customFormat="1" ht="12.75" hidden="1" customHeight="1" x14ac:dyDescent="0.2">
      <c r="B310" s="1797"/>
      <c r="C310" s="501"/>
      <c r="D310" s="524"/>
      <c r="E310" s="3432"/>
      <c r="F310" s="381" t="s">
        <v>290</v>
      </c>
      <c r="G310" s="545" t="s">
        <v>1020</v>
      </c>
      <c r="H310" s="649"/>
      <c r="I310" s="649"/>
      <c r="J310" s="649"/>
      <c r="K310" s="649"/>
      <c r="L310" s="649"/>
      <c r="M310" s="649"/>
      <c r="N310" s="649"/>
      <c r="O310" s="649"/>
      <c r="P310" s="544" t="s">
        <v>290</v>
      </c>
      <c r="Q310" s="220"/>
      <c r="R310" s="525"/>
      <c r="S310" s="526"/>
      <c r="T310" s="1798"/>
      <c r="U310" s="1793"/>
      <c r="V310" s="1793"/>
      <c r="W310" s="1793"/>
      <c r="Y310" s="121">
        <f t="shared" si="2"/>
        <v>0</v>
      </c>
    </row>
    <row r="311" spans="2:25" s="121" customFormat="1" ht="12.75" hidden="1" customHeight="1" x14ac:dyDescent="0.2">
      <c r="B311" s="1797"/>
      <c r="C311" s="501"/>
      <c r="D311" s="524"/>
      <c r="E311" s="3432"/>
      <c r="F311" s="381" t="s">
        <v>290</v>
      </c>
      <c r="G311" s="545" t="s">
        <v>1021</v>
      </c>
      <c r="H311" s="649"/>
      <c r="I311" s="649"/>
      <c r="J311" s="649"/>
      <c r="K311" s="649"/>
      <c r="L311" s="649"/>
      <c r="M311" s="649"/>
      <c r="N311" s="649"/>
      <c r="O311" s="649"/>
      <c r="P311" s="544" t="s">
        <v>290</v>
      </c>
      <c r="Q311" s="220"/>
      <c r="R311" s="525"/>
      <c r="S311" s="526"/>
      <c r="T311" s="1798"/>
      <c r="U311" s="1793"/>
      <c r="V311" s="1793"/>
      <c r="W311" s="1793"/>
      <c r="Y311" s="121">
        <f t="shared" si="2"/>
        <v>0</v>
      </c>
    </row>
    <row r="312" spans="2:25" s="121" customFormat="1" ht="12.75" hidden="1" customHeight="1" x14ac:dyDescent="0.2">
      <c r="B312" s="1797"/>
      <c r="C312" s="501"/>
      <c r="D312" s="524"/>
      <c r="E312" s="3432"/>
      <c r="F312" s="381" t="s">
        <v>299</v>
      </c>
      <c r="G312" s="545" t="s">
        <v>1022</v>
      </c>
      <c r="H312" s="649"/>
      <c r="I312" s="649"/>
      <c r="J312" s="649"/>
      <c r="K312" s="649"/>
      <c r="L312" s="649"/>
      <c r="M312" s="649"/>
      <c r="N312" s="649"/>
      <c r="O312" s="649"/>
      <c r="P312" s="544" t="s">
        <v>299</v>
      </c>
      <c r="Q312" s="220"/>
      <c r="R312" s="525"/>
      <c r="S312" s="526"/>
      <c r="T312" s="1798"/>
      <c r="U312" s="1793"/>
      <c r="V312" s="1793"/>
      <c r="W312" s="1793"/>
      <c r="Y312" s="121">
        <f t="shared" si="2"/>
        <v>0</v>
      </c>
    </row>
    <row r="313" spans="2:25" s="121" customFormat="1" ht="12.75" hidden="1" customHeight="1" x14ac:dyDescent="0.2">
      <c r="B313" s="1797"/>
      <c r="C313" s="501"/>
      <c r="D313" s="524"/>
      <c r="E313" s="3432"/>
      <c r="F313" s="381" t="s">
        <v>430</v>
      </c>
      <c r="G313" s="545" t="s">
        <v>1023</v>
      </c>
      <c r="H313" s="649"/>
      <c r="I313" s="649"/>
      <c r="J313" s="649"/>
      <c r="K313" s="649"/>
      <c r="L313" s="649"/>
      <c r="M313" s="649"/>
      <c r="N313" s="649"/>
      <c r="O313" s="649"/>
      <c r="P313" s="544" t="s">
        <v>430</v>
      </c>
      <c r="Q313" s="220"/>
      <c r="R313" s="525"/>
      <c r="S313" s="526"/>
      <c r="T313" s="1798"/>
      <c r="U313" s="1793"/>
      <c r="V313" s="1793"/>
      <c r="W313" s="1793"/>
      <c r="Y313" s="121">
        <f t="shared" si="2"/>
        <v>0</v>
      </c>
    </row>
    <row r="314" spans="2:25" s="121" customFormat="1" ht="12.75" hidden="1" customHeight="1" x14ac:dyDescent="0.2">
      <c r="B314" s="1797"/>
      <c r="C314" s="501"/>
      <c r="D314" s="524"/>
      <c r="E314" s="3433"/>
      <c r="F314" s="610" t="s">
        <v>1024</v>
      </c>
      <c r="G314" s="658"/>
      <c r="H314" s="656"/>
      <c r="I314" s="656"/>
      <c r="J314" s="656"/>
      <c r="K314" s="656"/>
      <c r="L314" s="656"/>
      <c r="M314" s="656"/>
      <c r="N314" s="656"/>
      <c r="O314" s="656"/>
      <c r="P314" s="657"/>
      <c r="Q314" s="607"/>
      <c r="R314" s="520" t="s">
        <v>1025</v>
      </c>
      <c r="S314" s="659">
        <f>SUM(Q305:Q313)</f>
        <v>0</v>
      </c>
      <c r="T314" s="1798"/>
      <c r="U314" s="1793"/>
      <c r="V314" s="1793"/>
      <c r="W314" s="1793"/>
      <c r="Y314" s="121">
        <f t="shared" si="2"/>
        <v>0</v>
      </c>
    </row>
    <row r="315" spans="2:25" s="121" customFormat="1" ht="12.75" customHeight="1" x14ac:dyDescent="0.2">
      <c r="B315" s="1797"/>
      <c r="C315" s="501"/>
      <c r="D315" s="524"/>
      <c r="E315" s="613">
        <v>11</v>
      </c>
      <c r="F315" s="3388" t="s">
        <v>7207</v>
      </c>
      <c r="G315" s="3389"/>
      <c r="H315" s="3389"/>
      <c r="I315" s="3389"/>
      <c r="J315" s="3389"/>
      <c r="K315" s="3389"/>
      <c r="L315" s="3389"/>
      <c r="M315" s="3389"/>
      <c r="N315" s="3389"/>
      <c r="O315" s="3389"/>
      <c r="P315" s="3389"/>
      <c r="Q315" s="3390"/>
      <c r="R315" s="520"/>
      <c r="S315" s="660"/>
      <c r="T315" s="1798"/>
      <c r="U315" s="1793"/>
      <c r="V315" s="1793"/>
      <c r="W315" s="1793"/>
    </row>
    <row r="316" spans="2:25" s="121" customFormat="1" ht="29.25" customHeight="1" x14ac:dyDescent="0.2">
      <c r="B316" s="1797"/>
      <c r="C316" s="501"/>
      <c r="D316" s="524"/>
      <c r="E316" s="1624" t="s">
        <v>27</v>
      </c>
      <c r="F316" s="3510" t="s">
        <v>12837</v>
      </c>
      <c r="G316" s="3511"/>
      <c r="H316" s="3511"/>
      <c r="I316" s="3511"/>
      <c r="J316" s="3511"/>
      <c r="K316" s="3511"/>
      <c r="L316" s="3511"/>
      <c r="M316" s="3511"/>
      <c r="N316" s="3511"/>
      <c r="O316" s="3512"/>
      <c r="P316" s="3516" t="s">
        <v>12</v>
      </c>
      <c r="Q316" s="3517"/>
      <c r="R316" s="661"/>
      <c r="S316" s="583"/>
      <c r="T316" s="1798"/>
      <c r="U316" s="1793"/>
      <c r="V316" s="1793"/>
      <c r="W316" s="1793"/>
    </row>
    <row r="317" spans="2:25" s="121" customFormat="1" ht="12.75" customHeight="1" x14ac:dyDescent="0.2">
      <c r="B317" s="1797"/>
      <c r="C317" s="501"/>
      <c r="D317" s="524"/>
      <c r="E317" s="1626"/>
      <c r="F317" s="3602"/>
      <c r="G317" s="3617" t="s">
        <v>8280</v>
      </c>
      <c r="H317" s="3405" t="s">
        <v>7138</v>
      </c>
      <c r="I317" s="3405" t="s">
        <v>7139</v>
      </c>
      <c r="J317" s="3598" t="s">
        <v>7140</v>
      </c>
      <c r="K317" s="3599"/>
      <c r="L317" s="3405" t="s">
        <v>7141</v>
      </c>
      <c r="M317" s="1133"/>
      <c r="N317" s="1133"/>
      <c r="O317" s="1133"/>
      <c r="P317" s="1133"/>
      <c r="Q317" s="1133"/>
      <c r="R317" s="662"/>
      <c r="S317" s="586"/>
      <c r="T317" s="1798"/>
      <c r="U317" s="1793"/>
      <c r="V317" s="1793"/>
      <c r="W317" s="1793"/>
    </row>
    <row r="318" spans="2:25" s="121" customFormat="1" ht="63.75" customHeight="1" x14ac:dyDescent="0.2">
      <c r="B318" s="1797"/>
      <c r="C318" s="501"/>
      <c r="D318" s="524"/>
      <c r="E318" s="622"/>
      <c r="F318" s="3603"/>
      <c r="G318" s="3618"/>
      <c r="H318" s="3406"/>
      <c r="I318" s="3406"/>
      <c r="J318" s="1471" t="s">
        <v>7142</v>
      </c>
      <c r="K318" s="1472" t="s">
        <v>7143</v>
      </c>
      <c r="L318" s="3406"/>
      <c r="M318" s="1133"/>
      <c r="N318" s="1133"/>
      <c r="O318" s="1133"/>
      <c r="P318" s="1133"/>
      <c r="Q318" s="1133"/>
      <c r="R318" s="662"/>
      <c r="S318" s="586"/>
      <c r="T318" s="1798"/>
      <c r="U318" s="1793"/>
      <c r="V318" s="1793"/>
      <c r="W318" s="1793"/>
    </row>
    <row r="319" spans="2:25" s="121" customFormat="1" ht="12.75" x14ac:dyDescent="0.2">
      <c r="B319" s="1797"/>
      <c r="C319" s="501"/>
      <c r="D319" s="524"/>
      <c r="E319" s="622"/>
      <c r="F319" s="1622"/>
      <c r="G319" s="1623">
        <v>1</v>
      </c>
      <c r="H319" s="2282"/>
      <c r="I319" s="2663"/>
      <c r="J319" s="2282"/>
      <c r="K319" s="2664"/>
      <c r="L319" s="2664"/>
      <c r="M319" s="1133"/>
      <c r="N319" s="1133"/>
      <c r="O319" s="1133"/>
      <c r="P319" s="1133"/>
      <c r="Q319" s="1133"/>
      <c r="R319" s="662"/>
      <c r="S319" s="586"/>
      <c r="T319" s="1798"/>
      <c r="U319" s="1793"/>
      <c r="V319" s="1793"/>
      <c r="W319" s="1793"/>
    </row>
    <row r="320" spans="2:25" s="121" customFormat="1" ht="29.25" customHeight="1" x14ac:dyDescent="0.2">
      <c r="B320" s="1797"/>
      <c r="C320" s="501"/>
      <c r="D320" s="524"/>
      <c r="E320" s="1627"/>
      <c r="F320" s="1816"/>
      <c r="G320" s="3595"/>
      <c r="H320" s="3595"/>
      <c r="I320" s="3600"/>
      <c r="J320" s="3600"/>
      <c r="K320" s="3600"/>
      <c r="L320" s="3601"/>
      <c r="M320" s="1133"/>
      <c r="N320" s="1133"/>
      <c r="O320" s="1133"/>
      <c r="P320" s="1133"/>
      <c r="Q320" s="1133"/>
      <c r="R320" s="662"/>
      <c r="S320" s="586"/>
      <c r="T320" s="1798"/>
      <c r="U320" s="1793"/>
      <c r="V320" s="1793"/>
      <c r="W320" s="1793"/>
    </row>
    <row r="321" spans="2:54" s="121" customFormat="1" ht="15.75" customHeight="1" x14ac:dyDescent="0.25">
      <c r="B321" s="1797"/>
      <c r="C321" s="501"/>
      <c r="D321" s="524"/>
      <c r="E321" s="1625" t="s">
        <v>28</v>
      </c>
      <c r="F321" s="3597" t="s">
        <v>7208</v>
      </c>
      <c r="G321" s="3389"/>
      <c r="H321" s="3389"/>
      <c r="I321" s="3389"/>
      <c r="J321" s="3389"/>
      <c r="K321" s="3389"/>
      <c r="L321" s="3389"/>
      <c r="M321" s="3389"/>
      <c r="N321" s="3389"/>
      <c r="O321" s="3390"/>
      <c r="P321" s="544" t="s">
        <v>617</v>
      </c>
      <c r="Q321" s="1401"/>
      <c r="R321" s="663"/>
      <c r="S321" s="664"/>
      <c r="T321" s="1798"/>
      <c r="U321" s="1793"/>
      <c r="V321" s="1793"/>
      <c r="W321" s="1793"/>
      <c r="AK321"/>
      <c r="AL321"/>
      <c r="AM321"/>
      <c r="AN321"/>
      <c r="AO321"/>
      <c r="AP321"/>
      <c r="AQ321"/>
      <c r="AR321"/>
      <c r="AS321"/>
      <c r="AT321"/>
      <c r="AU321"/>
      <c r="AV321"/>
      <c r="AW321"/>
      <c r="AX321"/>
      <c r="AY321"/>
      <c r="AZ321"/>
      <c r="BA321"/>
      <c r="BB321"/>
    </row>
    <row r="322" spans="2:54" s="121" customFormat="1" ht="12.75" customHeight="1" x14ac:dyDescent="0.25">
      <c r="B322" s="1797"/>
      <c r="C322" s="501"/>
      <c r="D322" s="524"/>
      <c r="E322" s="665"/>
      <c r="F322" s="3619" t="s">
        <v>13204</v>
      </c>
      <c r="G322" s="3620"/>
      <c r="H322" s="3620"/>
      <c r="I322" s="3620"/>
      <c r="J322" s="3620"/>
      <c r="K322" s="3620"/>
      <c r="L322" s="3620"/>
      <c r="M322" s="3620"/>
      <c r="N322" s="3620"/>
      <c r="O322" s="3620"/>
      <c r="P322" s="3620"/>
      <c r="Q322" s="3621"/>
      <c r="R322" s="594" t="s">
        <v>7154</v>
      </c>
      <c r="S322" s="1019">
        <f>SUM(LTCG.B9_AmtNotUsed_1,LTCG.B9_AmountDeemedOth)</f>
        <v>0</v>
      </c>
      <c r="T322" s="1798"/>
      <c r="U322" s="1793"/>
      <c r="V322" s="1793"/>
      <c r="W322" s="1793"/>
      <c r="Y322" s="740">
        <f>IF(LTCG.B9_AmtDeemed&lt;&gt;0,1,0)</f>
        <v>0</v>
      </c>
      <c r="AK322"/>
      <c r="AL322"/>
      <c r="AM322"/>
      <c r="AN322"/>
      <c r="AO322"/>
      <c r="AP322"/>
      <c r="AQ322"/>
      <c r="AR322"/>
      <c r="AS322"/>
      <c r="AT322"/>
      <c r="AU322"/>
      <c r="AV322"/>
      <c r="AW322"/>
      <c r="AX322"/>
      <c r="AY322"/>
      <c r="AZ322"/>
      <c r="BA322"/>
      <c r="BB322"/>
    </row>
    <row r="323" spans="2:54" s="121" customFormat="1" ht="12.75" customHeight="1" x14ac:dyDescent="0.25">
      <c r="B323" s="1797"/>
      <c r="C323" s="501"/>
      <c r="D323" s="524"/>
      <c r="E323" s="3604">
        <v>12</v>
      </c>
      <c r="F323" s="3507" t="s">
        <v>13203</v>
      </c>
      <c r="G323" s="3508"/>
      <c r="H323" s="3508"/>
      <c r="I323" s="3508"/>
      <c r="J323" s="3508"/>
      <c r="K323" s="3508"/>
      <c r="L323" s="3508"/>
      <c r="M323" s="3508"/>
      <c r="N323" s="3508"/>
      <c r="O323" s="3508"/>
      <c r="P323" s="3508"/>
      <c r="Q323" s="3509"/>
      <c r="R323" s="594" t="s">
        <v>9276</v>
      </c>
      <c r="S323" s="1019">
        <f>SUM(LTCG.B12_PassThroughIncome10,LTCG.B12_PassThroughIncome20,LTCG.B12_PassThroughIncome10_112A)</f>
        <v>0</v>
      </c>
      <c r="T323" s="1798"/>
      <c r="U323" s="1793"/>
      <c r="V323" s="1793"/>
      <c r="W323" s="1793"/>
      <c r="Y323" s="848"/>
      <c r="AK323"/>
      <c r="AL323"/>
      <c r="AM323"/>
      <c r="AN323"/>
      <c r="AO323"/>
      <c r="AP323"/>
      <c r="AQ323"/>
      <c r="AR323"/>
      <c r="AS323"/>
      <c r="AT323"/>
      <c r="AU323"/>
      <c r="AV323"/>
      <c r="AW323"/>
      <c r="AX323"/>
      <c r="AY323"/>
      <c r="AZ323"/>
      <c r="BA323"/>
      <c r="BB323"/>
    </row>
    <row r="324" spans="2:54" s="121" customFormat="1" ht="12.75" customHeight="1" x14ac:dyDescent="0.25">
      <c r="B324" s="1797"/>
      <c r="C324" s="501"/>
      <c r="D324" s="524"/>
      <c r="E324" s="3605"/>
      <c r="F324" s="567" t="s">
        <v>12060</v>
      </c>
      <c r="G324" s="3507" t="s">
        <v>12061</v>
      </c>
      <c r="H324" s="3508"/>
      <c r="I324" s="3508"/>
      <c r="J324" s="3508"/>
      <c r="K324" s="3508"/>
      <c r="L324" s="3508"/>
      <c r="M324" s="3508"/>
      <c r="N324" s="3508"/>
      <c r="O324" s="3509"/>
      <c r="P324" s="544" t="s">
        <v>12064</v>
      </c>
      <c r="Q324" s="1973"/>
      <c r="R324" s="1258"/>
      <c r="S324" s="532"/>
      <c r="T324" s="1798"/>
      <c r="U324" s="1793"/>
      <c r="V324" s="1793"/>
      <c r="W324" s="1793"/>
      <c r="Y324" s="848"/>
      <c r="AK324"/>
      <c r="AL324"/>
      <c r="AM324"/>
      <c r="AN324"/>
      <c r="AO324"/>
      <c r="AP324"/>
      <c r="AQ324"/>
      <c r="AR324"/>
      <c r="AS324"/>
      <c r="AT324"/>
      <c r="AU324"/>
      <c r="AV324"/>
      <c r="AW324"/>
      <c r="AX324"/>
      <c r="AY324"/>
      <c r="AZ324"/>
      <c r="BA324"/>
      <c r="BB324"/>
    </row>
    <row r="325" spans="2:54" s="121" customFormat="1" ht="12.75" customHeight="1" x14ac:dyDescent="0.25">
      <c r="B325" s="1797"/>
      <c r="C325" s="501"/>
      <c r="D325" s="524"/>
      <c r="E325" s="3605"/>
      <c r="F325" s="567" t="s">
        <v>12062</v>
      </c>
      <c r="G325" s="3507" t="s">
        <v>12063</v>
      </c>
      <c r="H325" s="3508"/>
      <c r="I325" s="3508"/>
      <c r="J325" s="3508"/>
      <c r="K325" s="3508"/>
      <c r="L325" s="3508"/>
      <c r="M325" s="3508"/>
      <c r="N325" s="3508"/>
      <c r="O325" s="3509"/>
      <c r="P325" s="544" t="s">
        <v>12065</v>
      </c>
      <c r="Q325" s="1973"/>
      <c r="R325" s="1258"/>
      <c r="S325" s="532"/>
      <c r="T325" s="1798"/>
      <c r="U325" s="1793"/>
      <c r="V325" s="1793"/>
      <c r="W325" s="1793"/>
      <c r="Y325" s="848"/>
      <c r="AK325"/>
      <c r="AL325"/>
      <c r="AM325"/>
      <c r="AN325"/>
      <c r="AO325"/>
      <c r="AP325"/>
      <c r="AQ325"/>
      <c r="AR325"/>
      <c r="AS325"/>
      <c r="AT325"/>
      <c r="AU325"/>
      <c r="AV325"/>
      <c r="AW325"/>
      <c r="AX325"/>
      <c r="AY325"/>
      <c r="AZ325"/>
      <c r="BA325"/>
      <c r="BB325"/>
    </row>
    <row r="326" spans="2:54" s="121" customFormat="1" ht="12.75" customHeight="1" x14ac:dyDescent="0.25">
      <c r="B326" s="1797"/>
      <c r="C326" s="501"/>
      <c r="D326" s="524"/>
      <c r="E326" s="3606"/>
      <c r="F326" s="567" t="s">
        <v>28</v>
      </c>
      <c r="G326" s="3507" t="s">
        <v>12059</v>
      </c>
      <c r="H326" s="3508"/>
      <c r="I326" s="3508"/>
      <c r="J326" s="3508"/>
      <c r="K326" s="3508"/>
      <c r="L326" s="3508"/>
      <c r="M326" s="3508"/>
      <c r="N326" s="3508"/>
      <c r="O326" s="3509"/>
      <c r="P326" s="544" t="s">
        <v>625</v>
      </c>
      <c r="Q326" s="1973"/>
      <c r="R326" s="1259"/>
      <c r="S326" s="551"/>
      <c r="T326" s="1798"/>
      <c r="U326" s="1793"/>
      <c r="V326" s="1793"/>
      <c r="W326" s="1793"/>
      <c r="Y326" s="848"/>
      <c r="AK326"/>
      <c r="AL326"/>
      <c r="AM326"/>
      <c r="AN326"/>
      <c r="AO326"/>
      <c r="AP326"/>
      <c r="AQ326"/>
      <c r="AR326"/>
      <c r="AS326"/>
      <c r="AT326"/>
      <c r="AU326"/>
      <c r="AV326"/>
      <c r="AW326"/>
      <c r="AX326"/>
      <c r="AY326"/>
      <c r="AZ326"/>
      <c r="BA326"/>
      <c r="BB326"/>
    </row>
    <row r="327" spans="2:54" s="121" customFormat="1" ht="13.5" customHeight="1" x14ac:dyDescent="0.25">
      <c r="B327" s="1797"/>
      <c r="C327" s="501"/>
      <c r="D327" s="524"/>
      <c r="E327" s="1008">
        <v>13</v>
      </c>
      <c r="F327" s="3613" t="s">
        <v>12066</v>
      </c>
      <c r="G327" s="3614"/>
      <c r="H327" s="3614"/>
      <c r="I327" s="3614"/>
      <c r="J327" s="3614"/>
      <c r="K327" s="3614"/>
      <c r="L327" s="3614"/>
      <c r="M327" s="3614"/>
      <c r="N327" s="3614"/>
      <c r="O327" s="3614"/>
      <c r="P327" s="3614"/>
      <c r="Q327" s="3615"/>
      <c r="R327" s="3615"/>
      <c r="S327" s="3616"/>
      <c r="T327" s="1798"/>
      <c r="U327" s="1793"/>
      <c r="V327" s="1793"/>
      <c r="W327" s="1793"/>
      <c r="AK327"/>
      <c r="AL327"/>
      <c r="AM327"/>
      <c r="AN327"/>
      <c r="AO327"/>
      <c r="AP327"/>
      <c r="AQ327"/>
      <c r="AR327"/>
      <c r="AS327"/>
      <c r="AT327"/>
      <c r="AU327"/>
      <c r="AV327"/>
      <c r="AW327"/>
      <c r="AX327"/>
      <c r="AY327"/>
      <c r="AZ327"/>
      <c r="BA327"/>
      <c r="BB327"/>
    </row>
    <row r="328" spans="2:54" s="121" customFormat="1" ht="51" x14ac:dyDescent="0.25">
      <c r="B328" s="1797"/>
      <c r="C328" s="501"/>
      <c r="D328" s="524"/>
      <c r="E328" s="1009"/>
      <c r="F328" s="1005"/>
      <c r="G328" s="1006" t="s">
        <v>11920</v>
      </c>
      <c r="H328" s="1007" t="s">
        <v>8326</v>
      </c>
      <c r="I328" s="1007" t="s">
        <v>9285</v>
      </c>
      <c r="J328" s="1007" t="s">
        <v>8325</v>
      </c>
      <c r="K328" s="1007" t="s">
        <v>8324</v>
      </c>
      <c r="L328" s="1007" t="s">
        <v>8323</v>
      </c>
      <c r="M328" s="1007" t="s">
        <v>8322</v>
      </c>
      <c r="N328" s="1007" t="s">
        <v>8321</v>
      </c>
      <c r="O328" s="1007" t="s">
        <v>8320</v>
      </c>
      <c r="P328" s="1007" t="s">
        <v>8319</v>
      </c>
      <c r="Q328" s="1002"/>
      <c r="R328" s="566"/>
      <c r="S328" s="526"/>
      <c r="T328" s="1798"/>
      <c r="U328" s="1793"/>
      <c r="V328" s="1793"/>
      <c r="W328" s="1793"/>
      <c r="Z328" s="740" t="s">
        <v>42</v>
      </c>
      <c r="AA328" s="740" t="s">
        <v>7147</v>
      </c>
      <c r="AB328" s="740" t="s">
        <v>7188</v>
      </c>
      <c r="AC328" s="740"/>
      <c r="AD328" s="740"/>
      <c r="AE328" s="740"/>
      <c r="AF328" s="740">
        <f>IF(MID(sheet1.ResidentialStatus1,1,3)="NRI",SUMIFS(Section_AmountLtcgB9,LTCG.B9_CertiStatus,"=Yes",Section_CodeSLtcgB9,Y112),SUMIF(Section_CodeSLtcgB9,Y112,Section_AmountLtcgB9))</f>
        <v>0</v>
      </c>
      <c r="AG328" s="740"/>
      <c r="AH328" s="740"/>
      <c r="AI328" s="740"/>
      <c r="AJ328" s="740"/>
      <c r="AK328"/>
      <c r="AL328"/>
      <c r="AM328"/>
      <c r="AN328"/>
      <c r="AO328"/>
      <c r="AP328"/>
      <c r="AQ328"/>
      <c r="AR328"/>
      <c r="AS328"/>
      <c r="AT328"/>
      <c r="AU328"/>
      <c r="AV328"/>
      <c r="AW328"/>
      <c r="AX328"/>
      <c r="AY328"/>
      <c r="AZ328"/>
      <c r="BA328"/>
    </row>
    <row r="329" spans="2:54" s="121" customFormat="1" ht="15" x14ac:dyDescent="0.25">
      <c r="B329" s="1797"/>
      <c r="C329" s="501"/>
      <c r="D329" s="524"/>
      <c r="E329" s="1009"/>
      <c r="F329" s="571"/>
      <c r="G329" s="567">
        <f>1</f>
        <v>1</v>
      </c>
      <c r="H329" s="534"/>
      <c r="I329" s="71"/>
      <c r="J329" s="71"/>
      <c r="K329" s="1081"/>
      <c r="L329" s="1080"/>
      <c r="M329" s="2651"/>
      <c r="N329" s="13"/>
      <c r="O329" s="1080"/>
      <c r="P329" s="2652">
        <v>0</v>
      </c>
      <c r="Q329" s="1003"/>
      <c r="R329" s="566"/>
      <c r="S329" s="526"/>
      <c r="T329" s="1798"/>
      <c r="U329" s="1793"/>
      <c r="V329" s="1793"/>
      <c r="W329" s="1793"/>
      <c r="Z329" s="1800">
        <f>I329</f>
        <v>0</v>
      </c>
      <c r="AA329" s="1800">
        <f>H329</f>
        <v>0</v>
      </c>
      <c r="AB329" s="740">
        <f>SUMIF(LTCG_SectionCodes,Z329,LTCG_SectionValues)</f>
        <v>0</v>
      </c>
      <c r="AC329" s="740" t="s">
        <v>973</v>
      </c>
      <c r="AD329" s="740">
        <f>IF(MID(sheet1.ResidentialStatus1,1,3)="NRI",SUMIFS(Section_AmountLtcgB10,LTCG.B10_CertiStatus,"=Yes",Section_CodeSLtcgB10,AC329),SUMIF(Section_CodeSLtcgB10,AC329,Section_AmountLtcgB10))</f>
        <v>0</v>
      </c>
      <c r="AE329" s="740" t="s">
        <v>977</v>
      </c>
      <c r="AF329" s="740">
        <f>IF(MID(sheet1.ResidentialStatus1,1,3)="NRI",SUMIFS(Section_AmountLtcgB10,LTCG.B10_CertiStatus,"=Yes",Section_CodeSLtcgB10,AE329),SUMIF(Section_CodeSLtcgB10,AE329,Section_AmountLtcgB10))</f>
        <v>0</v>
      </c>
      <c r="AG329" s="740" t="s">
        <v>986</v>
      </c>
      <c r="AH329" s="740">
        <f>IF(MID(sheet1.ResidentialStatus1,1,3)="NRI",SUMIFS(Section_AmountLtcgB10,LTCG.B10_CertiStatus,"=Yes",Section_CodeSLtcgB10,AG329),SUMIF(Section_CodeSLtcgB10,AG329,Section_AmountLtcgB10))</f>
        <v>0</v>
      </c>
      <c r="AI329" s="740" t="s">
        <v>7151</v>
      </c>
      <c r="AJ329" s="740">
        <f>IF(MID(sheet1.ResidentialStatus1,1,3)="NRI",SUMIFS(Section_AmountLtcgB10,LTCG.B10_CertiStatus,"=Yes",Section_CodeSLtcgB10,AI329),SUMIF(Section_CodeSLtcgB10,AI329,Section_AmountLtcgB10))</f>
        <v>0</v>
      </c>
      <c r="AK329" s="740" t="s">
        <v>994</v>
      </c>
      <c r="AL329" s="740">
        <f>IF(MID(sheet1.ResidentialStatus1,1,3)="NRI",SUMIFS(Section_AmountLtcgB10,LTCG.B10_CertiStatus,"=Yes",Section_CodeSLtcgB10,AK329),SUMIF(Section_CodeSLtcgB10,AK329,Section_AmountLtcgB10))</f>
        <v>0</v>
      </c>
      <c r="AM329" s="740" t="s">
        <v>12069</v>
      </c>
      <c r="AN329" s="740">
        <f>IF(MID(sheet1.ResidentialStatus1,1,3)="NRI",SUMIFS(Section_AmountLtcgB10,LTCG.B10_CertiStatus,"=Yes",Section_CodeSLtcgB10,AM329),SUMIF(Section_CodeSLtcgB10,AM329,Section_AmountLtcgB10))</f>
        <v>0</v>
      </c>
      <c r="AO329" s="740" t="s">
        <v>8994</v>
      </c>
      <c r="AP329" s="740">
        <f>IF(MID(sheet1.ResidentialStatus1,1,3)="NRI",SUMIFS(Section_AmountLtcgB10,LTCG.B10_CertiStatus,"=Yes",Section_CodeSLtcgB10,AO329),SUMIF(Section_CodeSLtcgB10,AO329,Section_AmountLtcgB10))</f>
        <v>0</v>
      </c>
      <c r="AQ329" s="740" t="s">
        <v>8995</v>
      </c>
      <c r="AR329" s="740">
        <f>IF(MID(sheet1.ResidentialStatus1,1,3)="NRI",SUMIFS(Section_AmountLtcgB10,LTCG.B10_CertiStatus,"=Yes",Section_CodeSLtcgB10,AQ329),SUMIF(Section_CodeSLtcgB10,AQ329,Section_AmountLtcgB10))</f>
        <v>0</v>
      </c>
      <c r="AS329" s="740" t="s">
        <v>9001</v>
      </c>
      <c r="AT329" s="740">
        <f>IF(MID(sheet1.ResidentialStatus1,1,3)="NRI",SUMIFS(Section_AmountLtcgB10,LTCG.B10_CertiStatus,"=Yes",Section_CodeSLtcgB10,AS329),SUMIF(Section_CodeSLtcgB10,AS329,Section_AmountLtcgB10))</f>
        <v>0</v>
      </c>
      <c r="AU329" s="740" t="s">
        <v>7154</v>
      </c>
      <c r="AV329" s="740">
        <f>IF(MID(sheet1.ResidentialStatus1,1,3)="NRI",SUMIFS(Section_AmountLtcgB10,LTCG.B10_CertiStatus,"=Yes",Section_CodeSLtcgB10,AU329),SUMIF(Section_CodeSLtcgB10,AU329,Section_AmountLtcgB10))</f>
        <v>0</v>
      </c>
      <c r="AW329"/>
      <c r="AX329"/>
      <c r="AY329"/>
      <c r="AZ329"/>
      <c r="BA329"/>
    </row>
    <row r="330" spans="2:54" s="121" customFormat="1" ht="15" x14ac:dyDescent="0.25">
      <c r="B330" s="1797"/>
      <c r="C330" s="501"/>
      <c r="D330" s="524"/>
      <c r="E330" s="1009"/>
      <c r="F330" s="571"/>
      <c r="G330" s="567">
        <f>G329+1</f>
        <v>2</v>
      </c>
      <c r="H330" s="534"/>
      <c r="I330" s="71"/>
      <c r="J330" s="71"/>
      <c r="K330" s="1081"/>
      <c r="L330" s="1080"/>
      <c r="M330" s="2651"/>
      <c r="N330" s="13"/>
      <c r="O330" s="1080"/>
      <c r="P330" s="2652">
        <v>0</v>
      </c>
      <c r="Q330" s="1003"/>
      <c r="R330" s="566"/>
      <c r="S330" s="526"/>
      <c r="T330" s="1798"/>
      <c r="U330" s="1793"/>
      <c r="V330" s="1793"/>
      <c r="W330" s="1793"/>
      <c r="Z330" s="1800">
        <f>I330</f>
        <v>0</v>
      </c>
      <c r="AA330" s="1800">
        <f>H330</f>
        <v>0</v>
      </c>
      <c r="AB330" s="740">
        <f>SUMIF(LTCG_SectionCodes,Z330,LTCG_SectionValues)</f>
        <v>0</v>
      </c>
      <c r="AC330" s="740" t="s">
        <v>7280</v>
      </c>
      <c r="AD330" s="740">
        <f>IF(MID(sheet1.ResidentialStatus1,1,3)="NRI",SUMIFS(Section_AmountLtcgB10,LTCG.B10_CertiStatus,"=Yes",Section_CodeSLtcgB10,AC330),SUMIF(Section_CodeSLtcgB10,AC330,Section_AmountLtcgB10))</f>
        <v>0</v>
      </c>
      <c r="AE330" s="740" t="s">
        <v>8981</v>
      </c>
      <c r="AF330" s="740">
        <f>IF(MID(sheet1.ResidentialStatus1,1,3)="NRI",SUMIFS(Section_AmountLtcgB10,LTCG.B10_CertiStatus,"=Yes",Section_CodeSLtcgB10,AE330),SUMIF(Section_CodeSLtcgB10,AE330,Section_AmountLtcgB10))</f>
        <v>0</v>
      </c>
      <c r="AG330" s="740" t="s">
        <v>8987</v>
      </c>
      <c r="AH330" s="740">
        <f>IF(MID(sheet1.ResidentialStatus1,1,3)="NRI",SUMIFS(Section_AmountLtcgB10,LTCG.B10_CertiStatus,"=Yes",Section_CodeSLtcgB10,AG330),SUMIF(Section_CodeSLtcgB10,AG330,Section_AmountLtcgB10))</f>
        <v>0</v>
      </c>
      <c r="AI330" s="740" t="s">
        <v>8990</v>
      </c>
      <c r="AJ330" s="740">
        <f>IF(MID(sheet1.ResidentialStatus1,1,3)="NRI",SUMIFS(Section_AmountLtcgB10,LTCG.B10_CertiStatus,"=Yes",Section_CodeSLtcgB10,AI330),SUMIF(Section_CodeSLtcgB10,AI330,Section_AmountLtcgB10))</f>
        <v>0</v>
      </c>
      <c r="AK330" s="740" t="s">
        <v>8993</v>
      </c>
      <c r="AL330" s="740">
        <f>IF(MID(sheet1.ResidentialStatus1,1,3)="NRI",SUMIFS(Section_AmountLtcgB10,LTCG.B10_CertiStatus,"=Yes",Section_CodeSLtcgB10,AK330),SUMIF(Section_CodeSLtcgB10,AK330,Section_AmountLtcgB10))</f>
        <v>0</v>
      </c>
      <c r="AM330" s="740" t="s">
        <v>12073</v>
      </c>
      <c r="AN330" s="740">
        <f>IF(MID(sheet1.ResidentialStatus1,1,3)="NRI",SUMIFS(Section_AmountLtcgB10,LTCG.B10_CertiStatus,"=Yes",Section_CodeSLtcgB10,AM330),SUMIF(Section_CodeSLtcgB10,AM330,Section_AmountLtcgB10))</f>
        <v>0</v>
      </c>
      <c r="AO330" s="740" t="s">
        <v>12074</v>
      </c>
      <c r="AP330" s="740">
        <f>IF(MID(sheet1.ResidentialStatus1,1,3)="NRI",SUMIFS(Section_AmountLtcgB10,LTCG.B10_CertiStatus,"=Yes",Section_CodeSLtcgB10,AO330),SUMIF(Section_CodeSLtcgB10,AO330,Section_AmountLtcgB10))</f>
        <v>0</v>
      </c>
      <c r="AQ330" s="740" t="s">
        <v>12075</v>
      </c>
      <c r="AR330" s="740">
        <f>IF(MID(sheet1.ResidentialStatus1,1,3)="NRI",SUMIFS(Section_AmountLtcgB10,LTCG.B10_CertiStatus,"=Yes",Section_CodeSLtcgB10,AQ330),SUMIF(Section_CodeSLtcgB10,AQ330,Section_AmountLtcgB10))</f>
        <v>0</v>
      </c>
      <c r="AU330"/>
      <c r="AV330"/>
      <c r="AW330"/>
      <c r="AX330"/>
      <c r="AY330"/>
      <c r="AZ330"/>
      <c r="BA330"/>
    </row>
    <row r="331" spans="2:54" s="121" customFormat="1" ht="13.5" customHeight="1" x14ac:dyDescent="0.25">
      <c r="B331" s="1797"/>
      <c r="C331" s="501"/>
      <c r="D331" s="524"/>
      <c r="E331" s="1009"/>
      <c r="F331" s="3554"/>
      <c r="G331" s="3399"/>
      <c r="H331" s="3400"/>
      <c r="I331" s="3400"/>
      <c r="J331" s="3400"/>
      <c r="K331" s="3400"/>
      <c r="L331" s="3400"/>
      <c r="M331" s="3400"/>
      <c r="N331" s="3400"/>
      <c r="O331" s="3400"/>
      <c r="P331" s="3400"/>
      <c r="Q331" s="3400"/>
      <c r="R331" s="566"/>
      <c r="S331" s="526"/>
      <c r="T331" s="1798"/>
      <c r="U331" s="1793"/>
      <c r="V331" s="1793"/>
      <c r="W331" s="1793"/>
      <c r="AM331"/>
      <c r="AN331"/>
      <c r="AO331"/>
      <c r="AP331"/>
      <c r="AQ331"/>
      <c r="AR331"/>
      <c r="AS331"/>
      <c r="AT331"/>
      <c r="AU331"/>
      <c r="AV331"/>
      <c r="AW331"/>
      <c r="AX331"/>
      <c r="AY331"/>
      <c r="AZ331"/>
      <c r="BA331"/>
    </row>
    <row r="332" spans="2:54" s="121" customFormat="1" ht="13.5" customHeight="1" x14ac:dyDescent="0.25">
      <c r="B332" s="1797"/>
      <c r="C332" s="501"/>
      <c r="D332" s="524"/>
      <c r="E332" s="1009"/>
      <c r="F332" s="3555"/>
      <c r="G332" s="3399"/>
      <c r="H332" s="3400"/>
      <c r="I332" s="3400"/>
      <c r="J332" s="3400"/>
      <c r="K332" s="3400"/>
      <c r="L332" s="3400"/>
      <c r="M332" s="3400"/>
      <c r="N332" s="3400"/>
      <c r="O332" s="3400"/>
      <c r="P332" s="3400"/>
      <c r="Q332" s="3400"/>
      <c r="R332" s="566"/>
      <c r="S332" s="526"/>
      <c r="T332" s="1798"/>
      <c r="U332" s="1793"/>
      <c r="V332" s="1793"/>
      <c r="W332" s="1793"/>
      <c r="AM332"/>
      <c r="AN332"/>
      <c r="AO332"/>
      <c r="AP332"/>
      <c r="AQ332"/>
      <c r="AR332"/>
      <c r="AS332"/>
      <c r="AT332"/>
      <c r="AU332"/>
      <c r="AV332"/>
      <c r="AW332"/>
      <c r="AX332"/>
      <c r="AY332"/>
      <c r="AZ332"/>
      <c r="BA332"/>
      <c r="BB332"/>
    </row>
    <row r="333" spans="2:54" s="121" customFormat="1" ht="13.5" customHeight="1" x14ac:dyDescent="0.25">
      <c r="B333" s="1797"/>
      <c r="C333" s="501"/>
      <c r="D333" s="524"/>
      <c r="E333" s="1009"/>
      <c r="F333" s="3556"/>
      <c r="G333" s="3402"/>
      <c r="H333" s="3403"/>
      <c r="I333" s="3403"/>
      <c r="J333" s="3403"/>
      <c r="K333" s="3403"/>
      <c r="L333" s="3403"/>
      <c r="M333" s="3403"/>
      <c r="N333" s="3403"/>
      <c r="O333" s="3403"/>
      <c r="P333" s="3403"/>
      <c r="Q333" s="3403"/>
      <c r="R333" s="1004"/>
      <c r="S333" s="551"/>
      <c r="T333" s="1798"/>
      <c r="U333" s="1793"/>
      <c r="V333" s="1793"/>
      <c r="W333" s="1793"/>
      <c r="AK333"/>
      <c r="AL333"/>
      <c r="AM333"/>
      <c r="AN333"/>
      <c r="AO333"/>
      <c r="AP333"/>
      <c r="AQ333"/>
      <c r="AR333"/>
      <c r="AS333"/>
      <c r="AT333"/>
      <c r="AU333"/>
      <c r="AV333"/>
      <c r="AW333"/>
      <c r="AX333"/>
      <c r="AY333"/>
      <c r="AZ333"/>
      <c r="BA333"/>
      <c r="BB333"/>
    </row>
    <row r="334" spans="2:54" s="121" customFormat="1" ht="13.5" customHeight="1" x14ac:dyDescent="0.25">
      <c r="B334" s="1797"/>
      <c r="C334" s="501"/>
      <c r="D334" s="524"/>
      <c r="E334" s="1009"/>
      <c r="F334" s="571"/>
      <c r="G334" s="567" t="s">
        <v>27</v>
      </c>
      <c r="H334" s="3607" t="s">
        <v>7375</v>
      </c>
      <c r="I334" s="3608"/>
      <c r="J334" s="3608"/>
      <c r="K334" s="3608"/>
      <c r="L334" s="3608"/>
      <c r="M334" s="3608"/>
      <c r="N334" s="3608"/>
      <c r="O334" s="3608"/>
      <c r="P334" s="3608"/>
      <c r="Q334" s="3609"/>
      <c r="R334" s="544" t="s">
        <v>9277</v>
      </c>
      <c r="S334" s="1019">
        <f>IF(MID(sheet1.ResidentialStatus1,1,3)="NRI",SUM(SUMIFS(LTCG.B10_LtcgAmt,LTCG.B10_CertiStatus,"Yes",LTCG.B10_ApplRate,{"","0"})),SUM(SUMIFS(LTCG.B10_LtcgAmt,LTCG.B10_ApplRate,{"","0"})))</f>
        <v>0</v>
      </c>
      <c r="T334" s="1798"/>
      <c r="U334" s="1793"/>
      <c r="V334" s="1793"/>
      <c r="W334" s="1793"/>
      <c r="AM334"/>
      <c r="AN334"/>
      <c r="AO334"/>
      <c r="AP334"/>
      <c r="AQ334"/>
      <c r="AR334"/>
      <c r="AS334"/>
      <c r="AT334"/>
      <c r="AU334"/>
      <c r="AV334"/>
      <c r="AW334"/>
      <c r="AX334"/>
      <c r="AY334"/>
      <c r="AZ334"/>
      <c r="BA334"/>
      <c r="BB334"/>
    </row>
    <row r="335" spans="2:54" s="121" customFormat="1" ht="13.5" customHeight="1" x14ac:dyDescent="0.25">
      <c r="B335" s="1797"/>
      <c r="C335" s="501"/>
      <c r="D335" s="524"/>
      <c r="E335" s="1010"/>
      <c r="F335" s="571"/>
      <c r="G335" s="567" t="s">
        <v>28</v>
      </c>
      <c r="H335" s="3607" t="s">
        <v>9282</v>
      </c>
      <c r="I335" s="3608"/>
      <c r="J335" s="3608"/>
      <c r="K335" s="3608"/>
      <c r="L335" s="3608"/>
      <c r="M335" s="3608"/>
      <c r="N335" s="3608"/>
      <c r="O335" s="3608"/>
      <c r="P335" s="3608"/>
      <c r="Q335" s="3609"/>
      <c r="R335" s="544" t="s">
        <v>9278</v>
      </c>
      <c r="S335" s="1019">
        <f>IF(MID(sheet1.ResidentialStatus1,1,3)="NRI",SUMIFS(LTCG.B10_LtcgAmt,LTCG.B10_CertiStatus,"Yes",LTCG.B10_ApplRate,"&lt;&gt;""",LTCG.B10_ApplRate,"&lt;&gt;0"),SUM(SUMIFS(LTCG.B10_LtcgAmt,LTCG.B10_ApplRate,"&lt;&gt;""",LTCG.B10_ApplRate,"&lt;&gt;0")))</f>
        <v>0</v>
      </c>
      <c r="T335" s="1798"/>
      <c r="U335" s="1793"/>
      <c r="V335" s="1793"/>
      <c r="W335" s="1793"/>
      <c r="Y335" s="740">
        <f>IF(LTCG.B10_ltcgDTAA&lt;&gt;0,1,0)</f>
        <v>0</v>
      </c>
      <c r="AM335"/>
      <c r="AN335"/>
      <c r="AO335"/>
      <c r="AP335"/>
      <c r="AQ335"/>
      <c r="AR335"/>
      <c r="AS335"/>
      <c r="AT335"/>
      <c r="AU335" s="1985">
        <f>SUM(LTCG.B10_LtcgAmt)</f>
        <v>0</v>
      </c>
      <c r="AV335"/>
      <c r="AW335"/>
      <c r="AX335"/>
      <c r="AY335"/>
      <c r="AZ335"/>
      <c r="BA335"/>
      <c r="BB335"/>
    </row>
    <row r="336" spans="2:54" s="121" customFormat="1" ht="12.75" hidden="1" customHeight="1" x14ac:dyDescent="0.25">
      <c r="B336" s="1797"/>
      <c r="C336" s="501"/>
      <c r="D336" s="524"/>
      <c r="E336" s="1817"/>
      <c r="F336" s="1817"/>
      <c r="G336" s="1817" t="s">
        <v>6798</v>
      </c>
      <c r="H336" s="1817" t="s">
        <v>6799</v>
      </c>
      <c r="I336" s="1817" t="s">
        <v>6800</v>
      </c>
      <c r="J336" s="1817" t="s">
        <v>7144</v>
      </c>
      <c r="K336" s="1817" t="s">
        <v>7971</v>
      </c>
      <c r="L336" s="1817" t="s">
        <v>7150</v>
      </c>
      <c r="M336" s="1817"/>
      <c r="N336" s="1817"/>
      <c r="O336" s="1817"/>
      <c r="P336" s="1817"/>
      <c r="Q336" s="1817"/>
      <c r="R336" s="1817"/>
      <c r="S336" s="1818"/>
      <c r="T336" s="1798"/>
      <c r="U336" s="1793"/>
      <c r="V336" s="1793"/>
      <c r="W336" s="1793"/>
      <c r="AM336"/>
      <c r="AN336"/>
      <c r="AO336"/>
      <c r="AP336"/>
      <c r="AQ336"/>
      <c r="AR336"/>
      <c r="AS336"/>
      <c r="AT336"/>
      <c r="AU336"/>
      <c r="AV336"/>
      <c r="AW336"/>
      <c r="AX336"/>
      <c r="AY336"/>
      <c r="AZ336"/>
      <c r="BA336"/>
      <c r="BB336"/>
    </row>
    <row r="337" spans="2:38" s="121" customFormat="1" ht="12.75" hidden="1" customHeight="1" x14ac:dyDescent="0.2">
      <c r="B337" s="1797"/>
      <c r="C337" s="501"/>
      <c r="D337" s="524"/>
      <c r="E337" s="1817"/>
      <c r="F337" s="1817"/>
      <c r="G337" s="1817">
        <v>1</v>
      </c>
      <c r="H337" s="1817"/>
      <c r="I337" s="1817" t="s">
        <v>23</v>
      </c>
      <c r="J337" s="1817"/>
      <c r="K337" s="1817"/>
      <c r="L337" s="1817"/>
      <c r="M337" s="1817"/>
      <c r="N337" s="1817"/>
      <c r="O337" s="1817"/>
      <c r="P337" s="1817"/>
      <c r="Q337" s="1817"/>
      <c r="R337" s="1817"/>
      <c r="S337" s="1818"/>
      <c r="T337" s="1798"/>
      <c r="U337" s="1793"/>
      <c r="V337" s="1793"/>
      <c r="W337" s="1793"/>
    </row>
    <row r="338" spans="2:38" s="121" customFormat="1" ht="12.75" hidden="1" customHeight="1" x14ac:dyDescent="0.2">
      <c r="B338" s="1797"/>
      <c r="C338" s="501"/>
      <c r="D338" s="524"/>
      <c r="E338" s="1817"/>
      <c r="F338" s="1817"/>
      <c r="G338" s="1817">
        <f>G337+1</f>
        <v>2</v>
      </c>
      <c r="H338" s="1817"/>
      <c r="I338" s="1817" t="s">
        <v>23</v>
      </c>
      <c r="J338" s="1817"/>
      <c r="K338" s="1817"/>
      <c r="L338" s="1817"/>
      <c r="M338" s="1817"/>
      <c r="N338" s="1817"/>
      <c r="O338" s="1817"/>
      <c r="P338" s="1817"/>
      <c r="Q338" s="1817"/>
      <c r="R338" s="1817"/>
      <c r="S338" s="1818"/>
      <c r="T338" s="1798"/>
      <c r="U338" s="1793"/>
      <c r="V338" s="1793"/>
      <c r="W338" s="1793"/>
    </row>
    <row r="339" spans="2:38" s="121" customFormat="1" ht="30" hidden="1" customHeight="1" x14ac:dyDescent="0.2">
      <c r="B339" s="1797"/>
      <c r="C339" s="501"/>
      <c r="D339" s="524"/>
      <c r="E339" s="1817"/>
      <c r="F339" s="1817"/>
      <c r="G339" s="1817"/>
      <c r="H339" s="1817"/>
      <c r="I339" s="1817"/>
      <c r="J339" s="1817"/>
      <c r="K339" s="1817"/>
      <c r="L339" s="1817"/>
      <c r="M339" s="1817"/>
      <c r="N339" s="1817"/>
      <c r="O339" s="1817"/>
      <c r="P339" s="1817"/>
      <c r="Q339" s="1817"/>
      <c r="R339" s="1817"/>
      <c r="S339" s="1818"/>
      <c r="T339" s="1798"/>
      <c r="U339" s="1793"/>
      <c r="V339" s="1793"/>
      <c r="W339" s="1793"/>
    </row>
    <row r="340" spans="2:38" s="121" customFormat="1" ht="13.5" hidden="1" customHeight="1" x14ac:dyDescent="0.2">
      <c r="B340" s="1797"/>
      <c r="C340" s="501"/>
      <c r="D340" s="1754"/>
      <c r="E340" s="1817"/>
      <c r="F340" s="1817"/>
      <c r="G340" s="1817" t="s">
        <v>7146</v>
      </c>
      <c r="H340" s="1817" t="s">
        <v>7375</v>
      </c>
      <c r="I340" s="1817"/>
      <c r="J340" s="1817"/>
      <c r="K340" s="1817"/>
      <c r="L340" s="1817"/>
      <c r="M340" s="1817"/>
      <c r="N340" s="1817"/>
      <c r="O340" s="1817"/>
      <c r="P340" s="1817"/>
      <c r="Q340" s="1817"/>
      <c r="R340" s="1817" t="s">
        <v>1026</v>
      </c>
      <c r="S340" s="1818">
        <f>SUM(LTCG.B10_LtcgAmt)</f>
        <v>0</v>
      </c>
      <c r="T340" s="1798"/>
      <c r="U340" s="1793"/>
      <c r="V340" s="1793"/>
      <c r="W340" s="1793"/>
      <c r="AC340" s="671"/>
      <c r="AD340" s="671"/>
      <c r="AE340" s="671"/>
      <c r="AF340" s="671"/>
      <c r="AG340" s="671"/>
      <c r="AH340" s="671"/>
      <c r="AI340" s="671"/>
      <c r="AJ340" s="671"/>
      <c r="AK340" s="671"/>
      <c r="AL340" s="671"/>
    </row>
    <row r="341" spans="2:38" s="121" customFormat="1" ht="19.5" customHeight="1" x14ac:dyDescent="0.2">
      <c r="B341" s="1797"/>
      <c r="C341" s="501"/>
      <c r="D341" s="1750"/>
      <c r="E341" s="667">
        <v>14</v>
      </c>
      <c r="F341" s="3391" t="s">
        <v>13201</v>
      </c>
      <c r="G341" s="3392"/>
      <c r="H341" s="3392"/>
      <c r="I341" s="3392"/>
      <c r="J341" s="3392"/>
      <c r="K341" s="3392"/>
      <c r="L341" s="3392"/>
      <c r="M341" s="3392"/>
      <c r="N341" s="3392"/>
      <c r="O341" s="3392"/>
      <c r="P341" s="3392"/>
      <c r="Q341" s="3393"/>
      <c r="R341" s="523" t="s">
        <v>9279</v>
      </c>
      <c r="S341" s="1019">
        <f>(LTCG.B1e_CapgainonAssets+LTCG.B02e_CapgainonAssets+LTCG.B2e_CapgainonAssets+LTCG.B3e_CapgainonAssets+LTCG.Bii3e_CapgainonAssets+LTCG.5.LTCG_OnSaleCapitalAssets+LTCG.B4e_LTCGOnUnlistedSecurity+LTCG.Bi5e_CapgainonAssets+LTCG.Bii5e_CapgainonAssets+LTCG.Biii5e_CapgainonAssets+LTCG.5.LTCG_AssetsB8Above+LTCG.B6c_BalonSpeciAsset+LTCG.B6f_BalOtherthanSpecAsset+LTCG.B7e_CapgainonAssets+LTCG.B9_AmtDeemed+LTCG.B12_PassThroughIncome-LTCG.B10_ltcgDTAA)</f>
        <v>0</v>
      </c>
      <c r="T341" s="1798"/>
      <c r="U341" s="1793"/>
      <c r="V341" s="1793"/>
      <c r="W341" s="1793"/>
      <c r="AC341" s="671"/>
      <c r="AD341" s="671"/>
      <c r="AE341" s="671"/>
      <c r="AF341" s="671"/>
      <c r="AG341" s="671"/>
      <c r="AH341" s="671"/>
      <c r="AI341" s="671"/>
      <c r="AJ341" s="671"/>
      <c r="AK341" s="671"/>
      <c r="AL341" s="671"/>
    </row>
    <row r="342" spans="2:38" s="121" customFormat="1" ht="13.5" customHeight="1" x14ac:dyDescent="0.2">
      <c r="B342" s="1797"/>
      <c r="C342" s="501"/>
      <c r="D342" s="1755" t="s">
        <v>315</v>
      </c>
      <c r="E342" s="3610" t="s">
        <v>9723</v>
      </c>
      <c r="F342" s="3611"/>
      <c r="G342" s="3611"/>
      <c r="H342" s="3611"/>
      <c r="I342" s="3611"/>
      <c r="J342" s="3611"/>
      <c r="K342" s="3611"/>
      <c r="L342" s="3611"/>
      <c r="M342" s="3611"/>
      <c r="N342" s="3611"/>
      <c r="O342" s="3611"/>
      <c r="P342" s="3611"/>
      <c r="Q342" s="3612"/>
      <c r="R342" s="523" t="s">
        <v>315</v>
      </c>
      <c r="S342" s="1465">
        <f>STCG.A7_TotalSTCG+MAX(0,LTCG.B9_TotalLTCG)</f>
        <v>0</v>
      </c>
      <c r="T342" s="1798"/>
      <c r="U342" s="1793"/>
      <c r="V342" s="1793"/>
      <c r="W342" s="1793"/>
      <c r="AC342" s="671"/>
      <c r="AD342" s="671"/>
      <c r="AE342" s="671"/>
      <c r="AF342" s="671"/>
      <c r="AG342" s="671"/>
      <c r="AH342" s="671"/>
      <c r="AI342" s="671"/>
      <c r="AJ342" s="671"/>
      <c r="AK342" s="671"/>
      <c r="AL342" s="671"/>
    </row>
    <row r="343" spans="2:38" s="671" customFormat="1" ht="12" customHeight="1" x14ac:dyDescent="0.2">
      <c r="B343" s="1180"/>
      <c r="C343" s="501"/>
      <c r="D343" s="1756" t="s">
        <v>355</v>
      </c>
      <c r="E343" s="3064" t="s">
        <v>8329</v>
      </c>
      <c r="F343" s="3065"/>
      <c r="G343" s="3065"/>
      <c r="H343" s="3065"/>
      <c r="I343" s="3065"/>
      <c r="J343" s="3065"/>
      <c r="K343" s="3065"/>
      <c r="L343" s="3065"/>
      <c r="M343" s="3065"/>
      <c r="N343" s="3065"/>
      <c r="O343" s="3065"/>
      <c r="P343" s="3065"/>
      <c r="Q343" s="3066"/>
      <c r="R343" s="531"/>
      <c r="S343" s="532"/>
      <c r="T343" s="1181"/>
      <c r="U343" s="670"/>
      <c r="V343" s="670"/>
      <c r="W343" s="670"/>
      <c r="Y343" s="121"/>
    </row>
    <row r="344" spans="2:38" s="671" customFormat="1" ht="12.75" x14ac:dyDescent="0.2">
      <c r="B344" s="1180"/>
      <c r="C344" s="501"/>
      <c r="D344" s="1757"/>
      <c r="E344" s="2036">
        <v>1</v>
      </c>
      <c r="F344" s="3064" t="s">
        <v>12067</v>
      </c>
      <c r="G344" s="3065"/>
      <c r="H344" s="3065"/>
      <c r="I344" s="3065"/>
      <c r="J344" s="3065"/>
      <c r="K344" s="3065"/>
      <c r="L344" s="3066"/>
      <c r="M344" s="668"/>
      <c r="N344" s="668"/>
      <c r="O344" s="668"/>
      <c r="P344" s="668"/>
      <c r="Q344" s="668"/>
      <c r="R344" s="525"/>
      <c r="S344" s="526"/>
      <c r="T344" s="1181"/>
      <c r="U344" s="670"/>
      <c r="V344" s="670"/>
      <c r="W344" s="670"/>
      <c r="Y344" s="121"/>
    </row>
    <row r="345" spans="2:38" s="671" customFormat="1" ht="12.75" customHeight="1" x14ac:dyDescent="0.2">
      <c r="B345" s="1180"/>
      <c r="C345" s="501"/>
      <c r="D345" s="1757"/>
      <c r="E345" s="1011"/>
      <c r="F345" s="1012" t="s">
        <v>27</v>
      </c>
      <c r="G345" s="3168" t="s">
        <v>8330</v>
      </c>
      <c r="H345" s="3169"/>
      <c r="I345" s="3169"/>
      <c r="J345" s="3169"/>
      <c r="K345" s="3169"/>
      <c r="L345" s="3170"/>
      <c r="M345" s="1013"/>
      <c r="N345" s="1013"/>
      <c r="O345" s="1014"/>
      <c r="P345" s="1013"/>
      <c r="Q345" s="1787"/>
      <c r="R345" s="525"/>
      <c r="S345" s="526"/>
      <c r="T345" s="1181"/>
      <c r="U345" s="670"/>
      <c r="V345" s="670"/>
      <c r="W345" s="670"/>
      <c r="Y345" s="121"/>
    </row>
    <row r="346" spans="2:38" s="671" customFormat="1" ht="51" x14ac:dyDescent="0.2">
      <c r="B346" s="1180"/>
      <c r="C346" s="501"/>
      <c r="D346" s="1757"/>
      <c r="E346" s="1011"/>
      <c r="F346" s="1011"/>
      <c r="G346" s="1473" t="s">
        <v>8331</v>
      </c>
      <c r="H346" s="1473" t="s">
        <v>8332</v>
      </c>
      <c r="I346" s="1473" t="s">
        <v>8333</v>
      </c>
      <c r="J346" s="1473" t="s">
        <v>8334</v>
      </c>
      <c r="K346" s="1473" t="s">
        <v>1036</v>
      </c>
      <c r="L346" s="1473" t="s">
        <v>8335</v>
      </c>
      <c r="M346" s="1016"/>
      <c r="N346" s="1016"/>
      <c r="O346" s="1016"/>
      <c r="P346" s="1016"/>
      <c r="Q346" s="1017"/>
      <c r="R346" s="525"/>
      <c r="S346" s="526"/>
      <c r="T346" s="1181"/>
      <c r="U346" s="670"/>
      <c r="V346" s="670"/>
      <c r="W346" s="670"/>
      <c r="Y346" s="121"/>
    </row>
    <row r="347" spans="2:38" s="671" customFormat="1" ht="12.75" x14ac:dyDescent="0.2">
      <c r="B347" s="1180"/>
      <c r="C347" s="501"/>
      <c r="D347" s="1757"/>
      <c r="E347" s="1011"/>
      <c r="F347" s="1011"/>
      <c r="G347" s="1018">
        <v>1</v>
      </c>
      <c r="H347" s="1920"/>
      <c r="I347" s="1973"/>
      <c r="J347" s="1920"/>
      <c r="K347" s="1973"/>
      <c r="L347" s="1973"/>
      <c r="M347" s="1016"/>
      <c r="N347" s="1016"/>
      <c r="O347" s="1016"/>
      <c r="P347" s="1016"/>
      <c r="Q347" s="1017"/>
      <c r="R347" s="525"/>
      <c r="S347" s="526"/>
      <c r="T347" s="1181"/>
      <c r="U347" s="670"/>
      <c r="V347" s="670"/>
      <c r="W347" s="670"/>
      <c r="Y347" s="121"/>
    </row>
    <row r="348" spans="2:38" s="671" customFormat="1" ht="12.75" x14ac:dyDescent="0.2">
      <c r="B348" s="1180"/>
      <c r="C348" s="501"/>
      <c r="D348" s="1757"/>
      <c r="E348" s="1011"/>
      <c r="F348" s="1011"/>
      <c r="G348" s="1018">
        <f>G347+1</f>
        <v>2</v>
      </c>
      <c r="H348" s="1920"/>
      <c r="I348" s="1973"/>
      <c r="J348" s="1920"/>
      <c r="K348" s="1973"/>
      <c r="L348" s="1973"/>
      <c r="M348" s="1016"/>
      <c r="N348" s="1016"/>
      <c r="O348" s="1016"/>
      <c r="P348" s="1016"/>
      <c r="Q348" s="1017"/>
      <c r="R348" s="525"/>
      <c r="S348" s="526"/>
      <c r="T348" s="1181"/>
      <c r="U348" s="670"/>
      <c r="V348" s="670"/>
      <c r="W348" s="670"/>
      <c r="Y348" s="121"/>
    </row>
    <row r="349" spans="2:38" s="671" customFormat="1" ht="29.25" customHeight="1" x14ac:dyDescent="0.2">
      <c r="B349" s="1180"/>
      <c r="C349" s="501"/>
      <c r="D349" s="1757"/>
      <c r="E349" s="1011"/>
      <c r="F349" s="1011"/>
      <c r="G349" s="3447" t="s">
        <v>749</v>
      </c>
      <c r="H349" s="3448"/>
      <c r="I349" s="3448"/>
      <c r="J349" s="3448"/>
      <c r="K349" s="3449"/>
      <c r="L349" s="1019">
        <f>SUM(Deduction.54.AmtDedClaimed)</f>
        <v>0</v>
      </c>
      <c r="M349" s="1016"/>
      <c r="N349" s="1016"/>
      <c r="O349" s="1016"/>
      <c r="P349" s="1016"/>
      <c r="Q349" s="1017"/>
      <c r="R349" s="525"/>
      <c r="S349" s="526"/>
      <c r="T349" s="1181"/>
      <c r="U349" s="670"/>
      <c r="V349" s="670"/>
      <c r="W349" s="670"/>
      <c r="Y349" s="121"/>
    </row>
    <row r="350" spans="2:38" s="671" customFormat="1" ht="12.75" customHeight="1" x14ac:dyDescent="0.2">
      <c r="B350" s="1180"/>
      <c r="C350" s="501"/>
      <c r="D350" s="1757"/>
      <c r="E350" s="1011"/>
      <c r="F350" s="1020" t="s">
        <v>28</v>
      </c>
      <c r="G350" s="3168" t="s">
        <v>8336</v>
      </c>
      <c r="H350" s="3169"/>
      <c r="I350" s="3169"/>
      <c r="J350" s="3169"/>
      <c r="K350" s="3169"/>
      <c r="L350" s="3170"/>
      <c r="M350" s="1016"/>
      <c r="N350" s="1016"/>
      <c r="O350" s="1016"/>
      <c r="P350" s="1016"/>
      <c r="Q350" s="1017"/>
      <c r="R350" s="525"/>
      <c r="S350" s="526"/>
      <c r="T350" s="1181"/>
      <c r="U350" s="670"/>
      <c r="V350" s="670"/>
      <c r="W350" s="670"/>
      <c r="Y350" s="121"/>
    </row>
    <row r="351" spans="2:38" s="671" customFormat="1" ht="51" x14ac:dyDescent="0.2">
      <c r="B351" s="1180"/>
      <c r="C351" s="501"/>
      <c r="D351" s="1757"/>
      <c r="E351" s="1011"/>
      <c r="F351" s="1011"/>
      <c r="G351" s="1473" t="s">
        <v>8331</v>
      </c>
      <c r="H351" s="1473" t="s">
        <v>8332</v>
      </c>
      <c r="I351" s="1473" t="s">
        <v>8337</v>
      </c>
      <c r="J351" s="1473" t="s">
        <v>8338</v>
      </c>
      <c r="K351" s="1473" t="s">
        <v>1036</v>
      </c>
      <c r="L351" s="1473" t="s">
        <v>8339</v>
      </c>
      <c r="M351" s="1016"/>
      <c r="N351" s="1016"/>
      <c r="O351" s="1016"/>
      <c r="P351" s="1016"/>
      <c r="Q351" s="1017"/>
      <c r="R351" s="525"/>
      <c r="S351" s="526"/>
      <c r="T351" s="1181"/>
      <c r="U351" s="670"/>
      <c r="V351" s="670"/>
      <c r="W351" s="670"/>
      <c r="Y351" s="121"/>
    </row>
    <row r="352" spans="2:38" s="671" customFormat="1" ht="12.75" x14ac:dyDescent="0.2">
      <c r="B352" s="1180"/>
      <c r="C352" s="501"/>
      <c r="D352" s="1757"/>
      <c r="E352" s="1011"/>
      <c r="F352" s="1011"/>
      <c r="G352" s="1018">
        <v>1</v>
      </c>
      <c r="H352" s="1081" t="s">
        <v>23</v>
      </c>
      <c r="I352" s="534"/>
      <c r="J352" s="1081"/>
      <c r="K352" s="1973"/>
      <c r="L352" s="1973"/>
      <c r="M352" s="1016"/>
      <c r="N352" s="1016"/>
      <c r="O352" s="1016"/>
      <c r="P352" s="1016"/>
      <c r="Q352" s="1017"/>
      <c r="R352" s="525"/>
      <c r="S352" s="526"/>
      <c r="T352" s="1181"/>
      <c r="U352" s="670"/>
      <c r="V352" s="670"/>
      <c r="W352" s="670"/>
      <c r="Y352" s="121"/>
    </row>
    <row r="353" spans="2:25" s="671" customFormat="1" ht="12.75" x14ac:dyDescent="0.2">
      <c r="B353" s="1180"/>
      <c r="C353" s="501"/>
      <c r="D353" s="1757"/>
      <c r="E353" s="1011"/>
      <c r="F353" s="1011"/>
      <c r="G353" s="1018">
        <f>G352+1</f>
        <v>2</v>
      </c>
      <c r="H353" s="1081"/>
      <c r="I353" s="534"/>
      <c r="J353" s="1081"/>
      <c r="K353" s="1973"/>
      <c r="L353" s="1973"/>
      <c r="M353" s="1016"/>
      <c r="N353" s="1016"/>
      <c r="O353" s="1016"/>
      <c r="P353" s="1016"/>
      <c r="Q353" s="1017"/>
      <c r="R353" s="525"/>
      <c r="S353" s="526"/>
      <c r="T353" s="1181"/>
      <c r="U353" s="670"/>
      <c r="V353" s="670"/>
      <c r="W353" s="670"/>
      <c r="Y353" s="121"/>
    </row>
    <row r="354" spans="2:25" s="671" customFormat="1" ht="31.5" customHeight="1" x14ac:dyDescent="0.2">
      <c r="B354" s="1180"/>
      <c r="C354" s="501"/>
      <c r="D354" s="1757"/>
      <c r="E354" s="1011"/>
      <c r="F354" s="1011"/>
      <c r="G354" s="3447" t="s">
        <v>749</v>
      </c>
      <c r="H354" s="3448"/>
      <c r="I354" s="3448"/>
      <c r="J354" s="3448"/>
      <c r="K354" s="3449"/>
      <c r="L354" s="1019">
        <f>SUM(Deduction.54B.AmtDedClaimed)</f>
        <v>0</v>
      </c>
      <c r="M354" s="1016"/>
      <c r="N354" s="1016"/>
      <c r="O354" s="1016"/>
      <c r="P354" s="1016"/>
      <c r="Q354" s="1017"/>
      <c r="R354" s="525"/>
      <c r="S354" s="526"/>
      <c r="T354" s="1181"/>
      <c r="U354" s="670"/>
      <c r="V354" s="670"/>
      <c r="W354" s="670"/>
      <c r="Y354" s="121"/>
    </row>
    <row r="355" spans="2:25" s="671" customFormat="1" ht="12.75" customHeight="1" x14ac:dyDescent="0.2">
      <c r="B355" s="1180"/>
      <c r="C355" s="501"/>
      <c r="D355" s="1757"/>
      <c r="E355" s="1011"/>
      <c r="F355" s="1020" t="s">
        <v>29</v>
      </c>
      <c r="G355" s="3168" t="s">
        <v>8340</v>
      </c>
      <c r="H355" s="3169"/>
      <c r="I355" s="3169"/>
      <c r="J355" s="3169"/>
      <c r="K355" s="3169"/>
      <c r="L355" s="3170"/>
      <c r="M355" s="1016"/>
      <c r="N355" s="1016"/>
      <c r="O355" s="1016"/>
      <c r="P355" s="1016"/>
      <c r="Q355" s="1017"/>
      <c r="R355" s="525"/>
      <c r="S355" s="526"/>
      <c r="T355" s="1181"/>
      <c r="U355" s="670"/>
      <c r="V355" s="670"/>
      <c r="W355" s="670"/>
      <c r="Y355" s="121"/>
    </row>
    <row r="356" spans="2:25" s="671" customFormat="1" ht="51" x14ac:dyDescent="0.2">
      <c r="B356" s="1180"/>
      <c r="C356" s="501"/>
      <c r="D356" s="1757"/>
      <c r="E356" s="1011"/>
      <c r="F356" s="1011"/>
      <c r="G356" s="1473" t="s">
        <v>8331</v>
      </c>
      <c r="H356" s="1473" t="s">
        <v>8341</v>
      </c>
      <c r="I356" s="1473" t="s">
        <v>8342</v>
      </c>
      <c r="J356" s="1473" t="s">
        <v>8343</v>
      </c>
      <c r="K356" s="1473" t="s">
        <v>1036</v>
      </c>
      <c r="L356" s="1473" t="s">
        <v>8339</v>
      </c>
      <c r="M356" s="1016"/>
      <c r="N356" s="1016"/>
      <c r="O356" s="1016"/>
      <c r="P356" s="1016"/>
      <c r="Q356" s="1017"/>
      <c r="R356" s="525"/>
      <c r="S356" s="526"/>
      <c r="T356" s="1181"/>
      <c r="U356" s="670"/>
      <c r="V356" s="670"/>
      <c r="W356" s="670"/>
      <c r="Y356" s="121"/>
    </row>
    <row r="357" spans="2:25" s="671" customFormat="1" ht="12.75" x14ac:dyDescent="0.2">
      <c r="B357" s="1180"/>
      <c r="C357" s="501"/>
      <c r="D357" s="1757"/>
      <c r="E357" s="1011"/>
      <c r="F357" s="1011"/>
      <c r="G357" s="1018">
        <v>1</v>
      </c>
      <c r="H357" s="1081"/>
      <c r="I357" s="534"/>
      <c r="J357" s="1081"/>
      <c r="K357" s="1973"/>
      <c r="L357" s="1973"/>
      <c r="M357" s="1016"/>
      <c r="N357" s="1016"/>
      <c r="O357" s="1016"/>
      <c r="P357" s="1016"/>
      <c r="Q357" s="1017"/>
      <c r="R357" s="525"/>
      <c r="S357" s="526"/>
      <c r="T357" s="1181"/>
      <c r="U357" s="670"/>
      <c r="V357" s="670"/>
      <c r="W357" s="670"/>
      <c r="Y357" s="121"/>
    </row>
    <row r="358" spans="2:25" s="671" customFormat="1" ht="12.75" x14ac:dyDescent="0.2">
      <c r="B358" s="1180"/>
      <c r="C358" s="501"/>
      <c r="D358" s="1757"/>
      <c r="E358" s="1011"/>
      <c r="F358" s="1011"/>
      <c r="G358" s="1018">
        <f>G357+1</f>
        <v>2</v>
      </c>
      <c r="H358" s="1081"/>
      <c r="I358" s="534"/>
      <c r="J358" s="1081"/>
      <c r="K358" s="1973"/>
      <c r="L358" s="1973"/>
      <c r="M358" s="1016"/>
      <c r="N358" s="1016"/>
      <c r="O358" s="1016"/>
      <c r="P358" s="1016"/>
      <c r="Q358" s="1017"/>
      <c r="R358" s="525"/>
      <c r="S358" s="526"/>
      <c r="T358" s="1181"/>
      <c r="U358" s="670"/>
      <c r="V358" s="670"/>
      <c r="W358" s="670"/>
      <c r="Y358" s="121"/>
    </row>
    <row r="359" spans="2:25" s="671" customFormat="1" ht="27.75" customHeight="1" x14ac:dyDescent="0.2">
      <c r="B359" s="1180"/>
      <c r="C359" s="501"/>
      <c r="D359" s="1757"/>
      <c r="E359" s="1011"/>
      <c r="F359" s="1011"/>
      <c r="G359" s="3447" t="s">
        <v>749</v>
      </c>
      <c r="H359" s="3448"/>
      <c r="I359" s="3448"/>
      <c r="J359" s="3448"/>
      <c r="K359" s="3449"/>
      <c r="L359" s="1019">
        <f>SUM(Deduction.54D.AmtDedClaimed)</f>
        <v>0</v>
      </c>
      <c r="M359" s="1016"/>
      <c r="N359" s="1016"/>
      <c r="O359" s="1016"/>
      <c r="P359" s="1016"/>
      <c r="Q359" s="1017"/>
      <c r="R359" s="525"/>
      <c r="S359" s="526"/>
      <c r="T359" s="1181"/>
      <c r="U359" s="670"/>
      <c r="V359" s="670"/>
      <c r="W359" s="670"/>
      <c r="Y359" s="121"/>
    </row>
    <row r="360" spans="2:25" s="671" customFormat="1" ht="12.75" customHeight="1" x14ac:dyDescent="0.2">
      <c r="B360" s="1180"/>
      <c r="C360" s="501"/>
      <c r="D360" s="1757"/>
      <c r="E360" s="1011"/>
      <c r="F360" s="1020" t="s">
        <v>36</v>
      </c>
      <c r="G360" s="3504" t="s">
        <v>8344</v>
      </c>
      <c r="H360" s="3504"/>
      <c r="I360" s="3504"/>
      <c r="J360" s="3504"/>
      <c r="K360" s="3504"/>
      <c r="L360" s="1021"/>
      <c r="M360" s="1016"/>
      <c r="N360" s="1016"/>
      <c r="O360" s="1016"/>
      <c r="P360" s="1016"/>
      <c r="Q360" s="1017"/>
      <c r="R360" s="525"/>
      <c r="S360" s="526"/>
      <c r="T360" s="1181"/>
      <c r="U360" s="670"/>
      <c r="V360" s="670"/>
      <c r="W360" s="670"/>
      <c r="Y360" s="121"/>
    </row>
    <row r="361" spans="2:25" s="671" customFormat="1" ht="51" x14ac:dyDescent="0.2">
      <c r="B361" s="1180"/>
      <c r="C361" s="501"/>
      <c r="D361" s="1757"/>
      <c r="E361" s="1011"/>
      <c r="F361" s="1011"/>
      <c r="G361" s="1473" t="s">
        <v>8331</v>
      </c>
      <c r="H361" s="1473" t="s">
        <v>8332</v>
      </c>
      <c r="I361" s="1473" t="s">
        <v>8345</v>
      </c>
      <c r="J361" s="1473" t="s">
        <v>8346</v>
      </c>
      <c r="K361" s="1473" t="s">
        <v>8339</v>
      </c>
      <c r="L361" s="1022"/>
      <c r="M361" s="1016"/>
      <c r="N361" s="1016"/>
      <c r="O361" s="1016"/>
      <c r="P361" s="1016"/>
      <c r="Q361" s="1017"/>
      <c r="R361" s="525"/>
      <c r="S361" s="526"/>
      <c r="T361" s="1181"/>
      <c r="U361" s="670"/>
      <c r="V361" s="670"/>
      <c r="W361" s="670"/>
      <c r="Y361" s="121"/>
    </row>
    <row r="362" spans="2:25" s="671" customFormat="1" ht="12.75" x14ac:dyDescent="0.2">
      <c r="B362" s="1180"/>
      <c r="C362" s="501"/>
      <c r="D362" s="1757"/>
      <c r="E362" s="1011"/>
      <c r="F362" s="1011"/>
      <c r="G362" s="1015">
        <v>1</v>
      </c>
      <c r="H362" s="1081" t="s">
        <v>23</v>
      </c>
      <c r="I362" s="534"/>
      <c r="J362" s="1081"/>
      <c r="K362" s="1973"/>
      <c r="L362" s="1022"/>
      <c r="M362" s="1016"/>
      <c r="N362" s="1016"/>
      <c r="O362" s="1016"/>
      <c r="P362" s="1016"/>
      <c r="Q362" s="1017"/>
      <c r="R362" s="525"/>
      <c r="S362" s="526"/>
      <c r="T362" s="1181"/>
      <c r="U362" s="670"/>
      <c r="V362" s="670"/>
      <c r="W362" s="670"/>
      <c r="Y362" s="121"/>
    </row>
    <row r="363" spans="2:25" s="671" customFormat="1" ht="12.75" x14ac:dyDescent="0.2">
      <c r="B363" s="1180"/>
      <c r="C363" s="501"/>
      <c r="D363" s="1757"/>
      <c r="E363" s="1011"/>
      <c r="F363" s="1011"/>
      <c r="G363" s="1015">
        <f>G362+1</f>
        <v>2</v>
      </c>
      <c r="H363" s="1081"/>
      <c r="I363" s="534"/>
      <c r="J363" s="1081"/>
      <c r="K363" s="1973"/>
      <c r="L363" s="1022"/>
      <c r="M363" s="1016"/>
      <c r="N363" s="1016"/>
      <c r="O363" s="1016"/>
      <c r="P363" s="1016"/>
      <c r="Q363" s="1017"/>
      <c r="R363" s="525"/>
      <c r="S363" s="526"/>
      <c r="T363" s="1181"/>
      <c r="U363" s="670"/>
      <c r="V363" s="670"/>
      <c r="W363" s="670"/>
      <c r="Y363" s="121"/>
    </row>
    <row r="364" spans="2:25" s="671" customFormat="1" ht="31.5" customHeight="1" x14ac:dyDescent="0.2">
      <c r="B364" s="1180"/>
      <c r="C364" s="501"/>
      <c r="D364" s="1757"/>
      <c r="E364" s="1011"/>
      <c r="F364" s="1011"/>
      <c r="G364" s="3447" t="s">
        <v>749</v>
      </c>
      <c r="H364" s="3448"/>
      <c r="I364" s="3448"/>
      <c r="J364" s="3448"/>
      <c r="K364" s="1019">
        <f>SUM(Deduction.54EC.AmtDedClaimed)</f>
        <v>0</v>
      </c>
      <c r="L364" s="1023"/>
      <c r="M364" s="1016"/>
      <c r="N364" s="1016"/>
      <c r="O364" s="1016"/>
      <c r="P364" s="1016"/>
      <c r="Q364" s="1017"/>
      <c r="R364" s="525"/>
      <c r="S364" s="526"/>
      <c r="T364" s="1181"/>
      <c r="U364" s="670"/>
      <c r="V364" s="670"/>
      <c r="W364" s="670"/>
      <c r="Y364" s="121"/>
    </row>
    <row r="365" spans="2:25" s="671" customFormat="1" ht="12.75" hidden="1" customHeight="1" x14ac:dyDescent="0.2">
      <c r="B365" s="1180"/>
      <c r="C365" s="501"/>
      <c r="D365" s="1757"/>
      <c r="E365" s="1011"/>
      <c r="F365" s="1020" t="s">
        <v>38</v>
      </c>
      <c r="G365" s="3473" t="s">
        <v>8396</v>
      </c>
      <c r="H365" s="3474"/>
      <c r="I365" s="3474"/>
      <c r="J365" s="3474"/>
      <c r="K365" s="3475"/>
      <c r="L365" s="1060"/>
      <c r="M365" s="1016"/>
      <c r="N365" s="1016"/>
      <c r="O365" s="1016"/>
      <c r="P365" s="1016"/>
      <c r="Q365" s="1017"/>
      <c r="R365" s="525"/>
      <c r="S365" s="526"/>
      <c r="T365" s="1181"/>
      <c r="U365" s="670"/>
      <c r="V365" s="670"/>
      <c r="W365" s="670"/>
      <c r="Y365" s="121"/>
    </row>
    <row r="366" spans="2:25" s="671" customFormat="1" ht="65.25" hidden="1" customHeight="1" x14ac:dyDescent="0.2">
      <c r="B366" s="1180"/>
      <c r="C366" s="501"/>
      <c r="D366" s="1757"/>
      <c r="E366" s="1011"/>
      <c r="F366" s="1011"/>
      <c r="G366" s="1015" t="s">
        <v>7563</v>
      </c>
      <c r="H366" s="1015" t="s">
        <v>8332</v>
      </c>
      <c r="I366" s="1015" t="s">
        <v>8397</v>
      </c>
      <c r="J366" s="1015" t="s">
        <v>8346</v>
      </c>
      <c r="K366" s="1015" t="s">
        <v>8339</v>
      </c>
      <c r="L366" s="1016"/>
      <c r="M366" s="1016"/>
      <c r="N366" s="1016"/>
      <c r="O366" s="1016"/>
      <c r="P366" s="1016"/>
      <c r="Q366" s="1061"/>
      <c r="R366" s="543"/>
      <c r="S366" s="526"/>
      <c r="T366" s="1181"/>
      <c r="U366" s="670"/>
      <c r="V366" s="670"/>
      <c r="X366" s="121"/>
    </row>
    <row r="367" spans="2:25" s="671" customFormat="1" ht="12.75" hidden="1" customHeight="1" x14ac:dyDescent="0.2">
      <c r="B367" s="1180"/>
      <c r="C367" s="501"/>
      <c r="D367" s="1757"/>
      <c r="E367" s="1011"/>
      <c r="F367" s="1011"/>
      <c r="G367" s="1015">
        <v>1</v>
      </c>
      <c r="H367" s="526"/>
      <c r="I367" s="526"/>
      <c r="J367" s="526"/>
      <c r="K367" s="526"/>
      <c r="L367" s="1016"/>
      <c r="M367" s="1016"/>
      <c r="N367" s="1016"/>
      <c r="O367" s="1016"/>
      <c r="P367" s="1016"/>
      <c r="Q367" s="1061"/>
      <c r="R367" s="543"/>
      <c r="S367" s="526"/>
      <c r="T367" s="1181"/>
      <c r="U367" s="670"/>
      <c r="V367" s="670"/>
      <c r="X367" s="121"/>
    </row>
    <row r="368" spans="2:25" s="671" customFormat="1" ht="12.75" hidden="1" customHeight="1" x14ac:dyDescent="0.2">
      <c r="B368" s="1180"/>
      <c r="C368" s="501"/>
      <c r="D368" s="1757"/>
      <c r="E368" s="1011"/>
      <c r="F368" s="1011"/>
      <c r="G368" s="1015">
        <f>G367+1</f>
        <v>2</v>
      </c>
      <c r="H368" s="526"/>
      <c r="I368" s="526"/>
      <c r="J368" s="526"/>
      <c r="K368" s="526"/>
      <c r="L368" s="1016"/>
      <c r="M368" s="1016"/>
      <c r="N368" s="1016"/>
      <c r="O368" s="1016"/>
      <c r="P368" s="1016"/>
      <c r="Q368" s="1061"/>
      <c r="R368" s="543"/>
      <c r="S368" s="526"/>
      <c r="T368" s="1181"/>
      <c r="U368" s="670"/>
      <c r="V368" s="670"/>
      <c r="X368" s="121"/>
    </row>
    <row r="369" spans="2:25" s="671" customFormat="1" ht="31.5" hidden="1" customHeight="1" x14ac:dyDescent="0.2">
      <c r="B369" s="1180"/>
      <c r="C369" s="501"/>
      <c r="D369" s="1757"/>
      <c r="E369" s="1011"/>
      <c r="F369" s="1011"/>
      <c r="G369" s="3447" t="s">
        <v>749</v>
      </c>
      <c r="H369" s="3448"/>
      <c r="I369" s="3448"/>
      <c r="J369" s="3448"/>
      <c r="K369" s="3449"/>
      <c r="L369" s="525"/>
      <c r="M369" s="1016"/>
      <c r="N369" s="1016"/>
      <c r="O369" s="1016"/>
      <c r="P369" s="1016"/>
      <c r="Q369" s="1017"/>
      <c r="R369" s="525"/>
      <c r="S369" s="526"/>
      <c r="T369" s="1181"/>
      <c r="U369" s="670"/>
      <c r="V369" s="670"/>
      <c r="W369" s="670"/>
      <c r="Y369" s="121"/>
    </row>
    <row r="370" spans="2:25" s="671" customFormat="1" ht="23.25" customHeight="1" x14ac:dyDescent="0.2">
      <c r="B370" s="1180"/>
      <c r="C370" s="501"/>
      <c r="D370" s="1757"/>
      <c r="E370" s="1011"/>
      <c r="F370" s="1020" t="s">
        <v>38</v>
      </c>
      <c r="G370" s="3473" t="s">
        <v>11829</v>
      </c>
      <c r="H370" s="3474"/>
      <c r="I370" s="3474"/>
      <c r="J370" s="3474"/>
      <c r="K370" s="3475"/>
      <c r="L370" s="1785"/>
      <c r="M370" s="1659"/>
      <c r="N370" s="1016"/>
      <c r="O370" s="1016"/>
      <c r="P370" s="1016"/>
      <c r="Q370" s="1017"/>
      <c r="R370" s="525"/>
      <c r="S370" s="526"/>
      <c r="T370" s="1181"/>
      <c r="U370" s="670"/>
      <c r="V370" s="670"/>
      <c r="W370" s="670"/>
      <c r="Y370" s="121"/>
    </row>
    <row r="371" spans="2:25" s="671" customFormat="1" ht="51" x14ac:dyDescent="0.2">
      <c r="B371" s="1180"/>
      <c r="C371" s="501"/>
      <c r="D371" s="1757"/>
      <c r="E371" s="1011"/>
      <c r="F371" s="1011"/>
      <c r="G371" s="1473" t="s">
        <v>7563</v>
      </c>
      <c r="H371" s="1473" t="s">
        <v>8332</v>
      </c>
      <c r="I371" s="1473" t="s">
        <v>8333</v>
      </c>
      <c r="J371" s="1473" t="s">
        <v>8334</v>
      </c>
      <c r="K371" s="1473" t="s">
        <v>1036</v>
      </c>
      <c r="L371" s="1473" t="s">
        <v>8339</v>
      </c>
      <c r="M371" s="1016"/>
      <c r="N371" s="1016"/>
      <c r="O371" s="1016"/>
      <c r="P371" s="1016"/>
      <c r="Q371" s="1017"/>
      <c r="R371" s="525"/>
      <c r="S371" s="526"/>
      <c r="T371" s="1181"/>
      <c r="U371" s="670"/>
      <c r="V371" s="670"/>
      <c r="W371" s="670"/>
      <c r="Y371" s="121"/>
    </row>
    <row r="372" spans="2:25" s="671" customFormat="1" ht="12.75" x14ac:dyDescent="0.2">
      <c r="B372" s="1180"/>
      <c r="C372" s="501"/>
      <c r="D372" s="1757"/>
      <c r="E372" s="1011"/>
      <c r="F372" s="1011"/>
      <c r="G372" s="1015">
        <v>1</v>
      </c>
      <c r="H372" s="1081"/>
      <c r="I372" s="534"/>
      <c r="J372" s="1081"/>
      <c r="K372" s="1973"/>
      <c r="L372" s="1973"/>
      <c r="M372" s="1016"/>
      <c r="N372" s="1016"/>
      <c r="O372" s="1016"/>
      <c r="P372" s="1016"/>
      <c r="Q372" s="1017"/>
      <c r="R372" s="525"/>
      <c r="S372" s="526"/>
      <c r="T372" s="1181"/>
      <c r="U372" s="670"/>
      <c r="V372" s="670"/>
      <c r="W372" s="670"/>
      <c r="Y372" s="121"/>
    </row>
    <row r="373" spans="2:25" s="671" customFormat="1" ht="12.75" x14ac:dyDescent="0.2">
      <c r="B373" s="1180"/>
      <c r="C373" s="501"/>
      <c r="D373" s="1757"/>
      <c r="E373" s="1011"/>
      <c r="F373" s="1011"/>
      <c r="G373" s="1015">
        <f>G372+1</f>
        <v>2</v>
      </c>
      <c r="H373" s="1081"/>
      <c r="I373" s="534"/>
      <c r="J373" s="1081"/>
      <c r="K373" s="1973"/>
      <c r="L373" s="1973"/>
      <c r="M373" s="1016"/>
      <c r="N373" s="1016"/>
      <c r="O373" s="1016"/>
      <c r="P373" s="1016"/>
      <c r="Q373" s="1017"/>
      <c r="R373" s="525"/>
      <c r="S373" s="526"/>
      <c r="T373" s="1181"/>
      <c r="U373" s="670"/>
      <c r="V373" s="670"/>
      <c r="W373" s="670"/>
      <c r="Y373" s="121"/>
    </row>
    <row r="374" spans="2:25" s="671" customFormat="1" ht="26.25" customHeight="1" x14ac:dyDescent="0.2">
      <c r="B374" s="1180"/>
      <c r="C374" s="501"/>
      <c r="D374" s="1757"/>
      <c r="E374" s="1011"/>
      <c r="F374" s="1011"/>
      <c r="G374" s="3447" t="s">
        <v>749</v>
      </c>
      <c r="H374" s="3448"/>
      <c r="I374" s="3448"/>
      <c r="J374" s="3448"/>
      <c r="K374" s="3449"/>
      <c r="L374" s="1019">
        <f>SUM(Deduction.54F.AmtDedClaimed)</f>
        <v>0</v>
      </c>
      <c r="M374" s="1016"/>
      <c r="N374" s="1016"/>
      <c r="O374" s="1016"/>
      <c r="P374" s="1016"/>
      <c r="Q374" s="1017"/>
      <c r="R374" s="525"/>
      <c r="S374" s="526"/>
      <c r="T374" s="1181"/>
      <c r="U374" s="670"/>
      <c r="V374" s="670"/>
      <c r="W374" s="670"/>
      <c r="Y374" s="121"/>
    </row>
    <row r="375" spans="2:25" s="671" customFormat="1" ht="12.75" x14ac:dyDescent="0.2">
      <c r="B375" s="1180"/>
      <c r="C375" s="501"/>
      <c r="D375" s="1757"/>
      <c r="E375" s="1011"/>
      <c r="F375" s="1020" t="s">
        <v>40</v>
      </c>
      <c r="G375" s="3476" t="s">
        <v>8347</v>
      </c>
      <c r="H375" s="3476"/>
      <c r="I375" s="3476"/>
      <c r="J375" s="3476"/>
      <c r="K375" s="3476"/>
      <c r="L375" s="3476"/>
      <c r="M375" s="1016"/>
      <c r="N375" s="1016"/>
      <c r="O375" s="1016"/>
      <c r="P375" s="1016"/>
      <c r="Q375" s="1017"/>
      <c r="R375" s="525"/>
      <c r="S375" s="526"/>
      <c r="T375" s="1181"/>
      <c r="U375" s="670"/>
      <c r="V375" s="670"/>
      <c r="W375" s="670"/>
      <c r="Y375" s="121"/>
    </row>
    <row r="376" spans="2:25" s="671" customFormat="1" ht="63.75" x14ac:dyDescent="0.2">
      <c r="B376" s="1180"/>
      <c r="C376" s="501"/>
      <c r="D376" s="1757"/>
      <c r="E376" s="1011"/>
      <c r="F376" s="1011"/>
      <c r="G376" s="1473" t="s">
        <v>7563</v>
      </c>
      <c r="H376" s="1473" t="s">
        <v>8348</v>
      </c>
      <c r="I376" s="1473" t="s">
        <v>8349</v>
      </c>
      <c r="J376" s="1473" t="s">
        <v>8350</v>
      </c>
      <c r="K376" s="1473" t="s">
        <v>1036</v>
      </c>
      <c r="L376" s="1473" t="s">
        <v>8339</v>
      </c>
      <c r="M376" s="1016"/>
      <c r="N376" s="1016"/>
      <c r="O376" s="1016"/>
      <c r="P376" s="1016"/>
      <c r="Q376" s="1017"/>
      <c r="R376" s="525"/>
      <c r="S376" s="526"/>
      <c r="T376" s="1181"/>
      <c r="U376" s="670"/>
      <c r="V376" s="670"/>
      <c r="W376" s="670"/>
      <c r="Y376" s="121"/>
    </row>
    <row r="377" spans="2:25" s="671" customFormat="1" ht="12.75" x14ac:dyDescent="0.2">
      <c r="B377" s="1180"/>
      <c r="C377" s="501"/>
      <c r="D377" s="1757"/>
      <c r="E377" s="1011"/>
      <c r="F377" s="1011"/>
      <c r="G377" s="1015">
        <v>1</v>
      </c>
      <c r="H377" s="1081"/>
      <c r="I377" s="534"/>
      <c r="J377" s="1081"/>
      <c r="K377" s="1973"/>
      <c r="L377" s="1973"/>
      <c r="M377" s="1016"/>
      <c r="N377" s="1016"/>
      <c r="O377" s="1016"/>
      <c r="P377" s="1016"/>
      <c r="Q377" s="1017"/>
      <c r="R377" s="525"/>
      <c r="S377" s="526"/>
      <c r="T377" s="1181"/>
      <c r="U377" s="670"/>
      <c r="V377" s="670"/>
      <c r="W377" s="670"/>
      <c r="Y377" s="121"/>
    </row>
    <row r="378" spans="2:25" s="671" customFormat="1" ht="12.75" x14ac:dyDescent="0.2">
      <c r="B378" s="1180"/>
      <c r="C378" s="501"/>
      <c r="D378" s="1757"/>
      <c r="E378" s="1011"/>
      <c r="F378" s="1011"/>
      <c r="G378" s="1015">
        <f>G377+1</f>
        <v>2</v>
      </c>
      <c r="H378" s="1081"/>
      <c r="I378" s="534"/>
      <c r="J378" s="1081"/>
      <c r="K378" s="1973"/>
      <c r="L378" s="1973"/>
      <c r="M378" s="1016"/>
      <c r="N378" s="1016"/>
      <c r="O378" s="1016"/>
      <c r="P378" s="1016"/>
      <c r="Q378" s="1017"/>
      <c r="R378" s="525"/>
      <c r="S378" s="526"/>
      <c r="T378" s="1181"/>
      <c r="U378" s="670"/>
      <c r="V378" s="670"/>
      <c r="W378" s="670"/>
      <c r="Y378" s="121"/>
    </row>
    <row r="379" spans="2:25" s="671" customFormat="1" ht="30" customHeight="1" x14ac:dyDescent="0.2">
      <c r="B379" s="1180"/>
      <c r="C379" s="501"/>
      <c r="D379" s="1757"/>
      <c r="E379" s="1011"/>
      <c r="F379" s="1011"/>
      <c r="G379" s="3447" t="s">
        <v>749</v>
      </c>
      <c r="H379" s="3448"/>
      <c r="I379" s="3448"/>
      <c r="J379" s="3448"/>
      <c r="K379" s="3449"/>
      <c r="L379" s="1019">
        <f>SUM(Deduction.54G.AmtDedClaimed)</f>
        <v>0</v>
      </c>
      <c r="M379" s="1016"/>
      <c r="N379" s="1016"/>
      <c r="O379" s="1016"/>
      <c r="P379" s="1016"/>
      <c r="Q379" s="1017"/>
      <c r="R379" s="525"/>
      <c r="S379" s="526"/>
      <c r="T379" s="1181"/>
      <c r="U379" s="670"/>
      <c r="V379" s="670"/>
      <c r="W379" s="670"/>
      <c r="Y379" s="121"/>
    </row>
    <row r="380" spans="2:25" s="671" customFormat="1" ht="12.75" x14ac:dyDescent="0.2">
      <c r="B380" s="1180"/>
      <c r="C380" s="501"/>
      <c r="D380" s="1757"/>
      <c r="E380" s="1011"/>
      <c r="F380" s="1020" t="s">
        <v>539</v>
      </c>
      <c r="G380" s="3476" t="s">
        <v>8351</v>
      </c>
      <c r="H380" s="3476"/>
      <c r="I380" s="3476"/>
      <c r="J380" s="3476"/>
      <c r="K380" s="3476"/>
      <c r="L380" s="3476"/>
      <c r="M380" s="676"/>
      <c r="N380" s="676"/>
      <c r="O380" s="676"/>
      <c r="P380" s="676"/>
      <c r="Q380" s="676"/>
      <c r="R380" s="525"/>
      <c r="S380" s="526"/>
      <c r="T380" s="1181"/>
      <c r="U380" s="670"/>
      <c r="V380" s="670"/>
      <c r="W380" s="670"/>
      <c r="Y380" s="121"/>
    </row>
    <row r="381" spans="2:25" s="671" customFormat="1" ht="81.75" customHeight="1" x14ac:dyDescent="0.2">
      <c r="B381" s="1180"/>
      <c r="C381" s="501"/>
      <c r="D381" s="1757"/>
      <c r="E381" s="1011"/>
      <c r="F381" s="1011"/>
      <c r="G381" s="1473" t="s">
        <v>7563</v>
      </c>
      <c r="H381" s="1473" t="s">
        <v>8348</v>
      </c>
      <c r="I381" s="1473" t="s">
        <v>8349</v>
      </c>
      <c r="J381" s="1473" t="s">
        <v>8352</v>
      </c>
      <c r="K381" s="1473" t="s">
        <v>1036</v>
      </c>
      <c r="L381" s="1473" t="s">
        <v>8339</v>
      </c>
      <c r="M381" s="676"/>
      <c r="N381" s="676"/>
      <c r="O381" s="676"/>
      <c r="P381" s="676"/>
      <c r="Q381" s="676"/>
      <c r="R381" s="525"/>
      <c r="S381" s="526"/>
      <c r="T381" s="1181"/>
      <c r="U381" s="670"/>
      <c r="V381" s="670"/>
      <c r="W381" s="670"/>
      <c r="Y381" s="121"/>
    </row>
    <row r="382" spans="2:25" s="671" customFormat="1" ht="12.75" x14ac:dyDescent="0.2">
      <c r="B382" s="1180"/>
      <c r="C382" s="501"/>
      <c r="D382" s="1757"/>
      <c r="E382" s="1011"/>
      <c r="F382" s="1011"/>
      <c r="G382" s="1015">
        <v>1</v>
      </c>
      <c r="H382" s="1081"/>
      <c r="I382" s="534"/>
      <c r="J382" s="1081"/>
      <c r="K382" s="1973"/>
      <c r="L382" s="1973"/>
      <c r="M382" s="676"/>
      <c r="N382" s="676"/>
      <c r="O382" s="676"/>
      <c r="P382" s="676"/>
      <c r="Q382" s="676"/>
      <c r="R382" s="525"/>
      <c r="S382" s="526"/>
      <c r="T382" s="1181"/>
      <c r="U382" s="670"/>
      <c r="V382" s="670"/>
      <c r="W382" s="670"/>
      <c r="Y382" s="121"/>
    </row>
    <row r="383" spans="2:25" s="671" customFormat="1" ht="12.75" x14ac:dyDescent="0.2">
      <c r="B383" s="1180"/>
      <c r="C383" s="501"/>
      <c r="D383" s="1757"/>
      <c r="E383" s="1011"/>
      <c r="F383" s="1011"/>
      <c r="G383" s="1015">
        <f>G382+1</f>
        <v>2</v>
      </c>
      <c r="H383" s="1081"/>
      <c r="I383" s="534"/>
      <c r="J383" s="1081"/>
      <c r="K383" s="1973"/>
      <c r="L383" s="1973"/>
      <c r="M383" s="676"/>
      <c r="N383" s="676"/>
      <c r="O383" s="676"/>
      <c r="P383" s="676"/>
      <c r="Q383" s="676"/>
      <c r="R383" s="525"/>
      <c r="S383" s="526"/>
      <c r="T383" s="1181"/>
      <c r="U383" s="670"/>
      <c r="V383" s="670"/>
      <c r="W383" s="670"/>
      <c r="Y383" s="121"/>
    </row>
    <row r="384" spans="2:25" s="671" customFormat="1" ht="27.75" customHeight="1" x14ac:dyDescent="0.2">
      <c r="B384" s="1180"/>
      <c r="C384" s="501"/>
      <c r="D384" s="1757"/>
      <c r="E384" s="1011"/>
      <c r="F384" s="1011"/>
      <c r="G384" s="3447" t="s">
        <v>749</v>
      </c>
      <c r="H384" s="3448"/>
      <c r="I384" s="3448"/>
      <c r="J384" s="3448"/>
      <c r="K384" s="3449"/>
      <c r="L384" s="1019">
        <f>SUM(Deduction.54GA.AmtDedClaimed)</f>
        <v>0</v>
      </c>
      <c r="M384" s="676"/>
      <c r="N384" s="676"/>
      <c r="O384" s="676"/>
      <c r="P384" s="676"/>
      <c r="Q384" s="676"/>
      <c r="R384" s="525"/>
      <c r="S384" s="526"/>
      <c r="T384" s="1181"/>
      <c r="U384" s="670"/>
      <c r="V384" s="670"/>
      <c r="W384" s="670"/>
      <c r="Y384" s="121"/>
    </row>
    <row r="385" spans="2:38" s="671" customFormat="1" ht="15" x14ac:dyDescent="0.25">
      <c r="B385" s="1180"/>
      <c r="C385" s="501"/>
      <c r="D385" s="1757"/>
      <c r="E385" s="1011"/>
      <c r="F385" s="1020" t="s">
        <v>541</v>
      </c>
      <c r="G385" s="3479" t="s">
        <v>8353</v>
      </c>
      <c r="H385" s="3479"/>
      <c r="I385" s="3479"/>
      <c r="J385" s="3479"/>
      <c r="K385" s="3479"/>
      <c r="L385" s="676"/>
      <c r="M385" s="676"/>
      <c r="N385" s="676"/>
      <c r="O385" s="676"/>
      <c r="P385" s="676"/>
      <c r="Q385" s="676"/>
      <c r="R385" s="525"/>
      <c r="S385" s="526"/>
      <c r="T385" s="1181"/>
      <c r="U385" s="670"/>
      <c r="V385" s="670"/>
      <c r="W385" s="670"/>
      <c r="Y385" s="121"/>
      <c r="AK385"/>
      <c r="AL385"/>
    </row>
    <row r="386" spans="2:38" s="671" customFormat="1" ht="38.25" x14ac:dyDescent="0.25">
      <c r="B386" s="1180"/>
      <c r="C386" s="501"/>
      <c r="D386" s="1757"/>
      <c r="E386" s="1011"/>
      <c r="F386" s="1011"/>
      <c r="G386" s="1473" t="s">
        <v>8331</v>
      </c>
      <c r="H386" s="1473" t="s">
        <v>8354</v>
      </c>
      <c r="I386" s="1473" t="s">
        <v>8355</v>
      </c>
      <c r="J386" s="1473" t="s">
        <v>8346</v>
      </c>
      <c r="K386" s="1473" t="s">
        <v>8339</v>
      </c>
      <c r="L386" s="676"/>
      <c r="M386" s="676"/>
      <c r="N386" s="676"/>
      <c r="O386" s="676"/>
      <c r="P386" s="676"/>
      <c r="Q386" s="676"/>
      <c r="R386" s="525"/>
      <c r="S386" s="526"/>
      <c r="T386" s="1181"/>
      <c r="U386" s="670"/>
      <c r="V386" s="670"/>
      <c r="W386" s="670"/>
      <c r="Y386" s="121"/>
      <c r="AK386"/>
      <c r="AL386"/>
    </row>
    <row r="387" spans="2:38" s="671" customFormat="1" ht="15" x14ac:dyDescent="0.25">
      <c r="B387" s="1180"/>
      <c r="C387" s="501"/>
      <c r="D387" s="1757"/>
      <c r="E387" s="1011"/>
      <c r="F387" s="1011"/>
      <c r="G387" s="1015">
        <v>1</v>
      </c>
      <c r="H387" s="1081"/>
      <c r="I387" s="534"/>
      <c r="J387" s="1081"/>
      <c r="K387" s="1973"/>
      <c r="L387" s="676"/>
      <c r="M387" s="676"/>
      <c r="N387" s="676"/>
      <c r="O387" s="676"/>
      <c r="P387" s="676"/>
      <c r="Q387" s="676"/>
      <c r="R387" s="525"/>
      <c r="S387" s="526"/>
      <c r="T387" s="1181"/>
      <c r="U387" s="670"/>
      <c r="V387" s="670"/>
      <c r="W387" s="670"/>
      <c r="Y387" s="121"/>
      <c r="AK387"/>
      <c r="AL387"/>
    </row>
    <row r="388" spans="2:38" s="671" customFormat="1" ht="15" x14ac:dyDescent="0.25">
      <c r="B388" s="1180"/>
      <c r="C388" s="501"/>
      <c r="D388" s="1757"/>
      <c r="E388" s="1011"/>
      <c r="F388" s="1011"/>
      <c r="G388" s="1015">
        <f>G387+1</f>
        <v>2</v>
      </c>
      <c r="H388" s="1081"/>
      <c r="I388" s="534"/>
      <c r="J388" s="1081"/>
      <c r="K388" s="1973"/>
      <c r="L388" s="676"/>
      <c r="M388" s="676"/>
      <c r="N388" s="676"/>
      <c r="O388" s="676"/>
      <c r="P388" s="676"/>
      <c r="Q388" s="676"/>
      <c r="R388" s="525"/>
      <c r="S388" s="526"/>
      <c r="T388" s="1181"/>
      <c r="U388" s="670"/>
      <c r="V388" s="670"/>
      <c r="W388" s="670"/>
      <c r="Y388" s="121"/>
      <c r="AK388"/>
      <c r="AL388"/>
    </row>
    <row r="389" spans="2:38" s="671" customFormat="1" ht="28.5" customHeight="1" x14ac:dyDescent="0.25">
      <c r="B389" s="1180"/>
      <c r="C389" s="501"/>
      <c r="D389" s="1757"/>
      <c r="E389" s="1011"/>
      <c r="F389" s="1011"/>
      <c r="G389" s="3447" t="s">
        <v>749</v>
      </c>
      <c r="H389" s="3448"/>
      <c r="I389" s="3448"/>
      <c r="J389" s="3448"/>
      <c r="K389" s="1019">
        <f>SUM(Deduction.115F.AmtDedClaimed)</f>
        <v>0</v>
      </c>
      <c r="L389" s="676"/>
      <c r="M389" s="676"/>
      <c r="N389" s="676"/>
      <c r="O389" s="676"/>
      <c r="P389" s="676"/>
      <c r="Q389" s="676"/>
      <c r="R389" s="525"/>
      <c r="S389" s="526"/>
      <c r="T389" s="1181"/>
      <c r="U389" s="670"/>
      <c r="V389" s="670"/>
      <c r="W389" s="670"/>
      <c r="Y389" s="121"/>
      <c r="AK389"/>
      <c r="AL389"/>
    </row>
    <row r="390" spans="2:38" s="671" customFormat="1" ht="52.5" hidden="1" customHeight="1" x14ac:dyDescent="0.25">
      <c r="B390" s="1180"/>
      <c r="C390" s="501"/>
      <c r="D390" s="1757"/>
      <c r="E390" s="675"/>
      <c r="F390" s="672"/>
      <c r="G390" s="1024"/>
      <c r="H390" s="1025" t="s">
        <v>1033</v>
      </c>
      <c r="I390" s="1025" t="s">
        <v>1034</v>
      </c>
      <c r="J390" s="1025" t="s">
        <v>1035</v>
      </c>
      <c r="K390" s="1026" t="s">
        <v>7328</v>
      </c>
      <c r="L390" s="1027" t="s">
        <v>1036</v>
      </c>
      <c r="M390" s="676"/>
      <c r="N390" s="677"/>
      <c r="O390" s="677"/>
      <c r="P390" s="676"/>
      <c r="Q390" s="676"/>
      <c r="R390" s="525"/>
      <c r="S390" s="526"/>
      <c r="T390" s="1181"/>
      <c r="U390" s="670"/>
      <c r="V390" s="670"/>
      <c r="W390" s="670"/>
      <c r="Y390" s="121"/>
      <c r="AK390"/>
      <c r="AL390"/>
    </row>
    <row r="391" spans="2:38" s="671" customFormat="1" ht="12.75" hidden="1" customHeight="1" x14ac:dyDescent="0.25">
      <c r="B391" s="1180"/>
      <c r="C391" s="501"/>
      <c r="D391" s="1757"/>
      <c r="E391" s="672"/>
      <c r="F391" s="672"/>
      <c r="G391" s="1028">
        <v>1</v>
      </c>
      <c r="H391" s="1029" t="s">
        <v>12</v>
      </c>
      <c r="I391" s="1030"/>
      <c r="J391" s="1030"/>
      <c r="K391" s="1031"/>
      <c r="L391" s="1032"/>
      <c r="M391" s="676"/>
      <c r="N391" s="677"/>
      <c r="O391" s="678"/>
      <c r="P391" s="678"/>
      <c r="Q391" s="678"/>
      <c r="R391" s="525"/>
      <c r="S391" s="526"/>
      <c r="T391" s="1181"/>
      <c r="U391" s="670"/>
      <c r="V391" s="670"/>
      <c r="W391" s="670"/>
      <c r="Y391" s="121"/>
      <c r="AJ391" s="679"/>
      <c r="AK391"/>
      <c r="AL391"/>
    </row>
    <row r="392" spans="2:38" s="671" customFormat="1" ht="12.75" hidden="1" customHeight="1" x14ac:dyDescent="0.25">
      <c r="B392" s="1180"/>
      <c r="C392" s="501"/>
      <c r="D392" s="1757"/>
      <c r="E392" s="672"/>
      <c r="F392" s="672"/>
      <c r="G392" s="1033">
        <f t="shared" ref="G392:G398" si="3">G391+1</f>
        <v>2</v>
      </c>
      <c r="H392" s="1029" t="s">
        <v>12</v>
      </c>
      <c r="I392" s="1030"/>
      <c r="J392" s="1030"/>
      <c r="K392" s="1031"/>
      <c r="L392" s="1032"/>
      <c r="M392" s="676"/>
      <c r="N392" s="677"/>
      <c r="O392" s="678"/>
      <c r="P392" s="678"/>
      <c r="Q392" s="678"/>
      <c r="R392" s="525"/>
      <c r="S392" s="526"/>
      <c r="T392" s="1181"/>
      <c r="U392" s="670"/>
      <c r="V392" s="670"/>
      <c r="W392" s="670"/>
      <c r="Y392" s="121"/>
      <c r="AJ392" s="679"/>
      <c r="AK392"/>
      <c r="AL392"/>
    </row>
    <row r="393" spans="2:38" s="671" customFormat="1" ht="12.75" hidden="1" customHeight="1" x14ac:dyDescent="0.25">
      <c r="B393" s="1180"/>
      <c r="C393" s="501"/>
      <c r="D393" s="1757"/>
      <c r="E393" s="672"/>
      <c r="F393" s="672"/>
      <c r="G393" s="1033">
        <f t="shared" si="3"/>
        <v>3</v>
      </c>
      <c r="H393" s="1029" t="s">
        <v>12</v>
      </c>
      <c r="I393" s="1030"/>
      <c r="J393" s="1030"/>
      <c r="K393" s="1031"/>
      <c r="L393" s="1032"/>
      <c r="M393" s="676"/>
      <c r="N393" s="677"/>
      <c r="O393" s="678"/>
      <c r="P393" s="678"/>
      <c r="Q393" s="678"/>
      <c r="R393" s="525"/>
      <c r="S393" s="526"/>
      <c r="T393" s="1181"/>
      <c r="U393" s="670"/>
      <c r="V393" s="670"/>
      <c r="W393" s="670"/>
      <c r="Y393" s="121"/>
      <c r="AJ393" s="679"/>
      <c r="AK393"/>
      <c r="AL393"/>
    </row>
    <row r="394" spans="2:38" s="671" customFormat="1" ht="12.75" hidden="1" customHeight="1" x14ac:dyDescent="0.25">
      <c r="B394" s="1180"/>
      <c r="C394" s="501"/>
      <c r="D394" s="1757"/>
      <c r="E394" s="672"/>
      <c r="F394" s="672"/>
      <c r="G394" s="1033">
        <f t="shared" si="3"/>
        <v>4</v>
      </c>
      <c r="H394" s="1029" t="s">
        <v>12</v>
      </c>
      <c r="I394" s="1030"/>
      <c r="J394" s="1030"/>
      <c r="K394" s="1031"/>
      <c r="L394" s="1032"/>
      <c r="M394" s="676"/>
      <c r="N394" s="677"/>
      <c r="O394" s="678"/>
      <c r="P394" s="678"/>
      <c r="Q394" s="678"/>
      <c r="R394" s="525"/>
      <c r="S394" s="526"/>
      <c r="T394" s="1181"/>
      <c r="U394" s="670"/>
      <c r="V394" s="670"/>
      <c r="W394" s="670"/>
      <c r="Y394" s="121"/>
      <c r="AJ394" s="679"/>
      <c r="AK394"/>
      <c r="AL394"/>
    </row>
    <row r="395" spans="2:38" s="671" customFormat="1" ht="12.75" hidden="1" customHeight="1" x14ac:dyDescent="0.25">
      <c r="B395" s="1180"/>
      <c r="C395" s="501"/>
      <c r="D395" s="1757"/>
      <c r="E395" s="672"/>
      <c r="F395" s="672"/>
      <c r="G395" s="1033">
        <f t="shared" si="3"/>
        <v>5</v>
      </c>
      <c r="H395" s="1029" t="s">
        <v>12</v>
      </c>
      <c r="I395" s="1030"/>
      <c r="J395" s="1030"/>
      <c r="K395" s="1031"/>
      <c r="L395" s="1032"/>
      <c r="M395" s="676"/>
      <c r="N395" s="677"/>
      <c r="O395" s="678"/>
      <c r="P395" s="678"/>
      <c r="Q395" s="678"/>
      <c r="R395" s="525"/>
      <c r="S395" s="526"/>
      <c r="T395" s="1181"/>
      <c r="U395" s="670"/>
      <c r="V395" s="670"/>
      <c r="W395" s="670"/>
      <c r="Y395" s="121"/>
      <c r="AJ395" s="679"/>
      <c r="AK395"/>
      <c r="AL395"/>
    </row>
    <row r="396" spans="2:38" s="671" customFormat="1" ht="12.75" hidden="1" customHeight="1" x14ac:dyDescent="0.25">
      <c r="B396" s="1180"/>
      <c r="C396" s="501"/>
      <c r="D396" s="1757"/>
      <c r="E396" s="672"/>
      <c r="F396" s="672"/>
      <c r="G396" s="1033">
        <f t="shared" si="3"/>
        <v>6</v>
      </c>
      <c r="H396" s="1029" t="s">
        <v>12</v>
      </c>
      <c r="I396" s="1030"/>
      <c r="J396" s="1030"/>
      <c r="K396" s="1031"/>
      <c r="L396" s="1032"/>
      <c r="M396" s="676"/>
      <c r="N396" s="677"/>
      <c r="O396" s="678"/>
      <c r="P396" s="678"/>
      <c r="Q396" s="678"/>
      <c r="R396" s="525"/>
      <c r="S396" s="526"/>
      <c r="T396" s="1181"/>
      <c r="U396" s="670"/>
      <c r="V396" s="670"/>
      <c r="W396" s="670"/>
      <c r="Y396" s="121"/>
      <c r="AJ396" s="679"/>
      <c r="AK396"/>
      <c r="AL396"/>
    </row>
    <row r="397" spans="2:38" s="671" customFormat="1" ht="12.75" hidden="1" customHeight="1" x14ac:dyDescent="0.25">
      <c r="B397" s="1180"/>
      <c r="C397" s="501"/>
      <c r="D397" s="1757"/>
      <c r="E397" s="672"/>
      <c r="F397" s="672"/>
      <c r="G397" s="1033">
        <f t="shared" si="3"/>
        <v>7</v>
      </c>
      <c r="H397" s="1029" t="s">
        <v>12</v>
      </c>
      <c r="I397" s="1030"/>
      <c r="J397" s="1030"/>
      <c r="K397" s="1031"/>
      <c r="L397" s="1032"/>
      <c r="M397" s="676"/>
      <c r="N397" s="677"/>
      <c r="O397" s="678"/>
      <c r="P397" s="678"/>
      <c r="Q397" s="678"/>
      <c r="R397" s="525"/>
      <c r="S397" s="526"/>
      <c r="T397" s="1181"/>
      <c r="U397" s="670"/>
      <c r="V397" s="670"/>
      <c r="W397" s="670"/>
      <c r="Y397" s="121"/>
      <c r="AJ397" s="679"/>
      <c r="AK397"/>
      <c r="AL397"/>
    </row>
    <row r="398" spans="2:38" s="671" customFormat="1" ht="12.75" hidden="1" customHeight="1" x14ac:dyDescent="0.25">
      <c r="B398" s="1180"/>
      <c r="C398" s="501"/>
      <c r="D398" s="1757"/>
      <c r="E398" s="672"/>
      <c r="F398" s="672"/>
      <c r="G398" s="1033">
        <f t="shared" si="3"/>
        <v>8</v>
      </c>
      <c r="H398" s="1029" t="s">
        <v>12</v>
      </c>
      <c r="I398" s="1030"/>
      <c r="J398" s="1030"/>
      <c r="K398" s="1031"/>
      <c r="L398" s="1032"/>
      <c r="M398" s="676"/>
      <c r="N398" s="677"/>
      <c r="O398" s="678"/>
      <c r="P398" s="678"/>
      <c r="Q398" s="678"/>
      <c r="R398" s="525"/>
      <c r="S398" s="526"/>
      <c r="T398" s="1181"/>
      <c r="U398" s="670"/>
      <c r="V398" s="670"/>
      <c r="W398" s="670"/>
      <c r="Y398" s="121"/>
      <c r="AJ398" s="679"/>
      <c r="AK398"/>
      <c r="AL398"/>
    </row>
    <row r="399" spans="2:38" s="121" customFormat="1" ht="10.5" hidden="1" customHeight="1" x14ac:dyDescent="0.25">
      <c r="B399" s="1797"/>
      <c r="C399" s="501"/>
      <c r="D399" s="1757"/>
      <c r="E399" s="672"/>
      <c r="F399" s="1133"/>
      <c r="G399" s="1133"/>
      <c r="H399" s="1133"/>
      <c r="I399" s="1133"/>
      <c r="J399" s="1133"/>
      <c r="K399" s="1133"/>
      <c r="L399" s="1819"/>
      <c r="M399" s="1133"/>
      <c r="N399" s="1133"/>
      <c r="O399" s="1133"/>
      <c r="P399" s="1133"/>
      <c r="Q399" s="1133"/>
      <c r="R399" s="1803"/>
      <c r="S399" s="1804"/>
      <c r="T399" s="1798"/>
      <c r="U399" s="1793"/>
      <c r="V399" s="1793"/>
      <c r="W399" s="1793"/>
      <c r="AK399"/>
      <c r="AL399"/>
    </row>
    <row r="400" spans="2:38" s="121" customFormat="1" ht="12.75" hidden="1" customHeight="1" x14ac:dyDescent="0.25">
      <c r="B400" s="1797"/>
      <c r="C400" s="501"/>
      <c r="D400" s="1757"/>
      <c r="E400" s="672"/>
      <c r="F400" s="1133"/>
      <c r="G400" s="1133"/>
      <c r="H400" s="1133"/>
      <c r="I400" s="3309"/>
      <c r="J400" s="3309"/>
      <c r="K400" s="3309"/>
      <c r="L400" s="1820"/>
      <c r="M400" s="1133"/>
      <c r="N400" s="1133"/>
      <c r="O400" s="1133"/>
      <c r="P400" s="1133"/>
      <c r="Q400" s="1133"/>
      <c r="R400" s="1803"/>
      <c r="S400" s="1804"/>
      <c r="T400" s="1798"/>
      <c r="U400" s="1793"/>
      <c r="V400" s="1793"/>
      <c r="W400" s="1793"/>
      <c r="AK400"/>
      <c r="AL400"/>
    </row>
    <row r="401" spans="2:24" s="121" customFormat="1" ht="12.75" hidden="1" customHeight="1" x14ac:dyDescent="0.2">
      <c r="B401" s="1797"/>
      <c r="C401" s="501"/>
      <c r="D401" s="1757"/>
      <c r="E401" s="672"/>
      <c r="F401" s="1133"/>
      <c r="G401" s="1133"/>
      <c r="H401" s="1133"/>
      <c r="I401" s="3483"/>
      <c r="J401" s="3483"/>
      <c r="K401" s="3483"/>
      <c r="L401" s="1816"/>
      <c r="M401" s="1133"/>
      <c r="N401" s="1133"/>
      <c r="O401" s="1133"/>
      <c r="P401" s="1133"/>
      <c r="Q401" s="1133"/>
      <c r="R401" s="1803"/>
      <c r="S401" s="1804"/>
      <c r="T401" s="1798"/>
      <c r="U401" s="1793"/>
      <c r="V401" s="1793"/>
      <c r="W401" s="1793"/>
    </row>
    <row r="402" spans="2:24" s="121" customFormat="1" ht="12.75" customHeight="1" x14ac:dyDescent="0.2">
      <c r="B402" s="1797"/>
      <c r="C402" s="501"/>
      <c r="D402" s="1757"/>
      <c r="E402" s="683"/>
      <c r="F402" s="684" t="s">
        <v>1049</v>
      </c>
      <c r="G402" s="3493" t="s">
        <v>13202</v>
      </c>
      <c r="H402" s="3494"/>
      <c r="I402" s="3494"/>
      <c r="J402" s="3494"/>
      <c r="K402" s="3494"/>
      <c r="L402" s="3494"/>
      <c r="M402" s="3495"/>
      <c r="N402" s="685" t="s">
        <v>1049</v>
      </c>
      <c r="O402" s="686">
        <f>SUM(Deduction.54.Total,Deduction.54B.Total,Deduction.54D.Total,Deduction.54EC.Total,Deduction.54F.Total,Deduction.54G.Total,Deduction.54GA.Total,Deduction.54h.Total)</f>
        <v>0</v>
      </c>
      <c r="P402" s="669"/>
      <c r="Q402" s="669"/>
      <c r="R402" s="525"/>
      <c r="S402" s="526"/>
      <c r="T402" s="1798"/>
      <c r="U402" s="1793"/>
      <c r="V402" s="1793"/>
      <c r="W402" s="1793"/>
    </row>
    <row r="403" spans="2:24" s="121" customFormat="1" ht="13.5" customHeight="1" x14ac:dyDescent="0.2">
      <c r="B403" s="1797"/>
      <c r="C403" s="501"/>
      <c r="D403" s="1758"/>
      <c r="E403" s="2033">
        <v>2</v>
      </c>
      <c r="F403" s="1778" t="s">
        <v>1037</v>
      </c>
      <c r="G403" s="1779"/>
      <c r="H403" s="1779"/>
      <c r="I403" s="1779"/>
      <c r="J403" s="1779"/>
      <c r="K403" s="1779"/>
      <c r="L403" s="1779"/>
      <c r="M403" s="1780"/>
      <c r="N403" s="3477"/>
      <c r="O403" s="3478"/>
      <c r="P403" s="668"/>
      <c r="Q403" s="674"/>
      <c r="R403" s="525"/>
      <c r="S403" s="526"/>
      <c r="T403" s="1798"/>
      <c r="U403" s="1793"/>
      <c r="V403" s="1793"/>
      <c r="W403" s="1793"/>
    </row>
    <row r="404" spans="2:24" s="121" customFormat="1" ht="14.25" customHeight="1" x14ac:dyDescent="0.2">
      <c r="B404" s="1797"/>
      <c r="C404" s="501"/>
      <c r="D404" s="580" t="s">
        <v>358</v>
      </c>
      <c r="E404" s="3480" t="s">
        <v>9283</v>
      </c>
      <c r="F404" s="3481"/>
      <c r="G404" s="3481"/>
      <c r="H404" s="3481"/>
      <c r="I404" s="3481"/>
      <c r="J404" s="3481"/>
      <c r="K404" s="3481"/>
      <c r="L404" s="3481"/>
      <c r="M404" s="3481"/>
      <c r="N404" s="3481"/>
      <c r="O404" s="3481"/>
      <c r="P404" s="3481"/>
      <c r="Q404" s="3482"/>
      <c r="R404" s="585"/>
      <c r="S404" s="586"/>
      <c r="T404" s="1798"/>
      <c r="U404" s="1793"/>
      <c r="V404" s="1793"/>
      <c r="W404" s="1793"/>
    </row>
    <row r="405" spans="2:24" s="121" customFormat="1" ht="12.75" customHeight="1" x14ac:dyDescent="0.2">
      <c r="B405" s="1797"/>
      <c r="C405" s="501"/>
      <c r="D405" s="3450"/>
      <c r="E405" s="3470" t="s">
        <v>11921</v>
      </c>
      <c r="F405" s="3484" t="s">
        <v>1038</v>
      </c>
      <c r="G405" s="3485"/>
      <c r="H405" s="3486"/>
      <c r="I405" s="3496" t="s">
        <v>9004</v>
      </c>
      <c r="J405" s="3467" t="s">
        <v>9006</v>
      </c>
      <c r="K405" s="3468"/>
      <c r="L405" s="3468"/>
      <c r="M405" s="3469"/>
      <c r="N405" s="3505" t="s">
        <v>9007</v>
      </c>
      <c r="O405" s="3505"/>
      <c r="P405" s="3505"/>
      <c r="Q405" s="3501" t="s">
        <v>9315</v>
      </c>
      <c r="R405" s="582"/>
      <c r="S405" s="1212"/>
      <c r="T405" s="1181"/>
      <c r="U405" s="1812"/>
      <c r="V405" s="1812"/>
      <c r="W405" s="1793"/>
      <c r="X405" s="1793"/>
    </row>
    <row r="406" spans="2:24" s="121" customFormat="1" ht="63.75" customHeight="1" x14ac:dyDescent="0.2">
      <c r="B406" s="1797"/>
      <c r="C406" s="501"/>
      <c r="D406" s="3450"/>
      <c r="E406" s="3471"/>
      <c r="F406" s="3487"/>
      <c r="G406" s="3488"/>
      <c r="H406" s="3489"/>
      <c r="I406" s="3497"/>
      <c r="J406" s="687">
        <v>0.15</v>
      </c>
      <c r="K406" s="687">
        <v>0.3</v>
      </c>
      <c r="L406" s="688" t="s">
        <v>1039</v>
      </c>
      <c r="M406" s="1276" t="s">
        <v>9008</v>
      </c>
      <c r="N406" s="689">
        <v>0.1</v>
      </c>
      <c r="O406" s="689">
        <v>0.2</v>
      </c>
      <c r="P406" s="1277" t="s">
        <v>9008</v>
      </c>
      <c r="Q406" s="3502"/>
      <c r="R406" s="585"/>
      <c r="S406" s="1207"/>
      <c r="T406" s="1181"/>
      <c r="U406" s="1812"/>
      <c r="V406" s="1812"/>
      <c r="W406" s="1793"/>
      <c r="X406" s="1793"/>
    </row>
    <row r="407" spans="2:24" s="121" customFormat="1" ht="12.75" customHeight="1" x14ac:dyDescent="0.2">
      <c r="B407" s="1797"/>
      <c r="C407" s="501"/>
      <c r="D407" s="3450"/>
      <c r="E407" s="3472"/>
      <c r="F407" s="3490"/>
      <c r="G407" s="3491"/>
      <c r="H407" s="3492"/>
      <c r="I407" s="1474">
        <v>1</v>
      </c>
      <c r="J407" s="1476">
        <v>2</v>
      </c>
      <c r="K407" s="1477">
        <v>3</v>
      </c>
      <c r="L407" s="1475">
        <v>4</v>
      </c>
      <c r="M407" s="1477">
        <v>5</v>
      </c>
      <c r="N407" s="1474">
        <v>6</v>
      </c>
      <c r="O407" s="1477">
        <v>7</v>
      </c>
      <c r="P407" s="1475">
        <v>8</v>
      </c>
      <c r="Q407" s="1475">
        <v>9</v>
      </c>
      <c r="R407" s="585"/>
      <c r="S407" s="1207"/>
      <c r="T407" s="1181"/>
      <c r="U407" s="1812"/>
      <c r="V407" s="1812"/>
      <c r="W407" s="1793"/>
      <c r="X407" s="1793"/>
    </row>
    <row r="408" spans="2:24" s="121" customFormat="1" ht="51.75" customHeight="1" x14ac:dyDescent="0.2">
      <c r="B408" s="1797"/>
      <c r="C408" s="501"/>
      <c r="D408" s="3450"/>
      <c r="E408" s="690" t="s">
        <v>287</v>
      </c>
      <c r="F408" s="3452" t="s">
        <v>9005</v>
      </c>
      <c r="G408" s="3453"/>
      <c r="H408" s="3454"/>
      <c r="I408" s="691"/>
      <c r="J408" s="1821">
        <f>ABS(MIN(0,STCG.A2ie_CapgainonAssets+S56+S58-STCG_DTAA_A4a+STCG.A8_PassThroughIncome15-STCG_DTAA_A3iie-STCG_DTAA_A3ie-STCG_DTAA_A8a))</f>
        <v>0</v>
      </c>
      <c r="K408" s="1821">
        <f>ABS(MIN(0,S74+STCG.A8_PassThroughIncome30-STCG_DTAA_A5e-STCG_DTAA_A8b))</f>
        <v>0</v>
      </c>
      <c r="L408" s="1821">
        <f>ABS(MIN(0,STCG.A1e_CapgainonAssets+STCG.A20ic_CapgainonAssets+STCG.A3b_NRItaxSTTNotPaid+STCG.A5e_CapgainonAssets+STCG.A7_AmtDeemed+STCG.A8_PassThroughIncome_ApplicableRate-STCG_DTAA_A1e-STCG_DTAA_A2c-STCG_DTAA_A4b-Stcg_DTAA_A6f-STCG_DTAA_A7-STCG_DTAA_A8c))</f>
        <v>0</v>
      </c>
      <c r="M408" s="1821">
        <f>ABS(MIN(0,STCG.A8b_StcgDTAA))</f>
        <v>0</v>
      </c>
      <c r="N408" s="1821">
        <f>ABS(MIN(0,LTCG.B3e_CapgainonAssets+LTCG.Bii3e_CapgainonAssets+LTCG.5.LTCG_OnSaleCapitalAssets+LTCG.Bi5e_CapgainonAssets+LTCG.Bii5e_CapgainonAssets+LTCG.Biii5e_CapgainonAssets+LTCG.5.LTCG_AssetsB8Above+LTCG.B6c_BalonSpeciAsset+LTCG.B12_PassThroughIncome10+LTCG.B12_PassThroughIncome10_112A-LTCG_DTAA_B4ie-LTCG_DTAA_B4iie-LTCG_DTAA_B5c-LTCG_DTAA_B8c-LTCG_DTAA_B9c-LTCG_DTAA_B7ie-LTCG_DTAA_B7iie-LTCG_DTAA_B7iiie-LTCG_DTAA_B12a1-LTCG_DTAA_B12a2))</f>
        <v>0</v>
      </c>
      <c r="O408" s="1821">
        <f>ABS(MIN(0,LTCG.B1e_CapgainonAssets+LTCG.B02e_CapgainonAssets+LTCG.B2e_CapgainonAssets+LTCG.B4e_LTCGOnUnlistedSecurity+LTCG.B6f_BalOtherthanSpecAsset+LTCG.B7e_CapgainonAssets+LTCG.B9_AmtDeemed+LTCG.B12_PassThroughIncome20-LTCG_DTAA_B1e-LTCG_DTAA_B2e-LTCG_DTAA_B3e-LTCG_DTAA_B6c-LTCG_DTAA_B9f-LTCG_DTAA_B10e-LTCG_DTAA_B11-LTCG_DTAA_B12b))</f>
        <v>0</v>
      </c>
      <c r="P408" s="1821">
        <f>ABS(MIN(0,LTCG.B10b_ltcgDTAA))</f>
        <v>0</v>
      </c>
      <c r="Q408" s="1208"/>
      <c r="R408" s="585"/>
      <c r="S408" s="1207"/>
      <c r="T408" s="1181"/>
      <c r="U408" s="1812"/>
      <c r="V408" s="1812"/>
      <c r="W408" s="1793"/>
      <c r="X408" s="1793"/>
    </row>
    <row r="409" spans="2:24" s="121" customFormat="1" ht="12.75" customHeight="1" x14ac:dyDescent="0.2">
      <c r="B409" s="1797"/>
      <c r="C409" s="501"/>
      <c r="D409" s="3450"/>
      <c r="E409" s="690" t="s">
        <v>290</v>
      </c>
      <c r="F409" s="3455" t="s">
        <v>1040</v>
      </c>
      <c r="G409" s="3454"/>
      <c r="H409" s="692">
        <v>0.15</v>
      </c>
      <c r="I409" s="1821">
        <f>MAX(0,SUM(STCG.A2ie_CapgainonAssets,S56,S58,STCG.A8_PassThroughIncome15,-STCG_DTAA_A3ie,-STCG_DTAA_A3iie,-STCG_DTAA_A4a,-STCG_DTAA_A8a))</f>
        <v>0</v>
      </c>
      <c r="J409" s="693"/>
      <c r="K409" s="1821">
        <f>MIN(IHLA.Ei3_StclSetoff30Per-IHLA.Eiv3_StclSetoff30Per-IHLA.Evi3_StclSetoff30Per,IHLA.Eii1_CurrYearIncome-0)</f>
        <v>0</v>
      </c>
      <c r="L409" s="1821">
        <f>MIN(IHLA.Ei4_StclSetoffAppRate-IHLA.Eiii4_StclSetoffAppRate-IHLA.Evi4_StclSetoffAppRate,IHLA.Eii1_CurrYearIncome-IHLA.Eii3_StclSetoff30Per)</f>
        <v>0</v>
      </c>
      <c r="M409" s="1821">
        <f>MIN(IHLA.Ei5_StclSetoffDTAARate-IHLA.Eiii5_StclSetoffDTAARate-IHLA.Eiv5_StclSetoffDTAARate-IHLA.Evi5_StclSetoffDTAARate,IHLA.Eii1_CurrYearIncome-IHLA.Eii3_StclSetoff30Per-IHLA.Eii4_StclSetoffAppRate)</f>
        <v>0</v>
      </c>
      <c r="N409" s="1205"/>
      <c r="O409" s="1205"/>
      <c r="P409" s="1205"/>
      <c r="Q409" s="1821">
        <f>MAX(0,(IHLA.Eii1_CurrYearIncome-IHLA.Eii3_StclSetoff30Per-IHLA.Eii4_StclSetoffAppRate-IHLA.Eii5_StclSetoffDTAARate))</f>
        <v>0</v>
      </c>
      <c r="R409" s="585"/>
      <c r="S409" s="1207"/>
      <c r="T409" s="1181"/>
      <c r="U409" s="1812"/>
      <c r="V409" s="1812"/>
      <c r="W409" s="1793"/>
      <c r="X409" s="1793"/>
    </row>
    <row r="410" spans="2:24" s="121" customFormat="1" ht="12.75" customHeight="1" x14ac:dyDescent="0.2">
      <c r="B410" s="1797"/>
      <c r="C410" s="501"/>
      <c r="D410" s="3450"/>
      <c r="E410" s="690" t="s">
        <v>293</v>
      </c>
      <c r="F410" s="3456"/>
      <c r="G410" s="3457"/>
      <c r="H410" s="692">
        <v>0.3</v>
      </c>
      <c r="I410" s="1821">
        <f>MAX(0,S74+STCG.A8_PassThroughIncome30-STCG_DTAA_A5e-STCG_DTAA_A8b)</f>
        <v>0</v>
      </c>
      <c r="J410" s="1821">
        <f>MIN(IHLA.Ei2_StclSetoff15Per,IHLA.Eiii1_CurrYearIncome-IHLA.Eiii4_StclSetoffAppRate)</f>
        <v>0</v>
      </c>
      <c r="K410" s="694"/>
      <c r="L410" s="1821">
        <f>MIN(IHLA.Ei4_StclSetoffAppRate,IHLA.Eiii1_CurrYearIncome)</f>
        <v>0</v>
      </c>
      <c r="M410" s="1821">
        <f>MIN(IHLA.Ei5_StclSetoffDTAARate,IHLA.Eiii1_CurrYearIncome-IHLA.Eiii4_StclSetoffAppRate-IHLA.Eiii2_StclSetoff15Per)</f>
        <v>0</v>
      </c>
      <c r="N410" s="1205"/>
      <c r="O410" s="1205"/>
      <c r="P410" s="1205"/>
      <c r="Q410" s="1821">
        <f>MAX(0,(IHLA.Eiii1_CurrYearIncome-IHLA.Eiii2_StclSetoff15Per-IHLA.Eiii4_StclSetoffAppRate-IHLA.Eiii5_StclSetoffDTAARate))</f>
        <v>0</v>
      </c>
      <c r="R410" s="585"/>
      <c r="S410" s="1207"/>
      <c r="T410" s="1181"/>
      <c r="U410" s="1812"/>
      <c r="V410" s="1812"/>
      <c r="W410" s="1793"/>
      <c r="X410" s="1793"/>
    </row>
    <row r="411" spans="2:24" s="121" customFormat="1" ht="35.25" customHeight="1" x14ac:dyDescent="0.2">
      <c r="B411" s="1797"/>
      <c r="C411" s="501"/>
      <c r="D411" s="3450"/>
      <c r="E411" s="690" t="s">
        <v>296</v>
      </c>
      <c r="F411" s="3456"/>
      <c r="G411" s="3457"/>
      <c r="H411" s="1210" t="s">
        <v>9009</v>
      </c>
      <c r="I411" s="1821">
        <f>MAX(0,STCG.A1e_CapgainonAssets+STCG.A20ic_CapgainonAssets+STCG.A3b_NRItaxSTTNotPaid+STCG.A5e_CapgainonAssets+STCG.A7_AmtDeemed+STCG.A8_PassThroughIncome_ApplicableRate-STCG_DTAA_A7-Stcg_DTAA_A6f-STCG_DTAA_A4b-STCG_DTAA_A2c-STCG_DTAA_A1e-STCG_DTAA_A8c)</f>
        <v>0</v>
      </c>
      <c r="J411" s="1821">
        <f>MIN(IHLA.Ei2_StclSetoff15Per-IHLA.Eiii2_StclSetoff15Per,IHLA.Eiv1_CurrYearIncome-IHLA.Eiv3_StclSetoff30Per)</f>
        <v>0</v>
      </c>
      <c r="K411" s="1821">
        <f>MIN(IHLA.Ei3_StclSetoff30Per,IHLA.Eiv1_CurrYearIncome)</f>
        <v>0</v>
      </c>
      <c r="L411" s="694"/>
      <c r="M411" s="1821">
        <f>MIN(IHLA.Ei5_StclSetoffDTAARate-IHLA.Eiii5_StclSetoffDTAARate,IHLA.Eiv1_CurrYearIncome-IHLA.Eiv2_StclSetoff15Per-IHLA.Eiv3_StclSetoff30Per)</f>
        <v>0</v>
      </c>
      <c r="N411" s="1205"/>
      <c r="O411" s="1205"/>
      <c r="P411" s="1205"/>
      <c r="Q411" s="1821">
        <f>MAX(0,(IHLA.Eiv1_CurrYearIncome-IHLA.Eiv2_StclSetoff15Per-IHLA.Eiv3_StclSetoff30Per-IHLA.Eiv5_StclSetoffDTAARate))</f>
        <v>0</v>
      </c>
      <c r="R411" s="585"/>
      <c r="S411" s="1207"/>
      <c r="T411" s="1181"/>
      <c r="U411" s="1812"/>
      <c r="V411" s="1812"/>
      <c r="W411" s="1793"/>
      <c r="X411" s="1793"/>
    </row>
    <row r="412" spans="2:24" s="121" customFormat="1" ht="35.25" customHeight="1" x14ac:dyDescent="0.2">
      <c r="B412" s="1797"/>
      <c r="C412" s="501"/>
      <c r="D412" s="3450"/>
      <c r="E412" s="690" t="s">
        <v>299</v>
      </c>
      <c r="F412" s="3458"/>
      <c r="G412" s="3459"/>
      <c r="H412" s="1210" t="s">
        <v>9008</v>
      </c>
      <c r="I412" s="1821">
        <f>MAX(0,STCG.A8b_StcgDTAA)</f>
        <v>0</v>
      </c>
      <c r="J412" s="1821">
        <f>MIN(IHLA.Ei2_StclSetoff15Per-IHLA.Eiii2_StclSetoff15Per-IHLA.Eiv2_StclSetoff15Per-IHLA.Evi2_StclSetoff15Per-IHLA.Ev2_StclSetoff15Per,IHLA.Ev_DTAArates-IHLA.Ev3_DTAArates-IHLA.Ev4_DTAArates)</f>
        <v>0</v>
      </c>
      <c r="K412" s="1821">
        <f>MIN(IHLA.Ei3_StclSetoff30Per-IHLA.Eiv3_StclSetoff30Per-IHLA.Evi3_StclSetoff30Per-IHLA.Eii3_StclSetoff30Per-IHLA.Ev3_StclSetoff30Per,I412)</f>
        <v>0</v>
      </c>
      <c r="L412" s="1821">
        <f>MIN(IHLA.Ei4_StclSetoffAppRate-IHLA.Eiii4_StclSetoffAppRate-IHLA.Evi4_StclSetoffAppRate-IHLA.Ev4_StclSetoffAppRate-IHLA.Eii4_StclSetoffAppRate,IHLA.Ev_DTAArates-IHLA.Ev3_DTAArates)</f>
        <v>0</v>
      </c>
      <c r="M412" s="1205"/>
      <c r="N412" s="1205"/>
      <c r="O412" s="1205"/>
      <c r="P412" s="1205"/>
      <c r="Q412" s="1821">
        <f>MAX(0,(IHLA.Ev_DTAArates-IHLA.Ev2_DTAArates-IHLA.Ev3_DTAArates-IHLA.Ev4_DTAArates))</f>
        <v>0</v>
      </c>
      <c r="R412" s="585"/>
      <c r="S412" s="1207"/>
      <c r="T412" s="1181"/>
      <c r="U412" s="1812"/>
      <c r="V412" s="1812"/>
      <c r="W412" s="1793"/>
      <c r="X412" s="1793"/>
    </row>
    <row r="413" spans="2:24" s="121" customFormat="1" ht="22.5" customHeight="1" x14ac:dyDescent="0.2">
      <c r="B413" s="1797"/>
      <c r="C413" s="501"/>
      <c r="D413" s="3450"/>
      <c r="E413" s="690" t="s">
        <v>430</v>
      </c>
      <c r="F413" s="3455" t="s">
        <v>1041</v>
      </c>
      <c r="G413" s="3464"/>
      <c r="H413" s="695">
        <v>0.1</v>
      </c>
      <c r="I413" s="1821">
        <f>MAX(0,LTCG.B3e_CapgainonAssets+LTCG.Bii3e_CapgainonAssets+LTCG.5.LTCG_OnSaleCapitalAssets+LTCG.Bi5e_CapgainonAssets+LTCG.Bii5e_CapgainonAssets+LTCG.Biii5e_CapgainonAssets+LTCG.5.LTCG_AssetsB8Above+LTCG.B6c_BalonSpeciAsset+LTCG.B12_PassThroughIncome10+LTCG.B12_PassThroughIncome10_112A-LTCG_DTAA_B4ie-LTCG_DTAA_B4iie-LTCG_DTAA_B5c-LTCG_DTAA_B8c-LTCG_DTAA_B9c-LTCG_DTAA_B7ie-LTCG_DTAA_B7iie-LTCG_DTAA_B7iiie-LTCG_DTAA_B12a1-LTCG_DTAA_B12a2)</f>
        <v>0</v>
      </c>
      <c r="J413" s="1821">
        <f>MIN(IHLA.Ei2_StclSetoff15Per-IHLA.Eiii2_StclSetoff15Per-IHLA.Eiv2_StclSetoff15Per-IHLA.Evi2_StclSetoff15Per,IHLA.Ev1_CurrYearIncome-IHLA.Ev3_StclSetoff30Per-IHLA.Ev4_StclSetoffAppRate-IHLA.Ev6_LtclSetOff20Per)</f>
        <v>0</v>
      </c>
      <c r="K413" s="1821">
        <f>MIN(IHLA.Ei3_StclSetoff30Per-IHLA.Eiv3_StclSetoff30Per-IHLA.Evi3_StclSetoff30Per-IHLA.Eii3_StclSetoff30Per,IHLA.Ev1_CurrYearIncome)</f>
        <v>0</v>
      </c>
      <c r="L413" s="1821">
        <f>MIN(IHLA.Ei4_StclSetoffAppRate-IHLA.Eiii4_StclSetoffAppRate-IHLA.Evi4_StclSetoffAppRate-IHLA.Eii4_StclSetoffAppRate,IHLA.Ev1_CurrYearIncome-IHLA.Ev3_StclSetoff30Per)</f>
        <v>0</v>
      </c>
      <c r="M413" s="1821">
        <f>MIN(IHLA.Ei5_StclSetoffDTAARate-IHLA.Eii5_StclSetoffDTAARate-IHLA.Eiii5_StclSetoffDTAARate-IHLA.Eiv5_StclSetoffDTAARate-IHLA.Evi5_StclSetoffDTAARate,IHLA.Ev1_CurrYearIncome-IHLA.Ev2_StclSetoff15Per-IHLA.Ev3_StclSetoff30Per-IHLA.Ev4_StclSetoffAppRate-IHLA.Ev6_LtclSetOff20Per)</f>
        <v>0</v>
      </c>
      <c r="N413" s="1206"/>
      <c r="O413" s="1821">
        <f>MIN(IHLA.Ei6_LtclSetOff20Per,IHLA.Ev1_CurrYearIncome-IHLA.Ev3_StclSetoff30Per-IHLA.Ev4_StclSetoffAppRate)</f>
        <v>0</v>
      </c>
      <c r="P413" s="1821">
        <f>MIN(IHLA.Ei8_LtclSetOffDTAARate-IHLA.Evi8_LtclSetOffDTAARate,IHLA.Ev1_CurrYearIncome-IHLA.Ev2_StclSetoff15Per-IHLA.Ev3_StclSetoff30Per-IHLA.Ev4_StclSetoffAppRate-IHLA.Ev5_StclSetoffDTAARate-IHLA.Ev6_LtclSetOff20Per)</f>
        <v>0</v>
      </c>
      <c r="Q413" s="1821">
        <f>MAX(0,(IHLA.Ev1_CurrYearIncome-IHLA.Ev2_StclSetoff15Per-IHLA.Ev3_StclSetoff30Per-IHLA.Ev4_StclSetoffAppRate-IHLA.Ev6_LtclSetOff20Per-IHLA.Ev5_StclSetoffDTAARate-IHLA.Ev8_LtclSetOffDTAARate))</f>
        <v>0</v>
      </c>
      <c r="R413" s="585"/>
      <c r="S413" s="1207"/>
      <c r="T413" s="1181"/>
      <c r="U413" s="1812"/>
      <c r="V413" s="1812"/>
      <c r="W413" s="1793"/>
      <c r="X413" s="1793"/>
    </row>
    <row r="414" spans="2:24" s="121" customFormat="1" ht="33" customHeight="1" x14ac:dyDescent="0.2">
      <c r="B414" s="1797"/>
      <c r="C414" s="501"/>
      <c r="D414" s="3450"/>
      <c r="E414" s="690" t="s">
        <v>432</v>
      </c>
      <c r="F414" s="3456"/>
      <c r="G414" s="3465"/>
      <c r="H414" s="696">
        <v>0.2</v>
      </c>
      <c r="I414" s="1821">
        <f>MAX(0,LTCG.B1e_CapgainonAssets+LTCG.B02e_CapgainonAssets+LTCG.B2e_CapgainonAssets+LTCG.B4e_LTCGOnUnlistedSecurity+LTCG.B6f_BalOtherthanSpecAsset+LTCG.B7e_CapgainonAssets+LTCG.B9_AmtDeemed+LTCG.B12_PassThroughIncome20-LTCG_DTAA_B1e-LTCG_DTAA_B2e-LTCG_DTAA_B3e-LTCG_DTAA_B6c-LTCG_DTAA_B9f-LTCG_DTAA_B10e-LTCG_DTAA_B11-LTCG_DTAA_B12b)</f>
        <v>0</v>
      </c>
      <c r="J414" s="1821">
        <f>MIN(IHLA.Ei2_StclSetoff15Per-IHLA.Eiii2_StclSetoff15Per-IHLA.Eiv2_StclSetoff15Per,IHLA.Evi1_CurrYearIncome-IHLA.Evi4_StclSetoffAppRate-IHLA.Evi3_StclSetoff30Per)</f>
        <v>0</v>
      </c>
      <c r="K414" s="1821">
        <f>MIN(IHLA.Ei3_StclSetoff30Per-IHLA.Eiv3_StclSetoff30Per,IHLA.Evi1_CurrYearIncome)</f>
        <v>0</v>
      </c>
      <c r="L414" s="1821">
        <f>MIN(IHLA.Ei4_StclSetoffAppRate-IHLA.Eiii4_StclSetoffAppRate,IHLA.Evi1_CurrYearIncome-IHLA.Evi3_StclSetoff30Per)</f>
        <v>0</v>
      </c>
      <c r="M414" s="1821">
        <f>MIN(IHLA.Ei5_StclSetoffDTAARate-IHLA.Eiii5_StclSetoffDTAARate-IHLA.Eiv5_StclSetoffDTAARate,IHLA.Evi1_CurrYearIncome-IHLA.Evi2_StclSetoff15Per-IHLA.Evi3_StclSetoff30Per-IHLA.Evi4_StclSetoffAppRate-IHLA.Evi5_LtclSetOff10Per)</f>
        <v>0</v>
      </c>
      <c r="N414" s="1821">
        <f>MIN(IHLA.Ei5_LtclSetOff10Per,IHLA.Evi1_CurrYearIncome-IHLA.Evi4_StclSetoffAppRate-IHLA.Evi3_StclSetoff30Per-IHLA.Evi2_StclSetoff15Per)</f>
        <v>0</v>
      </c>
      <c r="O414" s="1205"/>
      <c r="P414" s="1821">
        <f>MIN(IHLA.Ei8_LtclSetOffDTAARate,IHLA.Evi1_CurrYearIncome-IHLA.Evi2_StclSetoff15Per-IHLA.Evi3_StclSetoff30Per-IHLA.Evi4_StclSetoffAppRate-IHLA.Evi5_StclSetoffDTAARate-IHLA.Evi5_LtclSetOff10Per)</f>
        <v>0</v>
      </c>
      <c r="Q414" s="1821">
        <f>MAX(0,(IHLA.Evi1_CurrYearIncome-IHLA.Evi2_StclSetoff15Per-IHLA.Evi3_StclSetoff30Per-IHLA.Evi4_StclSetoffAppRate-IHLA.Evi5_LtclSetOff10Per-IHLA.Evi5_StclSetoffDTAARate-IHLA.Evi8_LtclSetOffDTAARate))</f>
        <v>0</v>
      </c>
      <c r="R414" s="585"/>
      <c r="S414" s="1207"/>
      <c r="T414" s="1181"/>
      <c r="U414" s="1812"/>
      <c r="V414" s="1812"/>
      <c r="W414" s="1793"/>
      <c r="X414" s="1793"/>
    </row>
    <row r="415" spans="2:24" s="121" customFormat="1" ht="33" customHeight="1" x14ac:dyDescent="0.2">
      <c r="B415" s="1797"/>
      <c r="C415" s="501"/>
      <c r="D415" s="3450"/>
      <c r="E415" s="690" t="s">
        <v>434</v>
      </c>
      <c r="F415" s="3458"/>
      <c r="G415" s="3466"/>
      <c r="H415" s="696" t="s">
        <v>9008</v>
      </c>
      <c r="I415" s="1822">
        <f>MAX(0,LTCG.B10b_ltcgDTAA)</f>
        <v>0</v>
      </c>
      <c r="J415" s="1821">
        <f>MIN(IHLA.Ei2_StclSetoff15Per-IHLA.Eiii2_StclSetoff15Per-IHLA.Eiv2_StclSetoff15Per-IHLA.Evi2_StclSetoff15Per-IHLA.Ev2_StclSetoff15Per-IHLA.Ev2_DTAArates,IHLA.E_LTCGv_DTAArates-IHLA.E_LTCGv30_DTAArates-IHLA.E_LTCGvapplicable_DTAArates-IHLA.E_LTCGv6_DTAArates)</f>
        <v>0</v>
      </c>
      <c r="K415" s="1821">
        <f>MIN(IHLA.Ei3_StclSetoff30Per-IHLA.Eiv3_StclSetoff30Per-IHLA.Evi3_StclSetoff30Per-IHLA.Eii3_StclSetoff30Per-IHLA.Ev3_StclSetoff30Per-IHLA.Ev3_DTAArates,IHLA.E_LTCGv_DTAArates)</f>
        <v>0</v>
      </c>
      <c r="L415" s="1821">
        <f>MIN(IHLA.Ei4_StclSetoffAppRate-IHLA.Eiii4_StclSetoffAppRate-IHLA.Evi4_StclSetoffAppRate-IHLA.Eii4_StclSetoffAppRate-IHLA.Ev4_StclSetoffAppRate-IHLA.Ev4_DTAArates,IHLA.E_LTCGv_DTAArates-IHLA.E_LTCGv30_DTAArates)</f>
        <v>0</v>
      </c>
      <c r="M415" s="1821">
        <f>MIN(IHLA.Ei5_StclSetoffDTAARate-IHLA.Eii5_StclSetoffDTAARate-IHLA.Eiii5_StclSetoffDTAARate-IHLA.Eiv5_StclSetoffDTAARate-IHLA.Ev5_StclSetoffDTAARate-IHLA.Evi5_StclSetoffDTAARate,IHLA.E_LTCGv_DTAArates-IHLA.E_LTCGv15_DTAArates-IHLA.E_LTCGv30_DTAArates-IHLA.E_LTCGvapplicable_DTAArates-IHLA.E_LTCGv5_DTAArates-IHLA.E_LTCGv6_DTAArates)</f>
        <v>0</v>
      </c>
      <c r="N415" s="1821">
        <f>MIN(IHLA.Ei5_LtclSetOff10Per-IHLA.Evi5_LtclSetOff10Per,IHLA.E_LTCGv_DTAArates-IHLA.E_LTCGv30_DTAArates-IHLA.E_LTCGvapplicable_DTAArates-IHLA.E_LTCGv6_DTAArates-IHLA.E_LTCGv15_DTAArates)</f>
        <v>0</v>
      </c>
      <c r="O415" s="1821">
        <f>MIN(IHLA.Ei6_LtclSetOff20Per-IHLA.Ev6_LtclSetOff20Per,IHLA.E_LTCGv_DTAArates-IHLA.E_LTCGv30_DTAArates-IHLA.E_LTCGvapplicable_DTAArates)</f>
        <v>0</v>
      </c>
      <c r="P415" s="1205"/>
      <c r="Q415" s="1821">
        <f>MAX(0,(IHLA.E_LTCGv_DTAArates-IHLA.E_LTCGv15_DTAArates-IHLA.E_LTCGv30_DTAArates-IHLA.E_LTCGvapplicable_DTAArates-IHLA.E_LTCGv5_DTAArates-IHLA.E_LTCGv6_DTAArates-IHLA.E_LTCGv_5_DTAArates))</f>
        <v>0</v>
      </c>
      <c r="R415" s="585"/>
      <c r="S415" s="1207"/>
      <c r="T415" s="1181"/>
      <c r="U415" s="1812"/>
      <c r="V415" s="1812"/>
      <c r="W415" s="1793"/>
      <c r="X415" s="1793"/>
    </row>
    <row r="416" spans="2:24" s="121" customFormat="1" ht="23.25" customHeight="1" x14ac:dyDescent="0.2">
      <c r="B416" s="1797"/>
      <c r="C416" s="501"/>
      <c r="D416" s="3450"/>
      <c r="E416" s="690" t="s">
        <v>435</v>
      </c>
      <c r="F416" s="3452" t="s">
        <v>9010</v>
      </c>
      <c r="G416" s="3453"/>
      <c r="H416" s="3453"/>
      <c r="I416" s="3460"/>
      <c r="J416" s="1821">
        <f>SUM(J410:J415)</f>
        <v>0</v>
      </c>
      <c r="K416" s="1821">
        <f>SUM(K409,K411:K415)</f>
        <v>0</v>
      </c>
      <c r="L416" s="1821">
        <f>SUM(L409:L410,L412:L415)</f>
        <v>0</v>
      </c>
      <c r="M416" s="1821">
        <f>SUM(M409:M411,M413:M415)</f>
        <v>0</v>
      </c>
      <c r="N416" s="1821">
        <f>SUM(IHLA.Evi5_LtclSetOff10Per,IHLA.E_LTCGv5_DTAArates)</f>
        <v>0</v>
      </c>
      <c r="O416" s="1821">
        <f>IHLA.Ev6_LtclSetOff20Per+IHLA.E_LTCGv6_DTAArates</f>
        <v>0</v>
      </c>
      <c r="P416" s="1821">
        <f>IHLA.Ev8_LtclSetOffDTAARate+IHLA.Evi8_LtclSetOffDTAARate</f>
        <v>0</v>
      </c>
      <c r="Q416" s="1208"/>
      <c r="R416" s="585"/>
      <c r="S416" s="1207"/>
      <c r="T416" s="1181"/>
      <c r="U416" s="1812"/>
      <c r="V416" s="1812"/>
      <c r="W416" s="1793"/>
      <c r="X416" s="1793"/>
    </row>
    <row r="417" spans="1:36" s="121" customFormat="1" ht="12.75" x14ac:dyDescent="0.2">
      <c r="B417" s="1797"/>
      <c r="C417" s="501"/>
      <c r="D417" s="3451"/>
      <c r="E417" s="697" t="s">
        <v>437</v>
      </c>
      <c r="F417" s="3461" t="s">
        <v>1042</v>
      </c>
      <c r="G417" s="3462"/>
      <c r="H417" s="3462"/>
      <c r="I417" s="3463"/>
      <c r="J417" s="1821">
        <f>MAX(0,(IHLA.Ei2_StclSetoff15Per-IHLA.Evii2_StclSetoff15Per))</f>
        <v>0</v>
      </c>
      <c r="K417" s="1821">
        <f>MAX(0,(IHLA.Ei3_StclSetoff30Per-IHLA.Evii3_StclSetoff30Per))</f>
        <v>0</v>
      </c>
      <c r="L417" s="1821">
        <f>MAX(0,(IHLA.Ei4_StclSetoffAppRate-IHLA.Evii4_StclSetoffAppRate))</f>
        <v>0</v>
      </c>
      <c r="M417" s="1821">
        <f>MAX(0,(IHLA.Ei5_StclSetoffDTAARate-IHLA.Evii5_StclSetoffDTAARate))</f>
        <v>0</v>
      </c>
      <c r="N417" s="1821">
        <f>MAX(0,(IHLA.Ei5_LtclSetOff10Per-IHLA.Evii5_LtclSetOff10Per))</f>
        <v>0</v>
      </c>
      <c r="O417" s="1821">
        <f>MAX(0,(IHLA.Ei6_LtclSetOff20Per-IHLA.Evii6_LtclSetOff20Per))</f>
        <v>0</v>
      </c>
      <c r="P417" s="1821">
        <f>MAX(0,(IHLA.Ei8_LtclSetOffDTAARate-IHLA.Evii8_LtclSetOffDTAARate))</f>
        <v>0</v>
      </c>
      <c r="Q417" s="1209"/>
      <c r="R417" s="1569"/>
      <c r="S417" s="1204"/>
      <c r="T417" s="1181"/>
      <c r="U417" s="1812"/>
      <c r="V417" s="1812"/>
      <c r="W417" s="1793"/>
      <c r="X417" s="1793"/>
    </row>
    <row r="418" spans="1:36" s="121" customFormat="1" ht="12.75" customHeight="1" x14ac:dyDescent="0.2">
      <c r="B418" s="1797"/>
      <c r="C418" s="501"/>
      <c r="D418" s="1759" t="s">
        <v>1043</v>
      </c>
      <c r="E418" s="2084" t="s">
        <v>1044</v>
      </c>
      <c r="F418" s="2085"/>
      <c r="G418" s="2085"/>
      <c r="H418" s="2085"/>
      <c r="I418" s="2085"/>
      <c r="J418" s="2085"/>
      <c r="K418" s="2085"/>
      <c r="L418" s="2085"/>
      <c r="M418" s="2085"/>
      <c r="N418" s="698"/>
      <c r="O418" s="2085"/>
      <c r="P418" s="698"/>
      <c r="Q418" s="698"/>
      <c r="R418" s="698"/>
      <c r="S418" s="1211"/>
      <c r="T418" s="1798"/>
      <c r="U418" s="1793"/>
      <c r="V418" s="1793"/>
      <c r="W418" s="1793"/>
      <c r="AE418" s="121" t="s">
        <v>1711</v>
      </c>
      <c r="AG418" s="121" t="s">
        <v>1712</v>
      </c>
    </row>
    <row r="419" spans="1:36" s="121" customFormat="1" ht="30.75" customHeight="1" x14ac:dyDescent="0.2">
      <c r="B419" s="1797"/>
      <c r="C419" s="501"/>
      <c r="D419" s="3440"/>
      <c r="E419" s="2043"/>
      <c r="F419" s="3445" t="s">
        <v>1045</v>
      </c>
      <c r="G419" s="3446"/>
      <c r="H419" s="3446"/>
      <c r="I419" s="3446"/>
      <c r="J419" s="3446"/>
      <c r="K419" s="3444"/>
      <c r="L419" s="1297" t="s">
        <v>7662</v>
      </c>
      <c r="M419" s="3443" t="s">
        <v>7663</v>
      </c>
      <c r="N419" s="3444"/>
      <c r="O419" s="3443" t="s">
        <v>7664</v>
      </c>
      <c r="P419" s="3506"/>
      <c r="Q419" s="3503" t="s">
        <v>7665</v>
      </c>
      <c r="R419" s="3444"/>
      <c r="S419" s="699" t="s">
        <v>7666</v>
      </c>
      <c r="T419" s="1798"/>
      <c r="U419" s="1793"/>
      <c r="V419" s="1793"/>
      <c r="W419" s="1793"/>
      <c r="AE419" s="121">
        <f>Deduction.54EE.Total</f>
        <v>0</v>
      </c>
      <c r="AF419" s="121" t="s">
        <v>7658</v>
      </c>
      <c r="AG419" s="740" t="e">
        <f>(D_54EE_Temp+LTCG.B02.54EE_ExemptionAmount+LTCG.B2.54EE_ExemptionAmount+LTCG.B3.54EE_ExemptionAmount+LTCG.Bii3.54EE_ExemptionAmount+LTCG.5.DeductionUnder54EE+LTCG.B4biii_ExemptionAmount+LTCG.Bi5dii_ExemptionAmount54EE+LTCG.Bii5dii_ExemptionAmount54EE+LTCG.Biii5dii_ExemptionAmount54EE+LTCG.8.DeductionUnder54EE+LTCG.B7.54EE_ExemptionAmount)</f>
        <v>#NAME?</v>
      </c>
      <c r="AH419" s="740">
        <v>0</v>
      </c>
    </row>
    <row r="420" spans="1:36" s="121" customFormat="1" ht="26.25" customHeight="1" x14ac:dyDescent="0.2">
      <c r="B420" s="1797"/>
      <c r="C420" s="501"/>
      <c r="D420" s="3440"/>
      <c r="E420" s="2042">
        <v>1</v>
      </c>
      <c r="F420" s="3171" t="s">
        <v>7257</v>
      </c>
      <c r="G420" s="3166"/>
      <c r="H420" s="3166"/>
      <c r="I420" s="3166"/>
      <c r="J420" s="3166"/>
      <c r="K420" s="3166"/>
      <c r="L420" s="2034">
        <v>0</v>
      </c>
      <c r="M420" s="3103">
        <v>0</v>
      </c>
      <c r="N420" s="3103"/>
      <c r="O420" s="3103">
        <v>0</v>
      </c>
      <c r="P420" s="3103"/>
      <c r="Q420" s="3103">
        <v>0</v>
      </c>
      <c r="R420" s="3103"/>
      <c r="S420" s="2034">
        <v>0</v>
      </c>
      <c r="T420" s="1798"/>
      <c r="U420" s="1793"/>
      <c r="V420" s="1793"/>
      <c r="W420" s="1793"/>
      <c r="AA420" s="1676"/>
      <c r="AB420" s="1823"/>
      <c r="AC420" s="1823"/>
      <c r="AE420" s="121">
        <f>Deduction.54B.Total</f>
        <v>0</v>
      </c>
      <c r="AF420" s="121" t="s">
        <v>1703</v>
      </c>
      <c r="AG420" s="740">
        <f>D_54B_Temp+D_54B_Temp1</f>
        <v>0</v>
      </c>
      <c r="AH420" s="740">
        <v>0</v>
      </c>
      <c r="AI420" s="740">
        <v>0</v>
      </c>
    </row>
    <row r="421" spans="1:36" s="121" customFormat="1" ht="25.5" customHeight="1" x14ac:dyDescent="0.2">
      <c r="B421" s="1797"/>
      <c r="C421" s="501"/>
      <c r="D421" s="3440"/>
      <c r="E421" s="2042">
        <v>2</v>
      </c>
      <c r="F421" s="3171" t="s">
        <v>7256</v>
      </c>
      <c r="G421" s="3166"/>
      <c r="H421" s="3166"/>
      <c r="I421" s="3166"/>
      <c r="J421" s="3166"/>
      <c r="K421" s="3166"/>
      <c r="L421" s="2034">
        <v>0</v>
      </c>
      <c r="M421" s="3103">
        <v>0</v>
      </c>
      <c r="N421" s="3103"/>
      <c r="O421" s="3103">
        <v>0</v>
      </c>
      <c r="P421" s="3103"/>
      <c r="Q421" s="3103">
        <v>0</v>
      </c>
      <c r="R421" s="3103"/>
      <c r="S421" s="2034">
        <v>0</v>
      </c>
      <c r="T421" s="1798"/>
      <c r="U421" s="1793"/>
      <c r="V421" s="1793"/>
      <c r="W421" s="1793"/>
      <c r="AB421" s="1823"/>
      <c r="AE421" s="121">
        <f>Deduction.54.Total</f>
        <v>0</v>
      </c>
      <c r="AF421" s="1676">
        <v>54</v>
      </c>
      <c r="AG421" s="740">
        <f>D_54_Temp</f>
        <v>0</v>
      </c>
      <c r="AH421" s="740">
        <v>0</v>
      </c>
    </row>
    <row r="422" spans="1:36" s="121" customFormat="1" ht="26.25" customHeight="1" x14ac:dyDescent="0.2">
      <c r="B422" s="1797"/>
      <c r="C422" s="501"/>
      <c r="D422" s="3440"/>
      <c r="E422" s="2042">
        <v>3</v>
      </c>
      <c r="F422" s="3171" t="s">
        <v>7255</v>
      </c>
      <c r="G422" s="3166"/>
      <c r="H422" s="3166"/>
      <c r="I422" s="3166"/>
      <c r="J422" s="3166"/>
      <c r="K422" s="3166"/>
      <c r="L422" s="2034">
        <v>0</v>
      </c>
      <c r="M422" s="3103">
        <v>0</v>
      </c>
      <c r="N422" s="3103"/>
      <c r="O422" s="3103">
        <v>0</v>
      </c>
      <c r="P422" s="3103"/>
      <c r="Q422" s="3103">
        <v>0</v>
      </c>
      <c r="R422" s="3103"/>
      <c r="S422" s="2034">
        <v>0</v>
      </c>
      <c r="T422" s="1798"/>
      <c r="U422" s="1793"/>
      <c r="V422" s="1793"/>
      <c r="W422" s="1793"/>
      <c r="AB422" s="1823"/>
      <c r="AC422" s="1823"/>
      <c r="AE422" s="121">
        <f>Deduction.54EC.Total</f>
        <v>0</v>
      </c>
      <c r="AF422" s="121" t="s">
        <v>1705</v>
      </c>
      <c r="AG422" s="740">
        <f>D_54EC_Temp+LTCG.B02di_ExemptionAmount</f>
        <v>0</v>
      </c>
      <c r="AH422" s="740">
        <v>0</v>
      </c>
    </row>
    <row r="423" spans="1:36" s="121" customFormat="1" ht="26.25" customHeight="1" x14ac:dyDescent="0.2">
      <c r="B423" s="1797"/>
      <c r="C423" s="501"/>
      <c r="D423" s="3440"/>
      <c r="E423" s="2042">
        <v>4</v>
      </c>
      <c r="F423" s="3171" t="s">
        <v>9749</v>
      </c>
      <c r="G423" s="3166"/>
      <c r="H423" s="3166"/>
      <c r="I423" s="3166"/>
      <c r="J423" s="3166"/>
      <c r="K423" s="3167"/>
      <c r="L423" s="2034">
        <v>0</v>
      </c>
      <c r="M423" s="3104">
        <v>0</v>
      </c>
      <c r="N423" s="3442"/>
      <c r="O423" s="3104">
        <v>0</v>
      </c>
      <c r="P423" s="3442"/>
      <c r="Q423" s="3104">
        <v>0</v>
      </c>
      <c r="R423" s="3442"/>
      <c r="S423" s="2034">
        <v>0</v>
      </c>
      <c r="T423" s="1798"/>
      <c r="U423" s="1793"/>
      <c r="V423" s="1793"/>
      <c r="W423" s="1793"/>
      <c r="AB423" s="1823"/>
      <c r="AC423" s="1823"/>
      <c r="AG423" s="740"/>
      <c r="AH423" s="740"/>
    </row>
    <row r="424" spans="1:36" s="121" customFormat="1" ht="25.5" customHeight="1" x14ac:dyDescent="0.2">
      <c r="B424" s="1797"/>
      <c r="C424" s="501"/>
      <c r="D424" s="3440"/>
      <c r="E424" s="1466">
        <v>5</v>
      </c>
      <c r="F424" s="3171" t="s">
        <v>9750</v>
      </c>
      <c r="G424" s="3166"/>
      <c r="H424" s="3166"/>
      <c r="I424" s="3166"/>
      <c r="J424" s="3166"/>
      <c r="K424" s="3166"/>
      <c r="L424" s="2034">
        <v>0</v>
      </c>
      <c r="M424" s="3103">
        <v>0</v>
      </c>
      <c r="N424" s="3103"/>
      <c r="O424" s="3103">
        <v>0</v>
      </c>
      <c r="P424" s="3103"/>
      <c r="Q424" s="3103">
        <v>0</v>
      </c>
      <c r="R424" s="3103"/>
      <c r="S424" s="2034">
        <v>0</v>
      </c>
      <c r="T424" s="1798"/>
      <c r="U424" s="1793"/>
      <c r="V424" s="1793"/>
      <c r="W424" s="1793"/>
      <c r="AB424" s="1823"/>
      <c r="AE424" s="121">
        <f>Deduction.54F.Total</f>
        <v>0</v>
      </c>
      <c r="AF424" s="121" t="s">
        <v>1706</v>
      </c>
      <c r="AG424" s="740">
        <f>D_54F_Temp+LTCG.B2dii_ExemptionAmount+LTCG.B3dii_ExemptionAmount+LTCG.Bii3dii_ExemptionAmount+LTCG.B4bii_ExemptionAmount+LTCG.Bi5dii_ExemptionAmount+LTCG.Bii5dii_ExemptionAmount+LTCG.Biii5dii_ExemptionAmount+LTCG.B7dii_ExemptionAmount+LTCG.B02dii_ExemptionAmount+LTCG.8.DeductionUnder54F+LTCG.5.DeductionUnder54F</f>
        <v>0</v>
      </c>
      <c r="AH424" s="740">
        <v>0</v>
      </c>
    </row>
    <row r="425" spans="1:36" s="121" customFormat="1" ht="24" customHeight="1" x14ac:dyDescent="0.2">
      <c r="B425" s="1797"/>
      <c r="C425" s="1761"/>
      <c r="D425" s="3441"/>
      <c r="E425" s="1347">
        <v>6</v>
      </c>
      <c r="F425" s="3171" t="s">
        <v>9751</v>
      </c>
      <c r="G425" s="3166"/>
      <c r="H425" s="3166"/>
      <c r="I425" s="3166"/>
      <c r="J425" s="3166"/>
      <c r="K425" s="3166"/>
      <c r="L425" s="2034">
        <v>0</v>
      </c>
      <c r="M425" s="3103">
        <v>0</v>
      </c>
      <c r="N425" s="3103"/>
      <c r="O425" s="3103">
        <v>0</v>
      </c>
      <c r="P425" s="3103"/>
      <c r="Q425" s="3103">
        <v>0</v>
      </c>
      <c r="R425" s="3103"/>
      <c r="S425" s="2034">
        <v>0</v>
      </c>
      <c r="T425" s="1798"/>
      <c r="U425" s="1793"/>
      <c r="V425" s="1793"/>
      <c r="W425" s="1793"/>
      <c r="AB425" s="1823"/>
      <c r="AC425" s="1823"/>
      <c r="AE425" s="121">
        <f>SUMIF(DEDN.DeductedSecCode,"54GB",DEDN.AmtDeducted)</f>
        <v>0</v>
      </c>
      <c r="AF425" s="121" t="s">
        <v>1709</v>
      </c>
      <c r="AG425" s="740">
        <f>D_54GB_Temp</f>
        <v>0</v>
      </c>
      <c r="AH425" s="740">
        <v>0</v>
      </c>
    </row>
    <row r="426" spans="1:36" s="121" customFormat="1" ht="27" customHeight="1" x14ac:dyDescent="0.2">
      <c r="B426" s="1797"/>
      <c r="C426" s="1761"/>
      <c r="D426" s="1220"/>
      <c r="E426" s="2042">
        <v>7</v>
      </c>
      <c r="F426" s="3171" t="s">
        <v>9752</v>
      </c>
      <c r="G426" s="3166"/>
      <c r="H426" s="3166"/>
      <c r="I426" s="3166"/>
      <c r="J426" s="3166"/>
      <c r="K426" s="3167"/>
      <c r="L426" s="2034">
        <v>0</v>
      </c>
      <c r="M426" s="3104">
        <v>0</v>
      </c>
      <c r="N426" s="3442"/>
      <c r="O426" s="3104">
        <v>0</v>
      </c>
      <c r="P426" s="3442"/>
      <c r="Q426" s="3104">
        <v>0</v>
      </c>
      <c r="R426" s="3442"/>
      <c r="S426" s="2034">
        <v>0</v>
      </c>
      <c r="T426" s="1798"/>
      <c r="U426" s="1793"/>
      <c r="V426" s="1793"/>
      <c r="W426" s="1793"/>
      <c r="AB426" s="1823"/>
      <c r="AC426" s="1823"/>
      <c r="AG426" s="740"/>
      <c r="AH426" s="740"/>
    </row>
    <row r="427" spans="1:36" s="121" customFormat="1" ht="16.5" customHeight="1" x14ac:dyDescent="0.25">
      <c r="B427" s="1797"/>
      <c r="C427" s="3437" t="s">
        <v>8226</v>
      </c>
      <c r="D427" s="3438"/>
      <c r="E427" s="3439"/>
      <c r="F427" s="700" t="s">
        <v>819</v>
      </c>
      <c r="G427" s="2085"/>
      <c r="H427" s="2085"/>
      <c r="I427" s="2085"/>
      <c r="J427" s="2085"/>
      <c r="K427" s="2085"/>
      <c r="L427" s="2085"/>
      <c r="M427" s="2085"/>
      <c r="N427" s="2085"/>
      <c r="O427" s="2085"/>
      <c r="P427" s="2085"/>
      <c r="Q427" s="2085"/>
      <c r="R427" s="2085"/>
      <c r="S427" s="2086"/>
      <c r="T427" s="1798"/>
      <c r="U427" s="1793"/>
      <c r="V427" s="1793"/>
      <c r="W427" s="1793"/>
      <c r="AB427" s="1823"/>
      <c r="AC427" s="1823"/>
      <c r="AE427" s="121">
        <f>Deduction.54h.Total</f>
        <v>0</v>
      </c>
      <c r="AF427" s="121" t="s">
        <v>1710</v>
      </c>
      <c r="AG427" s="740">
        <f>LTCG.B6b_DednSpecAssetus115+LTCG.B6e_DednOtherSpecAssetus115</f>
        <v>0</v>
      </c>
      <c r="AH427" s="740"/>
    </row>
    <row r="428" spans="1:36" s="121" customFormat="1" ht="13.5" thickBot="1" x14ac:dyDescent="0.25">
      <c r="B428" s="1824"/>
      <c r="C428" s="1825"/>
      <c r="D428" s="1825"/>
      <c r="E428" s="1825"/>
      <c r="F428" s="1825"/>
      <c r="G428" s="1825"/>
      <c r="H428" s="1825"/>
      <c r="I428" s="1825"/>
      <c r="J428" s="1825"/>
      <c r="K428" s="1825"/>
      <c r="L428" s="1825"/>
      <c r="M428" s="1825"/>
      <c r="N428" s="1825"/>
      <c r="O428" s="1825"/>
      <c r="P428" s="1825"/>
      <c r="Q428" s="1825"/>
      <c r="R428" s="1825"/>
      <c r="S428" s="1825"/>
      <c r="T428" s="1826"/>
      <c r="U428" s="1793"/>
      <c r="V428" s="1793"/>
      <c r="W428" s="1793"/>
      <c r="AB428" s="1823"/>
      <c r="AC428" s="1823"/>
      <c r="AE428" s="121">
        <f>Deduction.54GA.Total</f>
        <v>0</v>
      </c>
      <c r="AF428" s="121" t="s">
        <v>1708</v>
      </c>
      <c r="AG428" s="740">
        <f>D_54GA_Temp+D_54GA_Temp1+STCG.A5eiii_ExemptionAmount+LTCG.B7div_ExemptionAmount</f>
        <v>0</v>
      </c>
      <c r="AH428" s="740">
        <v>0</v>
      </c>
      <c r="AI428" s="740">
        <v>0</v>
      </c>
    </row>
    <row r="429" spans="1:36" s="121" customFormat="1" ht="12.75" x14ac:dyDescent="0.2">
      <c r="T429" s="1793"/>
      <c r="U429" s="1793"/>
      <c r="V429" s="1793"/>
      <c r="W429" s="1793"/>
      <c r="AB429" s="1823"/>
      <c r="AC429" s="1823"/>
      <c r="AE429" s="121">
        <f>Deduction.54G.Total</f>
        <v>0</v>
      </c>
      <c r="AF429" s="121" t="s">
        <v>1707</v>
      </c>
      <c r="AG429" s="740">
        <f>D_54G_Temp+D_54G_Temp1+STCG.A5eii_ExemptionAmount+LTCG.B7diii_ExemptionAmount</f>
        <v>0</v>
      </c>
      <c r="AH429" s="740">
        <v>0</v>
      </c>
      <c r="AI429" s="740">
        <v>0</v>
      </c>
    </row>
    <row r="430" spans="1:36" s="1919" customFormat="1" ht="15" hidden="1" x14ac:dyDescent="0.25">
      <c r="A430" s="1769"/>
      <c r="B430" s="1769"/>
      <c r="C430" s="1769"/>
      <c r="D430" s="1769"/>
      <c r="E430" s="1769"/>
      <c r="F430" s="1769"/>
      <c r="G430" s="1769"/>
      <c r="H430" s="1769"/>
      <c r="I430" s="1769"/>
      <c r="J430" s="1769"/>
      <c r="K430" s="1769"/>
      <c r="L430" s="1769"/>
      <c r="M430" s="1769"/>
      <c r="N430" s="1769"/>
      <c r="O430" s="1769"/>
      <c r="P430" s="1769"/>
      <c r="Q430" s="1769"/>
      <c r="R430" s="1769"/>
      <c r="S430" s="1769"/>
      <c r="T430" s="1769"/>
      <c r="U430" s="1769"/>
      <c r="V430" s="1769"/>
      <c r="W430" s="1769"/>
      <c r="X430" s="1769"/>
      <c r="Y430" s="1769"/>
      <c r="Z430" s="1769"/>
      <c r="AA430" s="1769"/>
      <c r="AB430" s="1769"/>
      <c r="AC430" s="1769"/>
      <c r="AD430" s="1769"/>
      <c r="AE430" s="1769"/>
      <c r="AF430" s="1769"/>
      <c r="AG430" s="1769"/>
      <c r="AH430" s="1769">
        <v>0</v>
      </c>
      <c r="AI430" s="1769">
        <v>0</v>
      </c>
      <c r="AJ430" s="1769"/>
    </row>
    <row r="431" spans="1:36" s="1919" customFormat="1" ht="15" hidden="1" x14ac:dyDescent="0.25">
      <c r="A431" s="1769"/>
      <c r="B431" s="1769"/>
      <c r="C431" s="1769"/>
      <c r="D431" s="1769"/>
      <c r="E431" s="1769"/>
      <c r="F431" s="1769"/>
      <c r="G431" s="1769"/>
      <c r="H431" s="1769"/>
      <c r="I431" s="1769"/>
      <c r="J431" s="1769"/>
      <c r="K431" s="1769"/>
      <c r="L431" s="1769"/>
      <c r="M431" s="1769"/>
      <c r="N431" s="1769"/>
      <c r="O431" s="1769"/>
      <c r="P431" s="1769"/>
      <c r="Q431" s="1769"/>
      <c r="R431" s="1769"/>
      <c r="S431" s="1769"/>
      <c r="T431" s="1769"/>
      <c r="U431" s="1769"/>
      <c r="V431" s="1769"/>
      <c r="W431" s="1769"/>
      <c r="X431" s="1769"/>
      <c r="Y431" s="1769"/>
      <c r="Z431" s="1769"/>
      <c r="AA431" s="1769"/>
      <c r="AB431" s="1769"/>
      <c r="AC431" s="1769"/>
      <c r="AD431" s="1769"/>
      <c r="AE431" s="1769"/>
      <c r="AF431" s="1769"/>
      <c r="AG431" s="1769"/>
      <c r="AH431" s="1769"/>
      <c r="AI431" s="1769"/>
      <c r="AJ431" s="1769"/>
    </row>
    <row r="432" spans="1:36" s="1919" customFormat="1" ht="15" hidden="1" x14ac:dyDescent="0.25">
      <c r="A432" s="1769"/>
      <c r="B432" s="1769"/>
      <c r="C432" s="1769"/>
      <c r="D432" s="1769"/>
      <c r="E432" s="1769"/>
      <c r="F432" s="1769"/>
      <c r="G432" s="1769"/>
      <c r="H432" s="1769"/>
      <c r="I432" s="1769"/>
      <c r="J432" s="1769"/>
      <c r="K432" s="1769"/>
      <c r="L432" s="1769"/>
      <c r="M432" s="1769"/>
      <c r="N432" s="1769"/>
      <c r="O432" s="1769"/>
      <c r="P432" s="1769"/>
      <c r="Q432" s="1769"/>
      <c r="R432" s="1769"/>
      <c r="S432" s="1769"/>
      <c r="T432" s="1769"/>
      <c r="U432" s="1769"/>
      <c r="V432" s="1769"/>
      <c r="W432" s="1769"/>
      <c r="X432" s="1769"/>
      <c r="Y432" s="1769"/>
      <c r="Z432" s="1769"/>
      <c r="AA432" s="1769"/>
      <c r="AB432" s="1769"/>
      <c r="AC432" s="1769"/>
      <c r="AD432" s="1769"/>
      <c r="AE432" s="1769"/>
      <c r="AF432" s="1769"/>
      <c r="AG432" s="1769"/>
      <c r="AH432" s="1769"/>
      <c r="AI432" s="1769"/>
      <c r="AJ432" s="1769"/>
    </row>
    <row r="433" spans="1:36" s="1919" customFormat="1" ht="15" hidden="1" x14ac:dyDescent="0.25">
      <c r="A433" s="1769"/>
      <c r="B433" s="1769"/>
      <c r="C433" s="1769"/>
      <c r="D433" s="1769"/>
      <c r="E433" s="1769"/>
      <c r="F433" s="1769"/>
      <c r="G433" s="1769"/>
      <c r="H433" s="1769"/>
      <c r="I433" s="1769"/>
      <c r="J433" s="1769"/>
      <c r="K433" s="1769"/>
      <c r="L433" s="1769"/>
      <c r="M433" s="1769"/>
      <c r="N433" s="1769"/>
      <c r="O433" s="1769"/>
      <c r="P433" s="1769"/>
      <c r="Q433" s="1769"/>
      <c r="R433" s="1769"/>
      <c r="S433" s="1769"/>
      <c r="T433" s="1769"/>
      <c r="U433" s="1769"/>
      <c r="V433" s="1769"/>
      <c r="W433" s="1769"/>
      <c r="X433" s="1769"/>
      <c r="Y433" s="1769"/>
      <c r="Z433" s="1769"/>
      <c r="AA433" s="1769"/>
      <c r="AB433" s="1769"/>
      <c r="AC433" s="1769"/>
      <c r="AD433" s="1769"/>
      <c r="AE433" s="1769"/>
      <c r="AF433" s="1769"/>
      <c r="AG433" s="1769"/>
      <c r="AH433" s="1769"/>
      <c r="AI433" s="1769"/>
      <c r="AJ433" s="1769"/>
    </row>
    <row r="434" spans="1:36" s="1919" customFormat="1" ht="15" hidden="1" x14ac:dyDescent="0.25">
      <c r="A434" s="1769"/>
      <c r="B434" s="1769"/>
      <c r="C434" s="1769"/>
      <c r="D434" s="1769"/>
      <c r="E434" s="1769"/>
      <c r="F434" s="1769"/>
      <c r="G434" s="1769"/>
      <c r="H434" s="1769"/>
      <c r="I434" s="1769"/>
      <c r="J434" s="1769"/>
      <c r="K434" s="1769"/>
      <c r="L434" s="1769"/>
      <c r="M434" s="1769"/>
      <c r="N434" s="1769"/>
      <c r="O434" s="1769"/>
      <c r="P434" s="1769"/>
      <c r="Q434" s="1769"/>
      <c r="R434" s="1769"/>
      <c r="S434" s="1769"/>
      <c r="T434" s="1769"/>
      <c r="U434" s="1769"/>
      <c r="V434" s="1769"/>
      <c r="W434" s="1769"/>
      <c r="X434" s="1769"/>
      <c r="Y434" s="1769"/>
      <c r="Z434" s="1769"/>
      <c r="AA434" s="1769"/>
      <c r="AB434" s="1769"/>
      <c r="AC434" s="1769"/>
      <c r="AD434" s="1769"/>
      <c r="AE434" s="1769"/>
      <c r="AF434" s="1769"/>
      <c r="AG434" s="1769"/>
      <c r="AH434" s="1769"/>
      <c r="AI434" s="1769"/>
      <c r="AJ434" s="1769"/>
    </row>
    <row r="435" spans="1:36" s="1919" customFormat="1" ht="15" hidden="1" x14ac:dyDescent="0.25">
      <c r="A435" s="1769"/>
      <c r="B435" s="1769"/>
      <c r="C435" s="1769"/>
      <c r="D435" s="1769"/>
      <c r="E435" s="1769"/>
      <c r="F435" s="1769"/>
      <c r="G435" s="1769"/>
      <c r="H435" s="1769"/>
      <c r="I435" s="1769"/>
      <c r="J435" s="1769"/>
      <c r="K435" s="1769"/>
      <c r="L435" s="1769"/>
      <c r="M435" s="1769"/>
      <c r="N435" s="1769"/>
      <c r="O435" s="1769"/>
      <c r="P435" s="1769"/>
      <c r="Q435" s="1769"/>
      <c r="R435" s="1769"/>
      <c r="S435" s="1769"/>
      <c r="T435" s="1769"/>
      <c r="U435" s="1769"/>
      <c r="V435" s="1769"/>
      <c r="W435" s="1769"/>
      <c r="X435" s="1769"/>
      <c r="Y435" s="1769"/>
      <c r="Z435" s="1769"/>
      <c r="AA435" s="1769"/>
      <c r="AB435" s="1769"/>
      <c r="AC435" s="1769"/>
      <c r="AD435" s="1769"/>
      <c r="AE435" s="1769"/>
      <c r="AF435" s="1769"/>
      <c r="AG435" s="1769"/>
      <c r="AH435" s="1769"/>
      <c r="AI435" s="1769"/>
      <c r="AJ435" s="1769"/>
    </row>
    <row r="436" spans="1:36" s="1919" customFormat="1" ht="15" hidden="1" x14ac:dyDescent="0.25">
      <c r="A436" s="1769"/>
      <c r="B436" s="1769"/>
      <c r="C436" s="1769"/>
      <c r="D436" s="1769"/>
      <c r="E436" s="1769"/>
      <c r="F436" s="1769"/>
      <c r="G436" s="1769"/>
      <c r="H436" s="1769"/>
      <c r="I436" s="1769"/>
      <c r="J436" s="1769"/>
      <c r="K436" s="1769"/>
      <c r="L436" s="1769"/>
      <c r="M436" s="1769"/>
      <c r="N436" s="1769"/>
      <c r="O436" s="1769"/>
      <c r="P436" s="1769"/>
      <c r="Q436" s="1769"/>
      <c r="R436" s="1769"/>
      <c r="S436" s="1769"/>
      <c r="T436" s="1769"/>
      <c r="U436" s="1769"/>
      <c r="V436" s="1769"/>
      <c r="W436" s="1769"/>
      <c r="X436" s="1769"/>
      <c r="Y436" s="1769"/>
      <c r="Z436" s="1769"/>
      <c r="AA436" s="1769"/>
      <c r="AB436" s="1769"/>
      <c r="AC436" s="1769"/>
      <c r="AD436" s="1769"/>
      <c r="AE436" s="1769"/>
      <c r="AF436" s="1769"/>
      <c r="AG436" s="1769"/>
      <c r="AH436" s="1769"/>
      <c r="AI436" s="1769"/>
      <c r="AJ436" s="1769"/>
    </row>
    <row r="437" spans="1:36" s="1919" customFormat="1" ht="15" hidden="1" x14ac:dyDescent="0.25">
      <c r="A437" s="1769"/>
      <c r="B437" s="1769"/>
      <c r="C437" s="1769"/>
      <c r="D437" s="1769"/>
      <c r="E437" s="1769"/>
      <c r="F437" s="1769"/>
      <c r="G437" s="1769"/>
      <c r="H437" s="1769"/>
      <c r="I437" s="1769"/>
      <c r="J437" s="1769"/>
      <c r="K437" s="1769"/>
      <c r="L437" s="1769"/>
      <c r="M437" s="1769"/>
      <c r="N437" s="1769"/>
      <c r="O437" s="1769"/>
      <c r="P437" s="1769"/>
      <c r="Q437" s="1769"/>
      <c r="R437" s="1769"/>
      <c r="S437" s="1769"/>
      <c r="T437" s="1769"/>
      <c r="U437" s="1769"/>
      <c r="V437" s="1769"/>
      <c r="W437" s="1769"/>
      <c r="X437" s="1769"/>
      <c r="Y437" s="1769"/>
      <c r="Z437" s="1769"/>
      <c r="AA437" s="1769"/>
      <c r="AB437" s="1769"/>
      <c r="AC437" s="1769"/>
      <c r="AD437" s="1769"/>
      <c r="AE437" s="1769"/>
      <c r="AF437" s="1769"/>
      <c r="AG437" s="1769"/>
      <c r="AH437" s="1769"/>
      <c r="AI437" s="1769"/>
      <c r="AJ437" s="1769"/>
    </row>
    <row r="438" spans="1:36" s="1919" customFormat="1" ht="15" hidden="1" x14ac:dyDescent="0.25">
      <c r="A438" s="1769"/>
      <c r="B438" s="1769"/>
      <c r="C438" s="1769"/>
      <c r="D438" s="1769"/>
      <c r="E438" s="1769"/>
      <c r="F438" s="1769"/>
      <c r="G438" s="1769"/>
      <c r="H438" s="1769"/>
      <c r="I438" s="1769"/>
      <c r="J438" s="1769"/>
      <c r="K438" s="1769"/>
      <c r="L438" s="1769"/>
      <c r="M438" s="1769"/>
      <c r="N438" s="1769"/>
      <c r="O438" s="1769"/>
      <c r="P438" s="1769"/>
      <c r="Q438" s="1769"/>
      <c r="R438" s="1769"/>
      <c r="S438" s="1769"/>
      <c r="T438" s="1769"/>
      <c r="U438" s="1769"/>
      <c r="V438" s="1769"/>
      <c r="W438" s="1769"/>
      <c r="X438" s="1769"/>
      <c r="Y438" s="1769"/>
      <c r="Z438" s="1769"/>
      <c r="AA438" s="1769"/>
      <c r="AB438" s="1769"/>
      <c r="AC438" s="1769"/>
      <c r="AD438" s="1769"/>
      <c r="AE438" s="1769"/>
      <c r="AF438" s="1769"/>
      <c r="AG438" s="1769"/>
      <c r="AH438" s="1769"/>
      <c r="AI438" s="1769"/>
      <c r="AJ438" s="1769"/>
    </row>
    <row r="439" spans="1:36" s="1919" customFormat="1" ht="15" hidden="1" x14ac:dyDescent="0.25">
      <c r="A439" s="1769"/>
      <c r="B439" s="1769"/>
      <c r="C439" s="1769"/>
      <c r="D439" s="1769"/>
      <c r="E439" s="1769"/>
      <c r="F439" s="1769"/>
      <c r="G439" s="1769"/>
      <c r="H439" s="1769"/>
      <c r="I439" s="1769"/>
      <c r="J439" s="1769"/>
      <c r="K439" s="1769"/>
      <c r="L439" s="1769"/>
      <c r="M439" s="1769"/>
      <c r="N439" s="1769"/>
      <c r="O439" s="1769"/>
      <c r="P439" s="1769"/>
      <c r="Q439" s="1769"/>
      <c r="R439" s="1769"/>
      <c r="S439" s="1769"/>
      <c r="T439" s="1769"/>
      <c r="U439" s="1769"/>
      <c r="V439" s="1769"/>
      <c r="W439" s="1769"/>
      <c r="X439" s="1769"/>
      <c r="Y439" s="1769"/>
      <c r="Z439" s="1769"/>
      <c r="AA439" s="1769"/>
      <c r="AB439" s="1769"/>
      <c r="AC439" s="1769"/>
      <c r="AD439" s="1769"/>
      <c r="AE439" s="1769"/>
      <c r="AF439" s="1769"/>
      <c r="AG439" s="1769"/>
      <c r="AH439" s="1769"/>
      <c r="AI439" s="1769"/>
      <c r="AJ439" s="1769"/>
    </row>
    <row r="440" spans="1:36" s="1919" customFormat="1" ht="15" hidden="1" x14ac:dyDescent="0.25">
      <c r="A440" s="1769"/>
      <c r="B440" s="1769"/>
      <c r="C440" s="1769"/>
      <c r="D440" s="1769"/>
      <c r="E440" s="1769"/>
      <c r="F440" s="1769"/>
      <c r="G440" s="1769"/>
      <c r="H440" s="1769"/>
      <c r="I440" s="1769"/>
      <c r="J440" s="1769"/>
      <c r="K440" s="1769"/>
      <c r="L440" s="1769"/>
      <c r="M440" s="1769"/>
      <c r="N440" s="1769"/>
      <c r="O440" s="1769"/>
      <c r="P440" s="1769"/>
      <c r="Q440" s="1769"/>
      <c r="R440" s="1769"/>
      <c r="S440" s="1769"/>
      <c r="T440" s="1769"/>
      <c r="U440" s="1769"/>
      <c r="V440" s="1769"/>
      <c r="W440" s="1769"/>
      <c r="X440" s="1769"/>
      <c r="Y440" s="1769"/>
      <c r="Z440" s="1769"/>
      <c r="AA440" s="1769"/>
      <c r="AB440" s="1769"/>
      <c r="AC440" s="1769"/>
      <c r="AD440" s="1769"/>
      <c r="AE440" s="1769"/>
      <c r="AF440" s="1769"/>
      <c r="AG440" s="1769"/>
      <c r="AH440" s="1769"/>
      <c r="AI440" s="1769"/>
      <c r="AJ440" s="1769"/>
    </row>
    <row r="441" spans="1:36" s="1919" customFormat="1" ht="15" hidden="1" x14ac:dyDescent="0.25">
      <c r="A441" s="1769"/>
      <c r="B441" s="1769"/>
      <c r="C441" s="1769"/>
      <c r="D441" s="1769"/>
      <c r="E441" s="1769"/>
      <c r="F441" s="1769"/>
      <c r="G441" s="1769"/>
      <c r="H441" s="1769"/>
      <c r="I441" s="1769"/>
      <c r="J441" s="1769"/>
      <c r="K441" s="1769"/>
      <c r="L441" s="1769"/>
      <c r="M441" s="1769"/>
      <c r="N441" s="1769"/>
      <c r="O441" s="1769"/>
      <c r="P441" s="1769"/>
      <c r="Q441" s="1769"/>
      <c r="R441" s="1769"/>
      <c r="S441" s="1769"/>
      <c r="T441" s="1769"/>
      <c r="U441" s="1769"/>
      <c r="V441" s="1769"/>
      <c r="W441" s="1769"/>
      <c r="X441" s="1769"/>
      <c r="Y441" s="1769"/>
      <c r="Z441" s="1769"/>
      <c r="AA441" s="1769"/>
      <c r="AB441" s="1769"/>
      <c r="AC441" s="1769"/>
      <c r="AD441" s="1769"/>
      <c r="AE441" s="1769"/>
      <c r="AF441" s="1769"/>
      <c r="AG441" s="1769"/>
      <c r="AH441" s="1769"/>
      <c r="AI441" s="1769"/>
      <c r="AJ441" s="1769"/>
    </row>
    <row r="442" spans="1:36" s="1919" customFormat="1" ht="15" hidden="1" x14ac:dyDescent="0.25">
      <c r="A442" s="1769"/>
      <c r="B442" s="1769"/>
      <c r="C442" s="1769"/>
      <c r="D442" s="1769"/>
      <c r="E442" s="1769"/>
      <c r="F442" s="1769"/>
      <c r="G442" s="1769"/>
      <c r="H442" s="1769"/>
      <c r="I442" s="1769"/>
      <c r="J442" s="1769"/>
      <c r="K442" s="1769"/>
      <c r="L442" s="1769"/>
      <c r="M442" s="1769"/>
      <c r="N442" s="1769"/>
      <c r="O442" s="1769"/>
      <c r="P442" s="1769"/>
      <c r="Q442" s="1769"/>
      <c r="R442" s="1769"/>
      <c r="S442" s="1769"/>
      <c r="T442" s="1769"/>
      <c r="U442" s="1769"/>
      <c r="V442" s="1769"/>
      <c r="W442" s="1769"/>
      <c r="X442" s="1769"/>
      <c r="Y442" s="1769"/>
      <c r="Z442" s="1769"/>
      <c r="AA442" s="1769"/>
      <c r="AB442" s="1769"/>
      <c r="AC442" s="1769"/>
      <c r="AD442" s="1769"/>
      <c r="AE442" s="1769"/>
      <c r="AF442" s="1769"/>
      <c r="AG442" s="1769"/>
      <c r="AH442" s="1769"/>
      <c r="AI442" s="1769"/>
      <c r="AJ442" s="1769"/>
    </row>
    <row r="443" spans="1:36" s="1919" customFormat="1" ht="15" hidden="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row>
    <row r="444" spans="1:36" s="1919" customFormat="1" ht="15" hidden="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row>
    <row r="445" spans="1:36" s="1919" customFormat="1" ht="15" hidden="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row>
    <row r="446" spans="1:36" s="1919" customFormat="1" ht="15" hidden="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row>
    <row r="447" spans="1:36" s="1919" customFormat="1" ht="15" hidden="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row>
    <row r="448" spans="1:36" s="1919" customFormat="1" ht="15" hidden="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row>
    <row r="449" spans="1:36" s="1919" customFormat="1" ht="15" hidden="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row>
    <row r="450" spans="1:36" s="1919" customFormat="1" ht="15" hidden="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row>
    <row r="451" spans="1:36" s="1919" customFormat="1" ht="15" hidden="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row>
    <row r="452" spans="1:36" s="1919" customFormat="1" ht="15" hidden="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row>
    <row r="453" spans="1:36" s="1919" customFormat="1" ht="15" hidden="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row>
    <row r="454" spans="1:36" ht="12.75" hidden="1" customHeight="1" x14ac:dyDescent="0.25"/>
    <row r="455" spans="1:36" ht="12.75" hidden="1" customHeight="1" x14ac:dyDescent="0.25"/>
    <row r="456" spans="1:36" ht="12.75" hidden="1" customHeight="1" x14ac:dyDescent="0.25"/>
    <row r="457" spans="1:36" ht="12.75" hidden="1" customHeight="1" x14ac:dyDescent="0.25"/>
    <row r="458" spans="1:36" ht="12.75" hidden="1" customHeight="1" x14ac:dyDescent="0.25"/>
    <row r="459" spans="1:36" ht="12.75" hidden="1" customHeight="1" x14ac:dyDescent="0.25"/>
    <row r="460" spans="1:36" ht="12.75" hidden="1" customHeight="1" x14ac:dyDescent="0.25"/>
    <row r="461" spans="1:36" ht="12.75" hidden="1" customHeight="1" x14ac:dyDescent="0.25"/>
    <row r="462" spans="1:36" ht="12.75" hidden="1" customHeight="1" x14ac:dyDescent="0.25"/>
    <row r="463" spans="1:36" ht="12.75" hidden="1" customHeight="1" x14ac:dyDescent="0.25"/>
    <row r="464" spans="1:36"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sheetData>
  <sheetProtection algorithmName="SHA-512" hashValue="M6M/db0HZosvl+1/gSteEnIoRgahGIHBAivoA9h4QNbRneCrNlPUrwZMWVS5xwLh4F1bIUzejPt5LeTSbqKtIg==" saltValue="11LbXUWHrQFW3zTJmgYEgw==" spinCount="100000" sheet="1" objects="1" scenarios="1"/>
  <mergeCells count="383">
    <mergeCell ref="D134:D143"/>
    <mergeCell ref="E170:E180"/>
    <mergeCell ref="H166:I166"/>
    <mergeCell ref="J166:K166"/>
    <mergeCell ref="AC1:AD1"/>
    <mergeCell ref="AC2:AD2"/>
    <mergeCell ref="F97:O97"/>
    <mergeCell ref="AC3:AD3"/>
    <mergeCell ref="AC4:AD4"/>
    <mergeCell ref="F102:O102"/>
    <mergeCell ref="G11:Q11"/>
    <mergeCell ref="C3:F3"/>
    <mergeCell ref="F5:Q5"/>
    <mergeCell ref="F8:F10"/>
    <mergeCell ref="F39:F43"/>
    <mergeCell ref="H76:Q76"/>
    <mergeCell ref="G94:O94"/>
    <mergeCell ref="F49:F53"/>
    <mergeCell ref="H51:O51"/>
    <mergeCell ref="H52:O52"/>
    <mergeCell ref="G46:Q46"/>
    <mergeCell ref="F30:Q30"/>
    <mergeCell ref="F67:F71"/>
    <mergeCell ref="G74:Q74"/>
    <mergeCell ref="G3:S3"/>
    <mergeCell ref="E4:Q4"/>
    <mergeCell ref="G35:O35"/>
    <mergeCell ref="H12:O12"/>
    <mergeCell ref="H13:O13"/>
    <mergeCell ref="H15:O15"/>
    <mergeCell ref="G16:O16"/>
    <mergeCell ref="F29:Q29"/>
    <mergeCell ref="H24:I24"/>
    <mergeCell ref="G22:Q22"/>
    <mergeCell ref="J25:K25"/>
    <mergeCell ref="J26:K26"/>
    <mergeCell ref="H26:I26"/>
    <mergeCell ref="G17:O17"/>
    <mergeCell ref="J24:K24"/>
    <mergeCell ref="H27:I27"/>
    <mergeCell ref="J27:K27"/>
    <mergeCell ref="E31:E36"/>
    <mergeCell ref="F6:P6"/>
    <mergeCell ref="F7:P7"/>
    <mergeCell ref="AA133:AB133"/>
    <mergeCell ref="H98:H99"/>
    <mergeCell ref="Q426:R426"/>
    <mergeCell ref="F37:Q37"/>
    <mergeCell ref="F105:Q105"/>
    <mergeCell ref="G48:O48"/>
    <mergeCell ref="G302:O302"/>
    <mergeCell ref="G175:O175"/>
    <mergeCell ref="J165:K165"/>
    <mergeCell ref="H163:I163"/>
    <mergeCell ref="H164:I164"/>
    <mergeCell ref="J164:K164"/>
    <mergeCell ref="AB62:AB63"/>
    <mergeCell ref="G161:Q161"/>
    <mergeCell ref="H65:O65"/>
    <mergeCell ref="H71:O71"/>
    <mergeCell ref="J98:K98"/>
    <mergeCell ref="G73:O73"/>
    <mergeCell ref="H68:O68"/>
    <mergeCell ref="I62:O62"/>
    <mergeCell ref="I63:O63"/>
    <mergeCell ref="G326:O326"/>
    <mergeCell ref="G370:K370"/>
    <mergeCell ref="G369:K369"/>
    <mergeCell ref="G331:Q333"/>
    <mergeCell ref="F321:O321"/>
    <mergeCell ref="G355:L355"/>
    <mergeCell ref="J317:K317"/>
    <mergeCell ref="I317:I318"/>
    <mergeCell ref="G354:K354"/>
    <mergeCell ref="G349:K349"/>
    <mergeCell ref="G364:J364"/>
    <mergeCell ref="G320:L320"/>
    <mergeCell ref="H317:H318"/>
    <mergeCell ref="F317:F318"/>
    <mergeCell ref="G345:L345"/>
    <mergeCell ref="F344:L344"/>
    <mergeCell ref="E343:Q343"/>
    <mergeCell ref="E323:E326"/>
    <mergeCell ref="H334:Q334"/>
    <mergeCell ref="H335:Q335"/>
    <mergeCell ref="E342:Q342"/>
    <mergeCell ref="F327:S327"/>
    <mergeCell ref="F331:F333"/>
    <mergeCell ref="F341:Q341"/>
    <mergeCell ref="G317:G318"/>
    <mergeCell ref="G325:O325"/>
    <mergeCell ref="F322:Q322"/>
    <mergeCell ref="C12:C19"/>
    <mergeCell ref="G21:O21"/>
    <mergeCell ref="O426:P426"/>
    <mergeCell ref="E37:E56"/>
    <mergeCell ref="F168:Q168"/>
    <mergeCell ref="F170:Q170"/>
    <mergeCell ref="G297:O297"/>
    <mergeCell ref="G300:O300"/>
    <mergeCell ref="I286:O286"/>
    <mergeCell ref="H43:O43"/>
    <mergeCell ref="H86:O86"/>
    <mergeCell ref="F96:Q96"/>
    <mergeCell ref="P97:Q97"/>
    <mergeCell ref="G95:Q95"/>
    <mergeCell ref="G177:O177"/>
    <mergeCell ref="J163:K163"/>
    <mergeCell ref="H138:O138"/>
    <mergeCell ref="G91:O91"/>
    <mergeCell ref="G101:L101"/>
    <mergeCell ref="G128:O128"/>
    <mergeCell ref="E305:E314"/>
    <mergeCell ref="F285:F290"/>
    <mergeCell ref="E284:E304"/>
    <mergeCell ref="G304:Q304"/>
    <mergeCell ref="AB5:AC5"/>
    <mergeCell ref="H9:O9"/>
    <mergeCell ref="G18:O18"/>
    <mergeCell ref="G19:O19"/>
    <mergeCell ref="G20:O20"/>
    <mergeCell ref="H10:O10"/>
    <mergeCell ref="H81:O81"/>
    <mergeCell ref="H69:O69"/>
    <mergeCell ref="H70:O70"/>
    <mergeCell ref="F75:Q75"/>
    <mergeCell ref="G72:O72"/>
    <mergeCell ref="F61:F66"/>
    <mergeCell ref="H66:O66"/>
    <mergeCell ref="G67:Q67"/>
    <mergeCell ref="I64:O64"/>
    <mergeCell ref="H25:I25"/>
    <mergeCell ref="H14:O14"/>
    <mergeCell ref="F11:F15"/>
    <mergeCell ref="H80:O80"/>
    <mergeCell ref="G76:G79"/>
    <mergeCell ref="G55:O55"/>
    <mergeCell ref="G61:G64"/>
    <mergeCell ref="F60:Q60"/>
    <mergeCell ref="H8:O8"/>
    <mergeCell ref="F98:F99"/>
    <mergeCell ref="G98:G99"/>
    <mergeCell ref="F104:Q104"/>
    <mergeCell ref="F103:Q103"/>
    <mergeCell ref="H118:Q118"/>
    <mergeCell ref="G126:O126"/>
    <mergeCell ref="G150:O150"/>
    <mergeCell ref="G153:O153"/>
    <mergeCell ref="G154:O154"/>
    <mergeCell ref="F114:F116"/>
    <mergeCell ref="G109:O109"/>
    <mergeCell ref="F110:S110"/>
    <mergeCell ref="F125:S125"/>
    <mergeCell ref="F137:F139"/>
    <mergeCell ref="F134:Q134"/>
    <mergeCell ref="G129:O129"/>
    <mergeCell ref="F130:Q130"/>
    <mergeCell ref="H137:O137"/>
    <mergeCell ref="E133:Q133"/>
    <mergeCell ref="F135:P135"/>
    <mergeCell ref="F136:P136"/>
    <mergeCell ref="G127:O127"/>
    <mergeCell ref="F132:Q132"/>
    <mergeCell ref="H139:O139"/>
    <mergeCell ref="E75:E95"/>
    <mergeCell ref="I77:O77"/>
    <mergeCell ref="I78:O78"/>
    <mergeCell ref="F31:Q31"/>
    <mergeCell ref="F76:F81"/>
    <mergeCell ref="I79:O79"/>
    <mergeCell ref="G34:O34"/>
    <mergeCell ref="G36:Q36"/>
    <mergeCell ref="H84:O84"/>
    <mergeCell ref="H85:O85"/>
    <mergeCell ref="H87:O87"/>
    <mergeCell ref="G88:O88"/>
    <mergeCell ref="G89:O89"/>
    <mergeCell ref="F83:F87"/>
    <mergeCell ref="G90:O90"/>
    <mergeCell ref="G32:O32"/>
    <mergeCell ref="G33:O33"/>
    <mergeCell ref="G56:Q56"/>
    <mergeCell ref="H53:O53"/>
    <mergeCell ref="F57:Q57"/>
    <mergeCell ref="G58:Q58"/>
    <mergeCell ref="G45:O45"/>
    <mergeCell ref="AG38:AI38"/>
    <mergeCell ref="G54:O54"/>
    <mergeCell ref="H41:O41"/>
    <mergeCell ref="AB54:AB55"/>
    <mergeCell ref="AB39:AB41"/>
    <mergeCell ref="AC38:AD38"/>
    <mergeCell ref="G44:O44"/>
    <mergeCell ref="G38:O38"/>
    <mergeCell ref="H42:O42"/>
    <mergeCell ref="AB45:AB50"/>
    <mergeCell ref="F47:Q47"/>
    <mergeCell ref="H50:O50"/>
    <mergeCell ref="G49:Q49"/>
    <mergeCell ref="H40:O40"/>
    <mergeCell ref="G39:Q39"/>
    <mergeCell ref="H142:O142"/>
    <mergeCell ref="G155:O155"/>
    <mergeCell ref="F169:Q169"/>
    <mergeCell ref="G160:O160"/>
    <mergeCell ref="H165:I165"/>
    <mergeCell ref="H144:I144"/>
    <mergeCell ref="J144:K144"/>
    <mergeCell ref="H145:I145"/>
    <mergeCell ref="J145:K145"/>
    <mergeCell ref="H146:I146"/>
    <mergeCell ref="J146:K146"/>
    <mergeCell ref="H148:O148"/>
    <mergeCell ref="G151:O151"/>
    <mergeCell ref="H149:O149"/>
    <mergeCell ref="G152:O152"/>
    <mergeCell ref="G158:O158"/>
    <mergeCell ref="G159:O159"/>
    <mergeCell ref="G156:O156"/>
    <mergeCell ref="G157:O157"/>
    <mergeCell ref="G178:O178"/>
    <mergeCell ref="G173:O173"/>
    <mergeCell ref="I245:O245"/>
    <mergeCell ref="H229:Q229"/>
    <mergeCell ref="H234:O234"/>
    <mergeCell ref="F228:Q228"/>
    <mergeCell ref="G180:Q180"/>
    <mergeCell ref="G174:O174"/>
    <mergeCell ref="G171:O171"/>
    <mergeCell ref="G172:O172"/>
    <mergeCell ref="G176:O176"/>
    <mergeCell ref="G179:O179"/>
    <mergeCell ref="F323:Q323"/>
    <mergeCell ref="G275:O275"/>
    <mergeCell ref="G324:O324"/>
    <mergeCell ref="I231:O231"/>
    <mergeCell ref="G229:G232"/>
    <mergeCell ref="F316:O316"/>
    <mergeCell ref="G303:O303"/>
    <mergeCell ref="G276:Q276"/>
    <mergeCell ref="L317:L318"/>
    <mergeCell ref="F315:Q315"/>
    <mergeCell ref="I287:O287"/>
    <mergeCell ref="H285:Q285"/>
    <mergeCell ref="G244:G247"/>
    <mergeCell ref="G274:O274"/>
    <mergeCell ref="G259:G262"/>
    <mergeCell ref="F258:Q258"/>
    <mergeCell ref="I260:O260"/>
    <mergeCell ref="H248:O248"/>
    <mergeCell ref="G301:O301"/>
    <mergeCell ref="I247:O247"/>
    <mergeCell ref="F243:Q243"/>
    <mergeCell ref="I288:O288"/>
    <mergeCell ref="P316:Q316"/>
    <mergeCell ref="I230:O230"/>
    <mergeCell ref="O425:P425"/>
    <mergeCell ref="M424:N424"/>
    <mergeCell ref="Q422:R422"/>
    <mergeCell ref="M423:N423"/>
    <mergeCell ref="Q424:R424"/>
    <mergeCell ref="Q421:R421"/>
    <mergeCell ref="Q423:R423"/>
    <mergeCell ref="F273:Q273"/>
    <mergeCell ref="Q425:R425"/>
    <mergeCell ref="O420:P420"/>
    <mergeCell ref="M425:N425"/>
    <mergeCell ref="G359:K359"/>
    <mergeCell ref="O421:P421"/>
    <mergeCell ref="Q405:Q406"/>
    <mergeCell ref="Q419:R419"/>
    <mergeCell ref="G360:K360"/>
    <mergeCell ref="Q420:R420"/>
    <mergeCell ref="O424:P424"/>
    <mergeCell ref="O423:P423"/>
    <mergeCell ref="O422:P422"/>
    <mergeCell ref="G379:K379"/>
    <mergeCell ref="N405:P405"/>
    <mergeCell ref="M421:N421"/>
    <mergeCell ref="O419:P419"/>
    <mergeCell ref="N403:O403"/>
    <mergeCell ref="G385:K385"/>
    <mergeCell ref="G389:J389"/>
    <mergeCell ref="E404:Q404"/>
    <mergeCell ref="G384:K384"/>
    <mergeCell ref="G375:L375"/>
    <mergeCell ref="I400:K401"/>
    <mergeCell ref="F405:H407"/>
    <mergeCell ref="G402:M402"/>
    <mergeCell ref="I405:I406"/>
    <mergeCell ref="G374:K374"/>
    <mergeCell ref="G350:L350"/>
    <mergeCell ref="D405:D417"/>
    <mergeCell ref="F408:H408"/>
    <mergeCell ref="F409:G412"/>
    <mergeCell ref="F416:I416"/>
    <mergeCell ref="F417:I417"/>
    <mergeCell ref="F413:G415"/>
    <mergeCell ref="J405:M405"/>
    <mergeCell ref="E405:E407"/>
    <mergeCell ref="G365:K365"/>
    <mergeCell ref="G380:L380"/>
    <mergeCell ref="F426:K426"/>
    <mergeCell ref="M422:N422"/>
    <mergeCell ref="F421:K421"/>
    <mergeCell ref="F424:K424"/>
    <mergeCell ref="F423:K423"/>
    <mergeCell ref="C427:E427"/>
    <mergeCell ref="D419:D425"/>
    <mergeCell ref="F422:K422"/>
    <mergeCell ref="F425:K425"/>
    <mergeCell ref="M426:N426"/>
    <mergeCell ref="M420:N420"/>
    <mergeCell ref="M419:N419"/>
    <mergeCell ref="F419:K419"/>
    <mergeCell ref="F420:K420"/>
    <mergeCell ref="E181:E193"/>
    <mergeCell ref="G193:Q193"/>
    <mergeCell ref="F181:Q181"/>
    <mergeCell ref="G195:O195"/>
    <mergeCell ref="G196:Q196"/>
    <mergeCell ref="F194:Q194"/>
    <mergeCell ref="F209:F213"/>
    <mergeCell ref="G221:O221"/>
    <mergeCell ref="H186:O186"/>
    <mergeCell ref="G188:O188"/>
    <mergeCell ref="F183:F187"/>
    <mergeCell ref="G191:O191"/>
    <mergeCell ref="H185:O185"/>
    <mergeCell ref="H184:O184"/>
    <mergeCell ref="H213:O213"/>
    <mergeCell ref="G219:Q219"/>
    <mergeCell ref="H212:O212"/>
    <mergeCell ref="E194:E206"/>
    <mergeCell ref="F220:Q220"/>
    <mergeCell ref="E207:E219"/>
    <mergeCell ref="H263:O263"/>
    <mergeCell ref="G222:O222"/>
    <mergeCell ref="G209:Q209"/>
    <mergeCell ref="H210:O210"/>
    <mergeCell ref="H211:O211"/>
    <mergeCell ref="G208:O208"/>
    <mergeCell ref="F196:F200"/>
    <mergeCell ref="H198:O198"/>
    <mergeCell ref="H197:O197"/>
    <mergeCell ref="H200:O200"/>
    <mergeCell ref="H199:O199"/>
    <mergeCell ref="G201:O201"/>
    <mergeCell ref="I261:O261"/>
    <mergeCell ref="H259:Q259"/>
    <mergeCell ref="G223:Q223"/>
    <mergeCell ref="I262:O262"/>
    <mergeCell ref="H233:O233"/>
    <mergeCell ref="H249:O249"/>
    <mergeCell ref="F229:F234"/>
    <mergeCell ref="I246:O246"/>
    <mergeCell ref="I232:O232"/>
    <mergeCell ref="F224:Q224"/>
    <mergeCell ref="H244:Q244"/>
    <mergeCell ref="G140:Q140"/>
    <mergeCell ref="G285:G288"/>
    <mergeCell ref="H290:O290"/>
    <mergeCell ref="H289:O289"/>
    <mergeCell ref="F244:F249"/>
    <mergeCell ref="H264:O264"/>
    <mergeCell ref="F259:F264"/>
    <mergeCell ref="AC6:AD6"/>
    <mergeCell ref="F207:Q207"/>
    <mergeCell ref="G204:O204"/>
    <mergeCell ref="G206:Q206"/>
    <mergeCell ref="AB58:AB59"/>
    <mergeCell ref="H117:Q117"/>
    <mergeCell ref="G106:O106"/>
    <mergeCell ref="G108:O108"/>
    <mergeCell ref="G114:Q116"/>
    <mergeCell ref="I98:I99"/>
    <mergeCell ref="G59:Q59"/>
    <mergeCell ref="G92:O92"/>
    <mergeCell ref="G93:O93"/>
    <mergeCell ref="L98:L99"/>
    <mergeCell ref="G83:Q83"/>
    <mergeCell ref="H61:Q61"/>
    <mergeCell ref="G82:O82"/>
  </mergeCells>
  <dataValidations count="82">
    <dataValidation operator="equal" allowBlank="1" showErrorMessage="1" error="Enter 10 digit Valid PAN" sqref="S342 S277:S279 S281:S282 Q409:Q415 L413:M417 J410:J417 K409:L409 L410 K411:K417 N416:O417 N414:N415 P407 S305:S315 O413 S419 M409:M410 S284:S303"/>
    <dataValidation type="whole" allowBlank="1" showErrorMessage="1" error="  No decimal, upto 99,999,999,999,999 " sqref="S74 S180 S131:S132 Q88 S56 Q72 Q54 S331:S335 S95:S96 R112:R113 R329:R330 S323:S324 S114:S118 AA168:AA169 S104:S109 S161 S147">
      <formula1>-99999999999999</formula1>
      <formula2>99999999999999</formula2>
    </dataValidation>
    <dataValidation type="whole" allowBlank="1" showErrorMessage="1" error="  Non negative, no decimal, upto 99,999,999,999,999" sqref="Q38 Q82 Q48 Q210:Q213 Q279 Q137:Q138 Q182 Q8:Q9 Q263:Q264 Q126:Q129 Q73 Q50:Q53 Q184:Q187 Q197:Q200 Q45 Q55 Q208 Q236:Q239 Q249 Q233:Q234 Q215:Q218 Q12:Q15 Q84:Q87 Q171:Q174 Q195 Q68:Q71 Q251:Q254 Q266:Q269 Q292:Q295 Q282 Q17:Q20 I391:J398 L391:L398 Q305:Q313 Q89:Q94 Q40:Q43 Q229:Q231 Q259:Q261 Q285:Q287 Q289:Q290 Q226 Q256 Q151:Q160 Q189:Q192 Q202:Q205 Q176:Q179 Q297:Q303 Q271 Q241 Q32:Q35 Q148:Q149 Q142:Q143">
      <formula1>0</formula1>
      <formula2>99999999999999</formula2>
    </dataValidation>
    <dataValidation type="whole" allowBlank="1" showErrorMessage="1" error="Numeric, no decimal, upto 99,999,999,999,999" sqref="S8:S21">
      <formula1>-99999999999999</formula1>
      <formula2>99999999999999</formula2>
    </dataValidation>
    <dataValidation type="whole" allowBlank="1" showErrorMessage="1" error="no decimal, upto 99,999,999,999,999" sqref="S280 Q44 S46 Q240 S242 S257 Q255 Q270 Q278 S283 Q16 Q21 Q175 S272 AA29:AA30 S22 S29:S36">
      <formula1>-99999999999999</formula1>
      <formula2>99999999999999</formula2>
    </dataValidation>
    <dataValidation type="whole" allowBlank="1" showErrorMessage="1" error="No negative, No decimal, upto 99,999,999,999,999 " sqref="S130">
      <formula1>0</formula1>
      <formula2>99999999999999</formula2>
    </dataValidation>
    <dataValidation type="whole" allowBlank="1" showErrorMessage="1" error="  no decimal, upto 99,999,999,999,999" sqref="Q150 Q188 Q281 Q201 S193 Q214 S206 Q296 S304 Q225 S339:S341 S273:S276 S219:S223">
      <formula1>-99999999999999</formula1>
      <formula2>99999999999999</formula2>
    </dataValidation>
    <dataValidation type="whole" allowBlank="1" showErrorMessage="1" error="Non negative,  no decimal, upto 99,999,999,999,999" sqref="S227">
      <formula1>-99999999999999</formula1>
      <formula2>99999999999999</formula2>
    </dataValidation>
    <dataValidation type="whole" allowBlank="1" showErrorMessage="1" error=" no decimal, upto 99,999,999,999,999" sqref="S58:S59">
      <formula1>-99999999999999</formula1>
      <formula2>99999999999999</formula2>
    </dataValidation>
    <dataValidation type="textLength" operator="equal" allowBlank="1" showErrorMessage="1" error="Enter date in dd/mm/yyyy format" sqref="K391:K398">
      <formula1>10</formula1>
    </dataValidation>
    <dataValidation type="textLength" allowBlank="1" showInputMessage="1" showErrorMessage="1" errorTitle="PAN" error="PAN is invalid (10 digits valid PAN)" prompt="PAN: First five alphabets, next four digits than alphabet exactly 10 chars" sqref="N403:O403">
      <formula1>0</formula1>
      <formula2>10</formula2>
    </dataValidation>
    <dataValidation type="textLength" operator="equal" allowBlank="1" showErrorMessage="1" error="Enter 10 digit Valid PAN" sqref="Q408">
      <formula1>10</formula1>
    </dataValidation>
    <dataValidation type="whole" allowBlank="1" showInputMessage="1" showErrorMessage="1" error="Non negative, no decimal 14 digit" sqref="I409:I415 J408:O408">
      <formula1>0</formula1>
      <formula2>99999999999999</formula2>
    </dataValidation>
    <dataValidation allowBlank="1" showInputMessage="1" showErrorMessage="1" error="Non negative, no decimal upto 14 digits" sqref="F420"/>
    <dataValidation type="whole" allowBlank="1" showErrorMessage="1" error="Non negative, no decimal upto 14 digits" sqref="M420:S421 L420:L426 M422:R424 M425:S426 S422:S423">
      <formula1>0</formula1>
      <formula2>99999999999999</formula2>
    </dataValidation>
    <dataValidation type="list" allowBlank="1" showInputMessage="1" showErrorMessage="1" error="Please select from the list" sqref="I100">
      <formula1>"(Select),54D,54G,54GA"</formula1>
    </dataValidation>
    <dataValidation type="whole" allowBlank="1" showErrorMessage="1" error="  No decimal, upto 99,999,999,999,999 " sqref="S336:S338 S120:S124 S97:S103 S316:S322 S325:S326">
      <formula1>0</formula1>
      <formula2>99999999999999</formula2>
    </dataValidation>
    <dataValidation type="list" allowBlank="1" showInputMessage="1" showErrorMessage="1" error="Please Select from List" sqref="K121:K122">
      <formula1>STCG_Dropdown</formula1>
    </dataValidation>
    <dataValidation type="list" allowBlank="1" showInputMessage="1" showErrorMessage="1" error="Please Select from List" sqref="J121:J122 J337:J338">
      <formula1>"(Select),Yes,No"</formula1>
    </dataValidation>
    <dataValidation type="list" allowBlank="1" showInputMessage="1" showErrorMessage="1" error="Please select from the list" sqref="I319">
      <formula1>"(Select),54,54D,54F,54G,54GA"</formula1>
    </dataValidation>
    <dataValidation type="list" allowBlank="1" showInputMessage="1" showErrorMessage="1" error="Please Select from List" sqref="K337:K338">
      <formula1>LTCG_DropDown</formula1>
    </dataValidation>
    <dataValidation type="list" allowBlank="1" showInputMessage="1" showErrorMessage="1" sqref="H121:H122 H337:H338">
      <formula1>Country_NoIndia</formula1>
    </dataValidation>
    <dataValidation type="textLength" allowBlank="1" showInputMessage="1" showErrorMessage="1" error="Article of DTAA cannot be more than 16 charachters" sqref="I121:I122 I337:I338">
      <formula1>0</formula1>
      <formula2>16</formula2>
    </dataValidation>
    <dataValidation type="whole" allowBlank="1" showInputMessage="1" showErrorMessage="1" error="Non negetive, Non Decimal, and less than 99999999999999" sqref="L121:L122 L337:L338">
      <formula1>0</formula1>
      <formula2>99999999999999</formula2>
    </dataValidation>
    <dataValidation type="list" allowBlank="1" showInputMessage="1" showErrorMessage="1" sqref="P316:Q316 P97:Q97">
      <formula1>"(Select),Yes,No,Not Applicable"</formula1>
    </dataValidation>
    <dataValidation type="whole" allowBlank="1" showErrorMessage="1" errorTitle="Amount deemed to be stcg" error="Amount deemed to be stcg should be   Numeric, Non negative, no decimal, upto 99,999,999,999,999" sqref="Q102">
      <formula1>0</formula1>
      <formula2>99999999999999</formula2>
    </dataValidation>
    <dataValidation type="whole" allowBlank="1" showErrorMessage="1" errorTitle="Amount deemed to be ltcg" error="Numeric, Non negetive, No decimal" sqref="Q321">
      <formula1>0</formula1>
      <formula2>99999999999999</formula2>
    </dataValidation>
    <dataValidation type="whole" allowBlank="1" showErrorMessage="1" errorTitle="Amounts Utilised out of cap gain" error="  Non negative, no decimal, upto 99,999,999,999,999" sqref="K100">
      <formula1>0</formula1>
      <formula2>99999999999999</formula2>
    </dataValidation>
    <dataValidation type="whole" allowBlank="1" showErrorMessage="1" errorTitle="Amounts not Utilised" error="  Non negative, no decimal, upto 99,999,999,999,999" sqref="L100">
      <formula1>0</formula1>
      <formula2>99999999999999</formula2>
    </dataValidation>
    <dataValidation type="list" allowBlank="1" showInputMessage="1" showErrorMessage="1" errorTitle="Year in which Asset acquired" error="Please Select from list" sqref="J319 J100">
      <formula1>"(Select),2019-20,2020-21,2021-22"</formula1>
    </dataValidation>
    <dataValidation type="whole" allowBlank="1" showInputMessage="1" showErrorMessage="1" errorTitle="Amount not used for new asset" error="Numeric, Non Negetive, No Decimal " sqref="L319">
      <formula1>0</formula1>
      <formula2>99999999999999</formula2>
    </dataValidation>
    <dataValidation type="whole" allowBlank="1" showInputMessage="1" showErrorMessage="1" errorTitle="Amount Utilised" error="Numeric, Non Negetive, No Decimal " sqref="K319">
      <formula1>0</formula1>
      <formula2>99999999999999</formula2>
    </dataValidation>
    <dataValidation type="list" allowBlank="1" showInputMessage="1" showErrorMessage="1" error="Select from list" sqref="H391:H398">
      <formula1>"(Select),54,54B,54D,54EC,54EE,54F,54G,54GA,54GB,115F"</formula1>
    </dataValidation>
    <dataValidation type="whole" allowBlank="1" showInputMessage="1" showErrorMessage="1" errorTitle="Amount" error="Amount entered should be Numeric, Non negative, No decimal." sqref="Q65 Q62:Q63 Q77:Q78 Q80">
      <formula1>0</formula1>
      <formula2>99999999999999</formula2>
    </dataValidation>
    <dataValidation type="list" allowBlank="1" showInputMessage="1" showErrorMessage="1" sqref="M329:M330">
      <formula1>"(Select),Yes,No"</formula1>
    </dataValidation>
    <dataValidation type="textLength" operator="lessThanOrEqual" allowBlank="1" showInputMessage="1" showErrorMessage="1" errorTitle="Article of DTAA" error="Article of DTAA cannot exceed 16 characters" sqref="K329:K330">
      <formula1>16</formula1>
    </dataValidation>
    <dataValidation type="whole" allowBlank="1" showInputMessage="1" showErrorMessage="1" errorTitle="Amount of STCG" error="Amount should be numeric, no decimal, upto 14 digits." sqref="H329:H330 H112:H113">
      <formula1>-99999999999999</formula1>
      <formula2>99999999999999</formula2>
    </dataValidation>
    <dataValidation type="decimal" allowBlank="1" showInputMessage="1" showErrorMessage="1" errorTitle="Rate as per I.T. Act" error="Rate as per I.T. Act  should be entered in percentage format." sqref="O329:O330">
      <formula1>0</formula1>
      <formula2>100</formula2>
    </dataValidation>
    <dataValidation type="list" allowBlank="1" showInputMessage="1" showErrorMessage="1" sqref="I112:I113">
      <formula1>IF(Claim115HCheck="NO",STCG_Dropdown2,STCG_Dropdown)</formula1>
    </dataValidation>
    <dataValidation type="textLength" operator="equal" allowBlank="1" showInputMessage="1" showErrorMessage="1" errorTitle="Date" error="Date Should be in DD/MM/YYYY format only, numeric" sqref="H387:H388 H347:H348 H352:H353 H357:H358 H362:H363 H372:H373 H377:H378 H382:H383 H367:H368">
      <formula1>10</formula1>
    </dataValidation>
    <dataValidation type="whole" allowBlank="1" showInputMessage="1" showErrorMessage="1" errorTitle="Amount" error="Amount entered Should be Numeric, Non negative, No decimal upto 14 digits" sqref="I347:I348 I352:I353 I357:I358 I362:I363 I372:I373 I377:I378 I382:I383 I387:I388 I367:I368">
      <formula1>0</formula1>
      <formula2>99999999999999</formula2>
    </dataValidation>
    <dataValidation type="textLength" operator="equal" allowBlank="1" showInputMessage="1" showErrorMessage="1" errorTitle="Date" error="Date Should be in DD/MM/YYYY format only, numeric." sqref="J347:J348 J352:J353 J357:J358 J362:J363 J372:J373 J377:J378 J382:J383 J387:J388 J367:J368">
      <formula1>10</formula1>
    </dataValidation>
    <dataValidation type="whole" allowBlank="1" showInputMessage="1" showErrorMessage="1" errorTitle="Amount Deposited" error="Amount deposited Should be Numeric,Non negative and no decimal upto 14 digits" sqref="K382:K383 K347:K348 K352:K353 K357:K358 K372:K373 K377:K378">
      <formula1>0</formula1>
      <formula2>99999999999999</formula2>
    </dataValidation>
    <dataValidation type="whole" allowBlank="1" showInputMessage="1" showErrorMessage="1" errorTitle="AmountOfDeductionClaimed" error="Amount Of Deduction Claimed Should be Numeric,Non negative and no decimal upto 14 digits" sqref="L347:L348 L352:L353 L357:L358 K362:K363 L372:L373 L377:L378 L382:L383 K387:K388 K367:K368">
      <formula1>0</formula1>
      <formula2>99999999999999</formula2>
    </dataValidation>
    <dataValidation type="whole" allowBlank="1" showInputMessage="1" showErrorMessage="1" errorTitle="Total Amount" error="Total Amount should be Numeric,Non negative,no decimal upto 14 digits" sqref="L349">
      <formula1>0</formula1>
      <formula2>99999999999999</formula2>
    </dataValidation>
    <dataValidation type="list" allowBlank="1" showInputMessage="1" showErrorMessage="1" error="Please select from the list" sqref="I329:I330">
      <formula1>IF(Claim115HCheck="NO",LTCG_DropDown2,LTCG_DropDown)</formula1>
    </dataValidation>
    <dataValidation type="decimal" allowBlank="1" showInputMessage="1" showErrorMessage="1" errorTitle="Rate as per I.T. Act" error="Rate as per I.T. Act should be entered in percentage format." sqref="O112:O113">
      <formula1>0</formula1>
      <formula2>100</formula2>
    </dataValidation>
    <dataValidation type="decimal" allowBlank="1" showInputMessage="1" showErrorMessage="1" errorTitle="Rate as per Treaty" error="Rate as per Treaty  should be entered in percentage format." sqref="L112:L113 L329:L330">
      <formula1>0</formula1>
      <formula2>100</formula2>
    </dataValidation>
    <dataValidation type="list" allowBlank="1" showInputMessage="1" showErrorMessage="1" errorTitle="Country" error="Please select from the list" sqref="J112:J113">
      <formula1>Country_NoIndia</formula1>
    </dataValidation>
    <dataValidation type="list" allowBlank="1" showInputMessage="1" showErrorMessage="1" error="Please select from the list" sqref="M112:M113">
      <formula1>"(Select),Yes,No"</formula1>
    </dataValidation>
    <dataValidation type="textLength" operator="lessThanOrEqual" allowBlank="1" showInputMessage="1" showErrorMessage="1" errorTitle="Section of I.T.Act" error="Section of I.T.Act Should be Alphanumeric,Special Characters upto 10 Characters" sqref="N112:N113 N329:N330">
      <formula1>10</formula1>
    </dataValidation>
    <dataValidation type="list" allowBlank="1" showInputMessage="1" showErrorMessage="1" error="Please select from the list" sqref="J329:J330">
      <formula1>Country_NoIndia</formula1>
    </dataValidation>
    <dataValidation type="list" allowBlank="1" showInputMessage="1" showErrorMessage="1" error="Please select from the list" sqref="H319 H100">
      <formula1>"(Select),2018-19,2019-20"</formula1>
    </dataValidation>
    <dataValidation type="whole" allowBlank="1" showInputMessage="1" showErrorMessage="1" error="  Non negative, no decimal, upto 99,999,999,999,999" sqref="Q275 Q222 H145:I146">
      <formula1>0</formula1>
      <formula2>99999999999999</formula2>
    </dataValidation>
    <dataValidation type="whole" allowBlank="1" showInputMessage="1" showErrorMessage="1" sqref="Q274">
      <formula1>-99999999999999</formula1>
      <formula2>99999999999999</formula2>
    </dataValidation>
    <dataValidation operator="equal" allowBlank="1" showErrorMessage="1" error="Non negative, no decimal upto 14 digits" sqref="S424"/>
    <dataValidation type="whole" allowBlank="1" showInputMessage="1" showErrorMessage="1" error="Amount entered  should be Numeric,   Non negative, no decimal, upto 99,999,999,999,999" sqref="Q109">
      <formula1>-99999999999999</formula1>
      <formula2>99999999999999</formula2>
    </dataValidation>
    <dataValidation type="whole" allowBlank="1" showInputMessage="1" showErrorMessage="1" error="Amount should be numeric ,No Decimal_x000a_" sqref="Q325:Q326">
      <formula1>-99999999999999</formula1>
      <formula2>99999999999999</formula2>
    </dataValidation>
    <dataValidation type="textLength" operator="lessThanOrEqual" allowBlank="1" showInputMessage="1" showErrorMessage="1" errorTitle="Name of Buyer" error="Name of Buyer cannot exceed 125 characters" sqref="H25:I27 H164:I166">
      <formula1>125</formula1>
    </dataValidation>
    <dataValidation type="textLength" operator="equal" allowBlank="1" showInputMessage="1" showErrorMessage="1" errorTitle="PAN of Buyer" error="PAN of Buyer Should be 10 characters" sqref="J164:K166">
      <formula1>10</formula1>
    </dataValidation>
    <dataValidation type="whole" allowBlank="1" showInputMessage="1" showErrorMessage="1" errorTitle="PinCode" error="Pincode cannot be more than 6 digits" sqref="Q25:Q27">
      <formula1>100000</formula1>
      <formula2>999999</formula2>
    </dataValidation>
    <dataValidation type="textLength" operator="lessThanOrEqual" allowBlank="1" showInputMessage="1" showErrorMessage="1" errorTitle="Address of Property" error="Address of Property cannot exceed 250 characters" sqref="O25:O27 O164:O166">
      <formula1>250</formula1>
    </dataValidation>
    <dataValidation type="whole" allowBlank="1" showInputMessage="1" showErrorMessage="1" errorTitle="Amount" error="Amount should be non negative , No decimal, upto 14 digits" sqref="N25:N27 N164:N166">
      <formula1>0</formula1>
      <formula2>99999999999999</formula2>
    </dataValidation>
    <dataValidation type="decimal" allowBlank="1" showInputMessage="1" showErrorMessage="1" errorTitle="Percentage share" error="Percentage share should be between 0.00 to 100.00" sqref="M25:M27 M164:M166">
      <formula1>0.01</formula1>
      <formula2>100</formula2>
    </dataValidation>
    <dataValidation type="whole" allowBlank="1" showErrorMessage="1" error="Enter 10 digit Valid PAN" sqref="P408">
      <formula1>0</formula1>
      <formula2>99999999999999</formula2>
    </dataValidation>
    <dataValidation type="whole" allowBlank="1" showInputMessage="1" showErrorMessage="1" sqref="Q245:Q246 Q248">
      <formula1>0</formula1>
      <formula2>99999999999999</formula2>
    </dataValidation>
    <dataValidation type="textLength" operator="lessThanOrEqual" allowBlank="1" showInputMessage="1" showErrorMessage="1" errorTitle="Article of DTAA" error=" Article of DTAA cannot exceed 16 characters" sqref="K112:K113">
      <formula1>16</formula1>
    </dataValidation>
    <dataValidation type="textLength" operator="equal" allowBlank="1" showInputMessage="1" showErrorMessage="1" errorTitle="PAN of Buyer" error="Please enter valid Aadhaar number" sqref="L164:L166">
      <formula1>12</formula1>
    </dataValidation>
    <dataValidation type="textLength" operator="equal" allowBlank="1" showInputMessage="1" showErrorMessage="1" errorTitle="PAN of Buyer" error="Please enter a valid 12 digit aadhaar in A1f in Schedule CG" sqref="L25:L27">
      <formula1>12</formula1>
    </dataValidation>
    <dataValidation type="whole" allowBlank="1" showInputMessage="1" showErrorMessage="1" error="Amount entered should be Numeric,   Non negative, no decimal, upto 99,999,999,999,999" sqref="Q108">
      <formula1>-99999999999999</formula1>
      <formula2>99999999999999</formula2>
    </dataValidation>
    <dataValidation type="whole" allowBlank="1" showInputMessage="1" showErrorMessage="1" error="Amount entered should be Numeric,  Non negative, no decimal, upto 99,999,999,999,999" sqref="Q106:Q107">
      <formula1>-99999999999999</formula1>
      <formula2>99999999999999</formula2>
    </dataValidation>
    <dataValidation type="textLength" operator="equal" allowBlank="1" showInputMessage="1" showErrorMessage="1" errorTitle="PAN of Buyer" error="Please enter a valid 10 digit PAN in A1f in Schedule CG" sqref="J25:K27">
      <formula1>10</formula1>
    </dataValidation>
    <dataValidation type="list" allowBlank="1" showInputMessage="1" showErrorMessage="1" errorTitle="StateCode" error="Please Select State Code from dropdown" sqref="P164:P166">
      <formula1>State</formula1>
    </dataValidation>
    <dataValidation type="list" allowBlank="1" showInputMessage="1" showErrorMessage="1" errorTitle="StateCode" error="Please select from dropdown " sqref="P25:P27">
      <formula1>State</formula1>
    </dataValidation>
    <dataValidation type="whole" allowBlank="1" showInputMessage="1" showErrorMessage="1" errorTitle="Pincode" error="Pincode cannot begin with a 0 and must be exactly 6 digits" sqref="Q164:Q166">
      <formula1>100000</formula1>
      <formula2>999999</formula2>
    </dataValidation>
    <dataValidation type="list" allowBlank="1" showInputMessage="1" showErrorMessage="1" errorTitle="Country" error="Please select Country from Dropdown" sqref="R25:R27">
      <formula1>Country</formula1>
    </dataValidation>
    <dataValidation type="textLength" operator="lessThanOrEqual" allowBlank="1" showInputMessage="1" showErrorMessage="1" errorTitle="ZipCode" error="Minimum 1 and up to 8 Characters." sqref="S25:S27 S164:S166">
      <formula1>8</formula1>
    </dataValidation>
    <dataValidation type="list" allowBlank="1" showInputMessage="1" showErrorMessage="1" errorTitle="Country" error="Please select Country from dropdown" sqref="R164:R166">
      <formula1>Country</formula1>
    </dataValidation>
    <dataValidation type="textLength" operator="equal" allowBlank="1" showInputMessage="1" showErrorMessage="1" error="Date Should be in DD/MM/YYYY format only, numeric." sqref="Q6:Q7">
      <formula1>10</formula1>
    </dataValidation>
    <dataValidation type="textLength" operator="equal" allowBlank="1" showInputMessage="1" showErrorMessage="1" sqref="Q135:Q136">
      <formula1>10</formula1>
    </dataValidation>
    <dataValidation type="list" allowBlank="1" showInputMessage="1" showErrorMessage="1" error="Select from Dropdown" sqref="J145:K146">
      <formula1>"2001-02,2002-03,2003-04,2004-05,2005-06,2006-07,2007-08,2008-09,2009-10,2010-11,2011-12,2012-13,2013-14,2014-15,2015-16,2016-17,2017-18,2018-19,2019-20,2020-21,2021-22"</formula1>
    </dataValidation>
    <dataValidation type="whole" allowBlank="1" showInputMessage="1" error="  Non negative, no decimal, upto 99,999,999,999,999" sqref="L145:L146">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4347" r:id="rId5" name="Button 11">
              <controlPr defaultSize="0" print="0" autoFill="0" autoPict="0" macro="[0]!Cmd_ValidateSheet_CG_Click">
                <anchor>
                  <from>
                    <xdr:col>20</xdr:col>
                    <xdr:colOff>209550</xdr:colOff>
                    <xdr:row>3</xdr:row>
                    <xdr:rowOff>76200</xdr:rowOff>
                  </from>
                  <to>
                    <xdr:col>20</xdr:col>
                    <xdr:colOff>1581150</xdr:colOff>
                    <xdr:row>4</xdr:row>
                    <xdr:rowOff>57150</xdr:rowOff>
                  </to>
                </anchor>
              </controlPr>
            </control>
          </mc:Choice>
        </mc:AlternateContent>
        <mc:AlternateContent xmlns:mc="http://schemas.openxmlformats.org/markup-compatibility/2006">
          <mc:Choice Requires="x14">
            <control shapeId="14348" r:id="rId6" name="Button 12">
              <controlPr defaultSize="0" print="0" autoFill="0" autoPict="0" macro="[0]!Cmd_CG_Setoff_Click">
                <anchor>
                  <from>
                    <xdr:col>20</xdr:col>
                    <xdr:colOff>209550</xdr:colOff>
                    <xdr:row>9</xdr:row>
                    <xdr:rowOff>190500</xdr:rowOff>
                  </from>
                  <to>
                    <xdr:col>20</xdr:col>
                    <xdr:colOff>1581150</xdr:colOff>
                    <xdr:row>10</xdr:row>
                    <xdr:rowOff>152400</xdr:rowOff>
                  </to>
                </anchor>
              </controlPr>
            </control>
          </mc:Choice>
        </mc:AlternateContent>
        <mc:AlternateContent xmlns:mc="http://schemas.openxmlformats.org/markup-compatibility/2006">
          <mc:Choice Requires="x14">
            <control shapeId="14365" r:id="rId7" name="Button 29">
              <controlPr defaultSize="0" print="0" autoFill="0" autoPict="0" macro="[0]!Prev_Sheet">
                <anchor>
                  <from>
                    <xdr:col>20</xdr:col>
                    <xdr:colOff>209550</xdr:colOff>
                    <xdr:row>6</xdr:row>
                    <xdr:rowOff>19050</xdr:rowOff>
                  </from>
                  <to>
                    <xdr:col>20</xdr:col>
                    <xdr:colOff>1581150</xdr:colOff>
                    <xdr:row>8</xdr:row>
                    <xdr:rowOff>19050</xdr:rowOff>
                  </to>
                </anchor>
              </controlPr>
            </control>
          </mc:Choice>
        </mc:AlternateContent>
        <mc:AlternateContent xmlns:mc="http://schemas.openxmlformats.org/markup-compatibility/2006">
          <mc:Choice Requires="x14">
            <control shapeId="14366" r:id="rId8" name="Button 30">
              <controlPr defaultSize="0" print="0" autoFill="0" autoPict="0" macro="[0]!Img_Home_Click">
                <anchor>
                  <from>
                    <xdr:col>20</xdr:col>
                    <xdr:colOff>209550</xdr:colOff>
                    <xdr:row>1</xdr:row>
                    <xdr:rowOff>114300</xdr:rowOff>
                  </from>
                  <to>
                    <xdr:col>20</xdr:col>
                    <xdr:colOff>1581150</xdr:colOff>
                    <xdr:row>3</xdr:row>
                    <xdr:rowOff>57150</xdr:rowOff>
                  </to>
                </anchor>
              </controlPr>
            </control>
          </mc:Choice>
        </mc:AlternateContent>
        <mc:AlternateContent xmlns:mc="http://schemas.openxmlformats.org/markup-compatibility/2006">
          <mc:Choice Requires="x14">
            <control shapeId="14368" r:id="rId9" name="Button 32">
              <controlPr defaultSize="0" print="0" autoFill="0" autoPict="0" macro="[0]!Next_Sheet">
                <anchor>
                  <from>
                    <xdr:col>20</xdr:col>
                    <xdr:colOff>209550</xdr:colOff>
                    <xdr:row>4</xdr:row>
                    <xdr:rowOff>95250</xdr:rowOff>
                  </from>
                  <to>
                    <xdr:col>20</xdr:col>
                    <xdr:colOff>1581150</xdr:colOff>
                    <xdr:row>5</xdr:row>
                    <xdr:rowOff>171450</xdr:rowOff>
                  </to>
                </anchor>
              </controlPr>
            </control>
          </mc:Choice>
        </mc:AlternateContent>
        <mc:AlternateContent xmlns:mc="http://schemas.openxmlformats.org/markup-compatibility/2006">
          <mc:Choice Requires="x14">
            <control shapeId="14369" r:id="rId10" name="Button 33">
              <controlPr defaultSize="0" print="0" autoFill="0" autoPict="0" macro="[0]!Instruction_Sheet">
                <anchor>
                  <from>
                    <xdr:col>20</xdr:col>
                    <xdr:colOff>209550</xdr:colOff>
                    <xdr:row>13</xdr:row>
                    <xdr:rowOff>76200</xdr:rowOff>
                  </from>
                  <to>
                    <xdr:col>20</xdr:col>
                    <xdr:colOff>1581150</xdr:colOff>
                    <xdr:row>14</xdr:row>
                    <xdr:rowOff>57150</xdr:rowOff>
                  </to>
                </anchor>
              </controlPr>
            </control>
          </mc:Choice>
        </mc:AlternateContent>
        <mc:AlternateContent xmlns:mc="http://schemas.openxmlformats.org/markup-compatibility/2006">
          <mc:Choice Requires="x14">
            <control shapeId="14370" r:id="rId11" name="Button 34">
              <controlPr defaultSize="0" print="0" autoFill="0" autoPict="0" macro="[0]!WorksheetsPrint">
                <anchor>
                  <from>
                    <xdr:col>20</xdr:col>
                    <xdr:colOff>209550</xdr:colOff>
                    <xdr:row>11</xdr:row>
                    <xdr:rowOff>28575</xdr:rowOff>
                  </from>
                  <to>
                    <xdr:col>20</xdr:col>
                    <xdr:colOff>1581150</xdr:colOff>
                    <xdr:row>13</xdr:row>
                    <xdr:rowOff>28575</xdr:rowOff>
                  </to>
                </anchor>
              </controlPr>
            </control>
          </mc:Choice>
        </mc:AlternateContent>
        <mc:AlternateContent xmlns:mc="http://schemas.openxmlformats.org/markup-compatibility/2006">
          <mc:Choice Requires="x14">
            <control shapeId="14371" r:id="rId12" name="Button 35">
              <controlPr defaultSize="0" print="0" autoFill="0" autoPict="0" macro="[0]!GenerateJSON.GenerateJSON">
                <anchor>
                  <from>
                    <xdr:col>20</xdr:col>
                    <xdr:colOff>209550</xdr:colOff>
                    <xdr:row>8</xdr:row>
                    <xdr:rowOff>38100</xdr:rowOff>
                  </from>
                  <to>
                    <xdr:col>20</xdr:col>
                    <xdr:colOff>1581150</xdr:colOff>
                    <xdr:row>9</xdr:row>
                    <xdr:rowOff>152400</xdr:rowOff>
                  </to>
                </anchor>
              </controlPr>
            </control>
          </mc:Choice>
        </mc:AlternateContent>
        <mc:AlternateContent xmlns:mc="http://schemas.openxmlformats.org/markup-compatibility/2006">
          <mc:Choice Requires="x14">
            <control shapeId="14423" r:id="rId13" name="Button 87">
              <controlPr defaultSize="0" print="0" autoFill="0" autoPict="0" macro="[0]!AddRowsSchCG_STCGA7">
                <anchor moveWithCells="1">
                  <from>
                    <xdr:col>6</xdr:col>
                    <xdr:colOff>76200</xdr:colOff>
                    <xdr:row>100</xdr:row>
                    <xdr:rowOff>76200</xdr:rowOff>
                  </from>
                  <to>
                    <xdr:col>7</xdr:col>
                    <xdr:colOff>876300</xdr:colOff>
                    <xdr:row>101</xdr:row>
                    <xdr:rowOff>19050</xdr:rowOff>
                  </to>
                </anchor>
              </controlPr>
            </control>
          </mc:Choice>
        </mc:AlternateContent>
        <mc:AlternateContent xmlns:mc="http://schemas.openxmlformats.org/markup-compatibility/2006">
          <mc:Choice Requires="x14">
            <control shapeId="14425" r:id="rId14" name="Button 89">
              <controlPr defaultSize="0" print="0" autoFill="0" autoPict="0" macro="[0]!AddRowsCG_STCG">
                <anchor moveWithCells="1">
                  <from>
                    <xdr:col>6</xdr:col>
                    <xdr:colOff>76200</xdr:colOff>
                    <xdr:row>113</xdr:row>
                    <xdr:rowOff>76200</xdr:rowOff>
                  </from>
                  <to>
                    <xdr:col>7</xdr:col>
                    <xdr:colOff>876300</xdr:colOff>
                    <xdr:row>115</xdr:row>
                    <xdr:rowOff>57150</xdr:rowOff>
                  </to>
                </anchor>
              </controlPr>
            </control>
          </mc:Choice>
        </mc:AlternateContent>
        <mc:AlternateContent xmlns:mc="http://schemas.openxmlformats.org/markup-compatibility/2006">
          <mc:Choice Requires="x14">
            <control shapeId="14495" r:id="rId15" name="Button 159">
              <controlPr defaultSize="0" print="0" autoFill="0" autoPict="0" macro="[0]!AddRowsSchCG_LTCGB8">
                <anchor moveWithCells="1">
                  <from>
                    <xdr:col>6</xdr:col>
                    <xdr:colOff>76200</xdr:colOff>
                    <xdr:row>319</xdr:row>
                    <xdr:rowOff>76200</xdr:rowOff>
                  </from>
                  <to>
                    <xdr:col>7</xdr:col>
                    <xdr:colOff>876300</xdr:colOff>
                    <xdr:row>320</xdr:row>
                    <xdr:rowOff>0</xdr:rowOff>
                  </to>
                </anchor>
              </controlPr>
            </control>
          </mc:Choice>
        </mc:AlternateContent>
        <mc:AlternateContent xmlns:mc="http://schemas.openxmlformats.org/markup-compatibility/2006">
          <mc:Choice Requires="x14">
            <control shapeId="14496" r:id="rId16" name="Button 160">
              <controlPr defaultSize="0" print="0" autoFill="0" autoPict="0" macro="[0]!AddRowsCG_LTCG">
                <anchor moveWithCells="1">
                  <from>
                    <xdr:col>6</xdr:col>
                    <xdr:colOff>76200</xdr:colOff>
                    <xdr:row>330</xdr:row>
                    <xdr:rowOff>76200</xdr:rowOff>
                  </from>
                  <to>
                    <xdr:col>7</xdr:col>
                    <xdr:colOff>876300</xdr:colOff>
                    <xdr:row>332</xdr:row>
                    <xdr:rowOff>0</xdr:rowOff>
                  </to>
                </anchor>
              </controlPr>
            </control>
          </mc:Choice>
        </mc:AlternateContent>
        <mc:AlternateContent xmlns:mc="http://schemas.openxmlformats.org/markup-compatibility/2006">
          <mc:Choice Requires="x14">
            <control shapeId="14603" r:id="rId17" name="Button 267">
              <controlPr defaultSize="0" print="0" autoFill="0" autoPict="0" macro="[0]!AddRowsCG_Deduction54">
                <anchor moveWithCells="1" sizeWithCells="1">
                  <from>
                    <xdr:col>6</xdr:col>
                    <xdr:colOff>38100</xdr:colOff>
                    <xdr:row>348</xdr:row>
                    <xdr:rowOff>38100</xdr:rowOff>
                  </from>
                  <to>
                    <xdr:col>8</xdr:col>
                    <xdr:colOff>19050</xdr:colOff>
                    <xdr:row>348</xdr:row>
                    <xdr:rowOff>323850</xdr:rowOff>
                  </to>
                </anchor>
              </controlPr>
            </control>
          </mc:Choice>
        </mc:AlternateContent>
        <mc:AlternateContent xmlns:mc="http://schemas.openxmlformats.org/markup-compatibility/2006">
          <mc:Choice Requires="x14">
            <control shapeId="14605" r:id="rId18" name="Button 269">
              <controlPr defaultSize="0" print="0" autoFill="0" autoPict="0" macro="[0]!AddRowsCG_Deduction54B">
                <anchor moveWithCells="1" sizeWithCells="1">
                  <from>
                    <xdr:col>6</xdr:col>
                    <xdr:colOff>38100</xdr:colOff>
                    <xdr:row>353</xdr:row>
                    <xdr:rowOff>38100</xdr:rowOff>
                  </from>
                  <to>
                    <xdr:col>8</xdr:col>
                    <xdr:colOff>19050</xdr:colOff>
                    <xdr:row>353</xdr:row>
                    <xdr:rowOff>323850</xdr:rowOff>
                  </to>
                </anchor>
              </controlPr>
            </control>
          </mc:Choice>
        </mc:AlternateContent>
        <mc:AlternateContent xmlns:mc="http://schemas.openxmlformats.org/markup-compatibility/2006">
          <mc:Choice Requires="x14">
            <control shapeId="14606" r:id="rId19" name="Button 270">
              <controlPr defaultSize="0" print="0" autoFill="0" autoPict="0" macro="[0]!AddRowsCG_Deduction54D">
                <anchor moveWithCells="1" sizeWithCells="1">
                  <from>
                    <xdr:col>6</xdr:col>
                    <xdr:colOff>38100</xdr:colOff>
                    <xdr:row>358</xdr:row>
                    <xdr:rowOff>38100</xdr:rowOff>
                  </from>
                  <to>
                    <xdr:col>8</xdr:col>
                    <xdr:colOff>19050</xdr:colOff>
                    <xdr:row>358</xdr:row>
                    <xdr:rowOff>323850</xdr:rowOff>
                  </to>
                </anchor>
              </controlPr>
            </control>
          </mc:Choice>
        </mc:AlternateContent>
        <mc:AlternateContent xmlns:mc="http://schemas.openxmlformats.org/markup-compatibility/2006">
          <mc:Choice Requires="x14">
            <control shapeId="14607" r:id="rId20" name="Button 271">
              <controlPr defaultSize="0" print="0" autoFill="0" autoPict="0" macro="[0]!AddRowsCG_Deduction54EC">
                <anchor moveWithCells="1" sizeWithCells="1">
                  <from>
                    <xdr:col>6</xdr:col>
                    <xdr:colOff>38100</xdr:colOff>
                    <xdr:row>363</xdr:row>
                    <xdr:rowOff>38100</xdr:rowOff>
                  </from>
                  <to>
                    <xdr:col>8</xdr:col>
                    <xdr:colOff>19050</xdr:colOff>
                    <xdr:row>363</xdr:row>
                    <xdr:rowOff>323850</xdr:rowOff>
                  </to>
                </anchor>
              </controlPr>
            </control>
          </mc:Choice>
        </mc:AlternateContent>
        <mc:AlternateContent xmlns:mc="http://schemas.openxmlformats.org/markup-compatibility/2006">
          <mc:Choice Requires="x14">
            <control shapeId="14608" r:id="rId21" name="Button 272">
              <controlPr defaultSize="0" print="0" autoFill="0" autoPict="0" macro="[0]!AddRowsCG_Deduction54F">
                <anchor moveWithCells="1" sizeWithCells="1">
                  <from>
                    <xdr:col>6</xdr:col>
                    <xdr:colOff>38100</xdr:colOff>
                    <xdr:row>373</xdr:row>
                    <xdr:rowOff>38100</xdr:rowOff>
                  </from>
                  <to>
                    <xdr:col>8</xdr:col>
                    <xdr:colOff>19050</xdr:colOff>
                    <xdr:row>373</xdr:row>
                    <xdr:rowOff>323850</xdr:rowOff>
                  </to>
                </anchor>
              </controlPr>
            </control>
          </mc:Choice>
        </mc:AlternateContent>
        <mc:AlternateContent xmlns:mc="http://schemas.openxmlformats.org/markup-compatibility/2006">
          <mc:Choice Requires="x14">
            <control shapeId="14609" r:id="rId22" name="Button 273">
              <controlPr defaultSize="0" print="0" autoFill="0" autoPict="0" macro="[0]!AddRowsCG_Deduction54G">
                <anchor moveWithCells="1" sizeWithCells="1">
                  <from>
                    <xdr:col>6</xdr:col>
                    <xdr:colOff>38100</xdr:colOff>
                    <xdr:row>378</xdr:row>
                    <xdr:rowOff>38100</xdr:rowOff>
                  </from>
                  <to>
                    <xdr:col>8</xdr:col>
                    <xdr:colOff>19050</xdr:colOff>
                    <xdr:row>378</xdr:row>
                    <xdr:rowOff>323850</xdr:rowOff>
                  </to>
                </anchor>
              </controlPr>
            </control>
          </mc:Choice>
        </mc:AlternateContent>
        <mc:AlternateContent xmlns:mc="http://schemas.openxmlformats.org/markup-compatibility/2006">
          <mc:Choice Requires="x14">
            <control shapeId="14610" r:id="rId23" name="Button 274">
              <controlPr defaultSize="0" print="0" autoFill="0" autoPict="0" macro="[0]!AddRowsCG_Deduction54GA">
                <anchor moveWithCells="1" sizeWithCells="1">
                  <from>
                    <xdr:col>6</xdr:col>
                    <xdr:colOff>38100</xdr:colOff>
                    <xdr:row>383</xdr:row>
                    <xdr:rowOff>38100</xdr:rowOff>
                  </from>
                  <to>
                    <xdr:col>8</xdr:col>
                    <xdr:colOff>19050</xdr:colOff>
                    <xdr:row>383</xdr:row>
                    <xdr:rowOff>323850</xdr:rowOff>
                  </to>
                </anchor>
              </controlPr>
            </control>
          </mc:Choice>
        </mc:AlternateContent>
        <mc:AlternateContent xmlns:mc="http://schemas.openxmlformats.org/markup-compatibility/2006">
          <mc:Choice Requires="x14">
            <control shapeId="14611" r:id="rId24" name="Button 275">
              <controlPr defaultSize="0" print="0" autoFill="0" autoPict="0" macro="[0]!AddRowsCG_Deduction54115F">
                <anchor moveWithCells="1" sizeWithCells="1">
                  <from>
                    <xdr:col>6</xdr:col>
                    <xdr:colOff>38100</xdr:colOff>
                    <xdr:row>388</xdr:row>
                    <xdr:rowOff>38100</xdr:rowOff>
                  </from>
                  <to>
                    <xdr:col>8</xdr:col>
                    <xdr:colOff>19050</xdr:colOff>
                    <xdr:row>388</xdr:row>
                    <xdr:rowOff>323850</xdr:rowOff>
                  </to>
                </anchor>
              </controlPr>
            </control>
          </mc:Choice>
        </mc:AlternateContent>
        <mc:AlternateContent xmlns:mc="http://schemas.openxmlformats.org/markup-compatibility/2006">
          <mc:Choice Requires="x14">
            <control shapeId="14738" r:id="rId25" name="Button 402">
              <controlPr defaultSize="0" print="0" autoFill="0" autoPict="0" macro="[0]!AddBlockCall_STCGrptfrm">
                <anchor moveWithCells="1">
                  <from>
                    <xdr:col>5</xdr:col>
                    <xdr:colOff>38100</xdr:colOff>
                    <xdr:row>28</xdr:row>
                    <xdr:rowOff>38100</xdr:rowOff>
                  </from>
                  <to>
                    <xdr:col>7</xdr:col>
                    <xdr:colOff>552450</xdr:colOff>
                    <xdr:row>28</xdr:row>
                    <xdr:rowOff>323850</xdr:rowOff>
                  </to>
                </anchor>
              </controlPr>
            </control>
          </mc:Choice>
        </mc:AlternateContent>
        <mc:AlternateContent xmlns:mc="http://schemas.openxmlformats.org/markup-compatibility/2006">
          <mc:Choice Requires="x14">
            <control shapeId="14739" r:id="rId26" name="Button 403">
              <controlPr defaultSize="0" print="0" autoFill="0" autoPict="0" macro="[0]!AddRowSTCGA1_click">
                <anchor moveWithCells="1">
                  <from>
                    <xdr:col>7</xdr:col>
                    <xdr:colOff>1038225</xdr:colOff>
                    <xdr:row>28</xdr:row>
                    <xdr:rowOff>38100</xdr:rowOff>
                  </from>
                  <to>
                    <xdr:col>8</xdr:col>
                    <xdr:colOff>1304925</xdr:colOff>
                    <xdr:row>28</xdr:row>
                    <xdr:rowOff>323850</xdr:rowOff>
                  </to>
                </anchor>
              </controlPr>
            </control>
          </mc:Choice>
        </mc:AlternateContent>
        <mc:AlternateContent xmlns:mc="http://schemas.openxmlformats.org/markup-compatibility/2006">
          <mc:Choice Requires="x14">
            <control shapeId="14741" r:id="rId27" name="Button 405">
              <controlPr defaultSize="0" print="0" autoFill="0" autoPict="0" macro="[0]!AddBlockCall_LTCGrptfrm">
                <anchor moveWithCells="1">
                  <from>
                    <xdr:col>5</xdr:col>
                    <xdr:colOff>38100</xdr:colOff>
                    <xdr:row>167</xdr:row>
                    <xdr:rowOff>38100</xdr:rowOff>
                  </from>
                  <to>
                    <xdr:col>7</xdr:col>
                    <xdr:colOff>552450</xdr:colOff>
                    <xdr:row>167</xdr:row>
                    <xdr:rowOff>323850</xdr:rowOff>
                  </to>
                </anchor>
              </controlPr>
            </control>
          </mc:Choice>
        </mc:AlternateContent>
        <mc:AlternateContent xmlns:mc="http://schemas.openxmlformats.org/markup-compatibility/2006">
          <mc:Choice Requires="x14">
            <control shapeId="14742" r:id="rId28" name="Button 406">
              <controlPr defaultSize="0" print="0" autoFill="0" autoPict="0" macro="[0]!AddRowLTCGB1_click">
                <anchor moveWithCells="1">
                  <from>
                    <xdr:col>7</xdr:col>
                    <xdr:colOff>1038225</xdr:colOff>
                    <xdr:row>167</xdr:row>
                    <xdr:rowOff>38100</xdr:rowOff>
                  </from>
                  <to>
                    <xdr:col>8</xdr:col>
                    <xdr:colOff>1304925</xdr:colOff>
                    <xdr:row>167</xdr:row>
                    <xdr:rowOff>323850</xdr:rowOff>
                  </to>
                </anchor>
              </controlPr>
            </control>
          </mc:Choice>
        </mc:AlternateContent>
        <mc:AlternateContent xmlns:mc="http://schemas.openxmlformats.org/markup-compatibility/2006">
          <mc:Choice Requires="x14">
            <control shapeId="14824" r:id="rId29" name="Button 488">
              <controlPr defaultSize="0" print="0" autoFill="0" autoPict="0" macro="[0]!AddRowLTCGB12_click">
                <anchor moveWithCells="1">
                  <from>
                    <xdr:col>9</xdr:col>
                    <xdr:colOff>371475</xdr:colOff>
                    <xdr:row>167</xdr:row>
                    <xdr:rowOff>57150</xdr:rowOff>
                  </from>
                  <to>
                    <xdr:col>10</xdr:col>
                    <xdr:colOff>514350</xdr:colOff>
                    <xdr:row>167</xdr:row>
                    <xdr:rowOff>323850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IV14"/>
  <sheetViews>
    <sheetView showGridLines="0" showRowColHeaders="0" zoomScaleNormal="100" workbookViewId="0"/>
  </sheetViews>
  <sheetFormatPr defaultColWidth="0" defaultRowHeight="15" customHeight="1" zeroHeight="1" x14ac:dyDescent="0.25"/>
  <cols>
    <col min="1" max="1" width="2.42578125" style="1769" customWidth="1"/>
    <col min="2" max="2" width="2.28515625" style="1769" customWidth="1"/>
    <col min="3" max="3" width="2.5703125" style="1769" customWidth="1"/>
    <col min="4" max="4" width="11.42578125" style="1769" customWidth="1"/>
    <col min="5" max="5" width="20" style="2132" customWidth="1"/>
    <col min="6" max="6" width="22.140625" style="1769" customWidth="1"/>
    <col min="7" max="7" width="28.7109375" style="1769" customWidth="1"/>
    <col min="8" max="9" width="32.7109375" style="1769" customWidth="1"/>
    <col min="10" max="10" width="34" style="1769" customWidth="1"/>
    <col min="11" max="11" width="33.85546875" style="1769" customWidth="1"/>
    <col min="12" max="12" width="32.7109375" style="1769" customWidth="1"/>
    <col min="13" max="13" width="34.140625" style="1769" customWidth="1"/>
    <col min="14" max="14" width="32.7109375" style="1769" customWidth="1"/>
    <col min="15" max="15" width="38.85546875" style="1769" customWidth="1"/>
    <col min="16" max="16" width="24.28515625" style="1769" hidden="1" customWidth="1"/>
    <col min="17" max="17" width="24.85546875" style="1769" hidden="1" customWidth="1"/>
    <col min="18" max="18" width="32.7109375" style="1769" customWidth="1"/>
    <col min="19" max="20" width="29.85546875" style="1769" customWidth="1"/>
    <col min="21" max="21" width="3" style="1769" customWidth="1"/>
    <col min="22" max="22" width="36" style="1769" customWidth="1"/>
    <col min="23" max="23" width="9.140625" style="1769" hidden="1" customWidth="1"/>
    <col min="24" max="24" width="10.85546875" style="1769" hidden="1" customWidth="1"/>
    <col min="25" max="31" width="9.140625" style="1769" hidden="1" customWidth="1"/>
    <col min="32" max="32" width="47.42578125" style="1769" hidden="1" customWidth="1"/>
    <col min="33" max="256" width="9.140625" style="1769" hidden="1" customWidth="1"/>
    <col min="257" max="16384" width="2" style="1769" hidden="1"/>
  </cols>
  <sheetData>
    <row r="1" spans="2:32" ht="15.75" thickBot="1" x14ac:dyDescent="0.3"/>
    <row r="2" spans="2:32" x14ac:dyDescent="0.25">
      <c r="B2" s="1251"/>
      <c r="C2" s="1250"/>
      <c r="D2" s="1250"/>
      <c r="E2" s="1250"/>
      <c r="F2" s="1250"/>
      <c r="G2" s="1250"/>
      <c r="H2" s="1250"/>
      <c r="I2" s="1250"/>
      <c r="J2" s="1250"/>
      <c r="K2" s="1250"/>
      <c r="L2" s="1250"/>
      <c r="M2" s="1250"/>
      <c r="N2" s="1250"/>
      <c r="O2" s="1250"/>
      <c r="P2" s="1250"/>
      <c r="Q2" s="1250"/>
      <c r="R2" s="1250"/>
      <c r="S2" s="1250"/>
      <c r="T2" s="1250"/>
      <c r="U2" s="1249"/>
    </row>
    <row r="3" spans="2:32" x14ac:dyDescent="0.25">
      <c r="B3" s="1248"/>
      <c r="C3" s="3650" t="s">
        <v>9801</v>
      </c>
      <c r="D3" s="3651"/>
      <c r="E3" s="3192" t="s">
        <v>9800</v>
      </c>
      <c r="F3" s="3192"/>
      <c r="G3" s="3192"/>
      <c r="H3" s="3192"/>
      <c r="I3" s="3192"/>
      <c r="J3" s="3192"/>
      <c r="K3" s="3192"/>
      <c r="L3" s="3192"/>
      <c r="M3" s="3192"/>
      <c r="N3" s="3192"/>
      <c r="O3" s="3192"/>
      <c r="P3" s="3192"/>
      <c r="Q3" s="3192"/>
      <c r="R3" s="3192"/>
      <c r="S3" s="3192"/>
      <c r="T3" s="3657"/>
      <c r="U3" s="1247"/>
    </row>
    <row r="4" spans="2:32" ht="76.5" x14ac:dyDescent="0.25">
      <c r="B4" s="1248"/>
      <c r="C4" s="241"/>
      <c r="D4" s="314" t="s">
        <v>7563</v>
      </c>
      <c r="E4" s="2133" t="s">
        <v>12763</v>
      </c>
      <c r="F4" s="314" t="s">
        <v>11847</v>
      </c>
      <c r="G4" s="314" t="s">
        <v>9802</v>
      </c>
      <c r="H4" s="314" t="s">
        <v>9803</v>
      </c>
      <c r="I4" s="314" t="s">
        <v>9804</v>
      </c>
      <c r="J4" s="314" t="s">
        <v>12766</v>
      </c>
      <c r="K4" s="314" t="s">
        <v>11969</v>
      </c>
      <c r="L4" s="314" t="s">
        <v>9230</v>
      </c>
      <c r="M4" s="314" t="s">
        <v>12764</v>
      </c>
      <c r="N4" s="314" t="s">
        <v>9805</v>
      </c>
      <c r="O4" s="314" t="s">
        <v>12765</v>
      </c>
      <c r="P4" s="314" t="s">
        <v>11825</v>
      </c>
      <c r="Q4" s="314" t="s">
        <v>11826</v>
      </c>
      <c r="R4" s="314" t="s">
        <v>900</v>
      </c>
      <c r="S4" s="314" t="s">
        <v>11970</v>
      </c>
      <c r="T4" s="314" t="s">
        <v>11971</v>
      </c>
      <c r="U4" s="1247"/>
    </row>
    <row r="5" spans="2:32" x14ac:dyDescent="0.25">
      <c r="B5" s="1248"/>
      <c r="C5" s="839"/>
      <c r="D5" s="314" t="s">
        <v>8755</v>
      </c>
      <c r="E5" s="2133" t="s">
        <v>12762</v>
      </c>
      <c r="F5" s="314" t="s">
        <v>8756</v>
      </c>
      <c r="G5" s="314" t="s">
        <v>8757</v>
      </c>
      <c r="H5" s="314" t="s">
        <v>8758</v>
      </c>
      <c r="I5" s="314" t="s">
        <v>9806</v>
      </c>
      <c r="J5" s="314" t="s">
        <v>9807</v>
      </c>
      <c r="K5" s="314" t="s">
        <v>9808</v>
      </c>
      <c r="L5" s="314" t="s">
        <v>9809</v>
      </c>
      <c r="M5" s="314" t="s">
        <v>9810</v>
      </c>
      <c r="N5" s="314" t="s">
        <v>9811</v>
      </c>
      <c r="O5" s="314" t="s">
        <v>9812</v>
      </c>
      <c r="P5" s="314" t="s">
        <v>9813</v>
      </c>
      <c r="Q5" s="314" t="s">
        <v>9582</v>
      </c>
      <c r="R5" s="314" t="s">
        <v>9813</v>
      </c>
      <c r="S5" s="314" t="s">
        <v>9582</v>
      </c>
      <c r="T5" s="314" t="s">
        <v>9814</v>
      </c>
      <c r="U5" s="1247"/>
    </row>
    <row r="6" spans="2:32" x14ac:dyDescent="0.25">
      <c r="B6" s="1248"/>
      <c r="C6" s="839"/>
      <c r="D6" s="1252">
        <v>1</v>
      </c>
      <c r="E6" s="1656" t="s">
        <v>12</v>
      </c>
      <c r="F6" s="2135"/>
      <c r="G6" s="2096"/>
      <c r="H6" s="2136"/>
      <c r="I6" s="2136"/>
      <c r="J6" s="2146">
        <f>ROUND(MAX(0,ROUND(H6,4)*ROUND(I6,4)),0)</f>
        <v>0</v>
      </c>
      <c r="K6" s="2145">
        <f>ROUND(MAX(0,ROUND(L6,4),ROUND(M6,0)),0)</f>
        <v>0</v>
      </c>
      <c r="L6" s="2138"/>
      <c r="M6" s="2145">
        <f>ROUND(MAX(0,MIN(ROUND(O6,0),ROUND(J6,0))),0)</f>
        <v>0</v>
      </c>
      <c r="N6" s="2136"/>
      <c r="O6" s="2145">
        <f>ROUND(MAX(0,ROUND(H6,4)*ROUND(N6,4)),0)</f>
        <v>0</v>
      </c>
      <c r="P6" s="2137">
        <v>0</v>
      </c>
      <c r="Q6" s="2139"/>
      <c r="R6" s="2139"/>
      <c r="S6" s="2145">
        <f>ROUND(MAX(0,SUM(ROUND(K6,0),ROUND(R6,4))),0)</f>
        <v>0</v>
      </c>
      <c r="T6" s="2145">
        <f>ROUND(ROUND(J6,0)-ROUND(S6,0),0)</f>
        <v>0</v>
      </c>
      <c r="U6" s="1247"/>
      <c r="AF6" s="1788" t="b">
        <f>IF(ISERROR(IF(F6&lt;&gt;"",VLOOKUP(F6,ISIN112A,2,FALSE))),"",IF(F6&lt;&gt;"",VLOOKUP(F6,ISIN112A,2,FALSE)))</f>
        <v>0</v>
      </c>
    </row>
    <row r="7" spans="2:32" x14ac:dyDescent="0.25">
      <c r="B7" s="1248"/>
      <c r="C7" s="839"/>
      <c r="D7" s="1252">
        <f>D6+1</f>
        <v>2</v>
      </c>
      <c r="E7" s="1656" t="s">
        <v>12</v>
      </c>
      <c r="F7" s="2135"/>
      <c r="G7" s="2096"/>
      <c r="H7" s="2136"/>
      <c r="I7" s="2136"/>
      <c r="J7" s="2146">
        <f>ROUND(MAX(0,ROUND(H7,4)*ROUND(I7,4)),0)</f>
        <v>0</v>
      </c>
      <c r="K7" s="2147">
        <f>ROUND(MAX(0,ROUND(L7,4),ROUND(M7,0)),0)</f>
        <v>0</v>
      </c>
      <c r="L7" s="2138"/>
      <c r="M7" s="2147">
        <f>ROUND(MAX(0,MIN(ROUND(O7,0),ROUND(J7,0))),0)</f>
        <v>0</v>
      </c>
      <c r="N7" s="2136"/>
      <c r="O7" s="2147">
        <f>ROUND(MAX(0,ROUND(H7,4)*ROUND(N7,4)),0)</f>
        <v>0</v>
      </c>
      <c r="P7" s="2137">
        <v>0</v>
      </c>
      <c r="Q7" s="2139"/>
      <c r="R7" s="2139"/>
      <c r="S7" s="2147">
        <f>ROUND(MAX(0,SUM(ROUND(K7,0),ROUND(R7,4))),0)</f>
        <v>0</v>
      </c>
      <c r="T7" s="2147">
        <f>ROUND(ROUND(J7,0)-ROUND(S7,0),0)</f>
        <v>0</v>
      </c>
      <c r="U7" s="1247"/>
      <c r="AF7" s="1788" t="b">
        <f>IF(ISERROR(IF(F7&lt;&gt;"",VLOOKUP(F7,ISIN112A,2,FALSE))),"",IF(F7&lt;&gt;"",VLOOKUP(F7,ISIN112A,2,FALSE)))</f>
        <v>0</v>
      </c>
    </row>
    <row r="8" spans="2:32" x14ac:dyDescent="0.25">
      <c r="B8" s="1248"/>
      <c r="C8" s="839"/>
      <c r="D8" s="1252">
        <f>D7+1</f>
        <v>3</v>
      </c>
      <c r="E8" s="1656" t="s">
        <v>12</v>
      </c>
      <c r="F8" s="1975"/>
      <c r="G8" s="1975"/>
      <c r="H8" s="2136"/>
      <c r="I8" s="2138"/>
      <c r="J8" s="2146">
        <f>ROUND(MAX(0,ROUND(H8,4)*ROUND(I8,4)),0)</f>
        <v>0</v>
      </c>
      <c r="K8" s="2147">
        <f>ROUND(MAX(0,ROUND(L8,4),ROUND(M8,0)),0)</f>
        <v>0</v>
      </c>
      <c r="L8" s="2138"/>
      <c r="M8" s="2147">
        <f>ROUND(MAX(0,MIN(ROUND(O8,0),ROUND(J8,0))),0)</f>
        <v>0</v>
      </c>
      <c r="N8" s="2136"/>
      <c r="O8" s="2147">
        <f>ROUND(MAX(0,ROUND(H8,4)*ROUND(N8,4)),0)</f>
        <v>0</v>
      </c>
      <c r="P8" s="2137">
        <v>0</v>
      </c>
      <c r="Q8" s="2139"/>
      <c r="R8" s="2139"/>
      <c r="S8" s="2147">
        <f>ROUND(MAX(0,SUM(ROUND(K8,0),ROUND(R8,4))),0)</f>
        <v>0</v>
      </c>
      <c r="T8" s="2147">
        <f>ROUND(ROUND(J8,0)-ROUND(S8,0),0)</f>
        <v>0</v>
      </c>
      <c r="U8" s="1247"/>
      <c r="AF8" s="1788" t="b">
        <f>IF(ISERROR(IF(F8&lt;&gt;"",VLOOKUP(F8,ISIN112A,2,FALSE))),"",IF(F8&lt;&gt;"",VLOOKUP(F8,ISIN112A,2,FALSE)))</f>
        <v>0</v>
      </c>
    </row>
    <row r="9" spans="2:32" x14ac:dyDescent="0.25">
      <c r="B9" s="1248"/>
      <c r="C9" s="839"/>
      <c r="D9" s="1252">
        <f>D8+1</f>
        <v>4</v>
      </c>
      <c r="E9" s="1656" t="s">
        <v>12</v>
      </c>
      <c r="F9" s="2096"/>
      <c r="G9" s="2096"/>
      <c r="H9" s="2136"/>
      <c r="I9" s="2136"/>
      <c r="J9" s="2146">
        <f>ROUND(MAX(0,ROUND(H9,4)*ROUND(I9,4)),0)</f>
        <v>0</v>
      </c>
      <c r="K9" s="2147">
        <f>ROUND(MAX(0,ROUND(L9,4),ROUND(M9,0)),0)</f>
        <v>0</v>
      </c>
      <c r="L9" s="2138"/>
      <c r="M9" s="2147">
        <f>ROUND(MAX(0,MIN(ROUND(O9,0),ROUND(J9,0))),0)</f>
        <v>0</v>
      </c>
      <c r="N9" s="2136"/>
      <c r="O9" s="2147">
        <f>ROUND(MAX(0,ROUND(H9,4)*ROUND(N9,4)),0)</f>
        <v>0</v>
      </c>
      <c r="P9" s="2137">
        <v>0</v>
      </c>
      <c r="Q9" s="2139"/>
      <c r="R9" s="2139"/>
      <c r="S9" s="2147">
        <f>ROUND(MAX(0,SUM(ROUND(K9,0),ROUND(R9,4))),0)</f>
        <v>0</v>
      </c>
      <c r="T9" s="2147">
        <f>ROUND(ROUND(J9,0)-ROUND(S9,0),0)</f>
        <v>0</v>
      </c>
      <c r="U9" s="1247"/>
      <c r="AF9" s="1788" t="b">
        <f>IF(ISERROR(IF(F9&lt;&gt;"",VLOOKUP(F9,ISIN112A,2,FALSE))),"",IF(F9&lt;&gt;"",VLOOKUP(F9,ISIN112A,2,FALSE)))</f>
        <v>0</v>
      </c>
    </row>
    <row r="10" spans="2:32" x14ac:dyDescent="0.25">
      <c r="B10" s="1248"/>
      <c r="C10" s="839"/>
      <c r="D10" s="1827"/>
      <c r="E10" s="1827"/>
      <c r="F10" s="1827"/>
      <c r="G10" s="1827"/>
      <c r="H10" s="1827"/>
      <c r="I10" s="1827"/>
      <c r="J10" s="1827"/>
      <c r="K10" s="1827"/>
      <c r="L10" s="1827"/>
      <c r="M10" s="1827"/>
      <c r="N10" s="1827"/>
      <c r="O10" s="1827"/>
      <c r="P10" s="1827"/>
      <c r="Q10" s="1827"/>
      <c r="R10" s="1827"/>
      <c r="S10" s="1827"/>
      <c r="T10" s="1828"/>
      <c r="U10" s="1247"/>
    </row>
    <row r="11" spans="2:32" x14ac:dyDescent="0.25">
      <c r="B11" s="1248"/>
      <c r="C11" s="1107"/>
      <c r="D11" s="3652"/>
      <c r="E11" s="3653"/>
      <c r="F11" s="3653"/>
      <c r="G11" s="3653"/>
      <c r="H11" s="3653"/>
      <c r="I11" s="3653"/>
      <c r="J11" s="2145">
        <f>SUM(TotalSaleValue_112A)</f>
        <v>0</v>
      </c>
      <c r="K11" s="2145">
        <f>SUM(COAwithoutIndex_112A)</f>
        <v>0</v>
      </c>
      <c r="L11" s="2145">
        <f>SUM(COAwithIndex_112A)</f>
        <v>0</v>
      </c>
      <c r="M11" s="2145">
        <f>SUM(LTCGAssetAcquired_112A)</f>
        <v>0</v>
      </c>
      <c r="N11" s="1391"/>
      <c r="O11" s="2145">
        <f>SUM(TotalFairMarketValue_112A)</f>
        <v>0</v>
      </c>
      <c r="P11" s="1660">
        <v>0</v>
      </c>
      <c r="Q11" s="1660">
        <v>0</v>
      </c>
      <c r="R11" s="2145">
        <f>SUM(ExpenditureWholly_112A)</f>
        <v>0</v>
      </c>
      <c r="S11" s="2145">
        <f>SUM(TotalDeductions_112A)</f>
        <v>0</v>
      </c>
      <c r="T11" s="2145">
        <f>SUM(Balance_112A)</f>
        <v>0</v>
      </c>
      <c r="U11" s="1247"/>
      <c r="AC11" s="1639"/>
    </row>
    <row r="12" spans="2:32" ht="39.75" customHeight="1" x14ac:dyDescent="0.25">
      <c r="B12" s="1248"/>
      <c r="C12" s="3654"/>
      <c r="D12" s="3655"/>
      <c r="E12" s="3655"/>
      <c r="F12" s="3655"/>
      <c r="G12" s="3655"/>
      <c r="H12" s="3655"/>
      <c r="I12" s="3655"/>
      <c r="J12" s="3655"/>
      <c r="K12" s="3655"/>
      <c r="L12" s="3655"/>
      <c r="M12" s="3655"/>
      <c r="N12" s="3655"/>
      <c r="O12" s="3655"/>
      <c r="P12" s="3655"/>
      <c r="Q12" s="3655"/>
      <c r="R12" s="3655"/>
      <c r="S12" s="3655"/>
      <c r="T12" s="3656"/>
      <c r="U12" s="1247"/>
    </row>
    <row r="13" spans="2:32" ht="15.75" thickBot="1" x14ac:dyDescent="0.3">
      <c r="B13" s="1246"/>
      <c r="C13" s="1245"/>
      <c r="D13" s="1245"/>
      <c r="E13" s="2134"/>
      <c r="F13" s="1245"/>
      <c r="G13" s="1245"/>
      <c r="H13" s="1245"/>
      <c r="I13" s="1245"/>
      <c r="J13" s="1245"/>
      <c r="K13" s="1245"/>
      <c r="L13" s="1245"/>
      <c r="M13" s="1245"/>
      <c r="N13" s="1245"/>
      <c r="O13" s="1245"/>
      <c r="P13" s="1245"/>
      <c r="Q13" s="1245"/>
      <c r="R13" s="1245"/>
      <c r="S13" s="1245"/>
      <c r="T13" s="1245"/>
      <c r="U13" s="1244"/>
    </row>
    <row r="14" spans="2:32" x14ac:dyDescent="0.25"/>
  </sheetData>
  <sheetProtection algorithmName="SHA-512" hashValue="DfJ9PXaOJ42ynR6PHOIfcZomNWA5jxWhwpharuR8nMt5EAUz4aMF7k7D6mh69WNqFyldbIxF9t1isEKah5shdQ==" saltValue="ovPcyXnJ3r1BYa/B4rXzZg==" spinCount="100000" sheet="1" objects="1" scenarios="1"/>
  <dataConsolidate/>
  <mergeCells count="4">
    <mergeCell ref="C3:D3"/>
    <mergeCell ref="D11:I11"/>
    <mergeCell ref="C12:T12"/>
    <mergeCell ref="E3:T3"/>
  </mergeCells>
  <dataValidations count="18">
    <dataValidation type="textLength" operator="equal" allowBlank="1" showInputMessage="1" showErrorMessage="1" errorTitle="ISIN Code/Folio" error="ISIN Code/Folio should be 12 characters" sqref="F6:F9">
      <formula1>12</formula1>
    </dataValidation>
    <dataValidation type="textLength" operator="lessThanOrEqual" allowBlank="1" showInputMessage="1" showErrorMessage="1" errorTitle="Name of the Share/unit" error="Name of the Share/unit Should be 125 Characters" sqref="G6:G9">
      <formula1>125</formula1>
    </dataValidation>
    <dataValidation type="decimal" allowBlank="1" showInputMessage="1" showErrorMessage="1" errorTitle="Sale-price per Share/Unit" error="Total Digits cannot be more than 19" sqref="I6:I9">
      <formula1>0</formula1>
      <formula2>99999999999999.9</formula2>
    </dataValidation>
    <dataValidation type="decimal" allowBlank="1" showInputMessage="1" showErrorMessage="1" errorTitle="Total Sale Value" error="Total Sale Value should be non negative ,  decimal, upto 16 digits" sqref="J6:J9">
      <formula1>0</formula1>
      <formula2>99999999999999</formula2>
    </dataValidation>
    <dataValidation type="decimal" allowBlank="1" showInputMessage="1" showErrorMessage="1" errorTitle="Cost of acquistion" error="Cost of acquistion should be non negative ,  decimal, upto 14 digits" sqref="K6:K9">
      <formula1>0</formula1>
      <formula2>99999999999999</formula2>
    </dataValidation>
    <dataValidation type="decimal" allowBlank="1" showInputMessage="1" showErrorMessage="1" errorTitle="Long term capital" error="Long term capital should be non negative , decimal, upto 14 digits" sqref="M6:M9">
      <formula1>0</formula1>
      <formula2>99999999999999</formula2>
    </dataValidation>
    <dataValidation type="decimal" allowBlank="1" showInputMessage="1" showErrorMessage="1" errorTitle="total Fair market value" error="Fair market value should be non negative , decimal, upto 14 digits" sqref="O6:O9">
      <formula1>0</formula1>
      <formula2>99999999999999</formula2>
    </dataValidation>
    <dataValidation type="decimal" allowBlank="1" showInputMessage="1" showErrorMessage="1" errorTitle="Full  value" error="Full  value should be non negative ,  decimal, upto 14 digits" sqref="P6:P9">
      <formula1>0</formula1>
      <formula2>99999999999999</formula2>
    </dataValidation>
    <dataValidation type="decimal" allowBlank="1" showInputMessage="1" showErrorMessage="1" errorTitle="Cost of Improvement" error="Cost of Improvement should be non negative ,  decimal, upto 14 digits" sqref="Q6:Q9">
      <formula1>0</formula1>
      <formula2>99999999999999</formula2>
    </dataValidation>
    <dataValidation type="decimal" allowBlank="1" showInputMessage="1" showErrorMessage="1" errorTitle="Total deductions" error="Total deductions should be non negative , decimal, upto 14 digits" sqref="S6:S9">
      <formula1>0</formula1>
      <formula2>99999999999999</formula2>
    </dataValidation>
    <dataValidation type="decimal" allowBlank="1" showInputMessage="1" showErrorMessage="1" sqref="J11:M11 O11:T11 T6:T9">
      <formula1>-99999999999999</formula1>
      <formula2>99999999999999</formula2>
    </dataValidation>
    <dataValidation type="list" allowBlank="1" showInputMessage="1" showErrorMessage="1" sqref="E7:E9">
      <formula1>" (Select),On or before 31st January 2018, After 31st January 2018"</formula1>
    </dataValidation>
    <dataValidation type="list" allowBlank="1" showInputMessage="1" showErrorMessage="1" sqref="E6">
      <formula1>"(Select),On or before 31st January 2018, After 31st January 2018"</formula1>
    </dataValidation>
    <dataValidation type="decimal" allowBlank="1" showInputMessage="1" showErrorMessage="1" errorTitle="Number of shares" error="Total Digits cannot be more than 19" sqref="H6">
      <formula1>0</formula1>
      <formula2>99999999999999.9</formula2>
    </dataValidation>
    <dataValidation type="decimal" allowBlank="1" showInputMessage="1" showErrorMessage="1" errorTitle="Cost of acquisition" error="Total Digits cannot be more than 19" sqref="L6:L9">
      <formula1>0</formula1>
      <formula2>99999999999999.9</formula2>
    </dataValidation>
    <dataValidation type="decimal" allowBlank="1" showInputMessage="1" showErrorMessage="1" errorTitle="Fair market value" error="Total Digits cannot be more than 19" sqref="N6:N9">
      <formula1>0</formula1>
      <formula2>99999999999999.9</formula2>
    </dataValidation>
    <dataValidation type="decimal" allowBlank="1" showInputMessage="1" showErrorMessage="1" errorTitle="Expenditure" error="Total Digits cannot be more than 19" sqref="R6:R9">
      <formula1>0</formula1>
      <formula2>99999999999999.9</formula2>
    </dataValidation>
    <dataValidation type="decimal" allowBlank="1" showInputMessage="1" showErrorMessage="1" errorTitle="Number of shares" error="Total Digits cannot be more than 19" sqref="H7:H9">
      <formula1>0</formula1>
      <formula2>9999999999999990000</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801" r:id="rId5" name="Button 1">
              <controlPr defaultSize="0" print="0" autoFill="0" autoPict="0" macro="[0]!AddRows112A">
                <anchor moveWithCells="1">
                  <from>
                    <xdr:col>2</xdr:col>
                    <xdr:colOff>66675</xdr:colOff>
                    <xdr:row>11</xdr:row>
                    <xdr:rowOff>66675</xdr:rowOff>
                  </from>
                  <to>
                    <xdr:col>4</xdr:col>
                    <xdr:colOff>762000</xdr:colOff>
                    <xdr:row>11</xdr:row>
                    <xdr:rowOff>371475</xdr:rowOff>
                  </to>
                </anchor>
              </controlPr>
            </control>
          </mc:Choice>
        </mc:AlternateContent>
        <mc:AlternateContent xmlns:mc="http://schemas.openxmlformats.org/markup-compatibility/2006">
          <mc:Choice Requires="x14">
            <control shapeId="204802" r:id="rId6" name="Button 2">
              <controlPr defaultSize="0" print="0" autoFill="0" autoPict="0" macro="[0]!ValidateSheet112A_Click">
                <anchor>
                  <from>
                    <xdr:col>21</xdr:col>
                    <xdr:colOff>476250</xdr:colOff>
                    <xdr:row>3</xdr:row>
                    <xdr:rowOff>285750</xdr:rowOff>
                  </from>
                  <to>
                    <xdr:col>21</xdr:col>
                    <xdr:colOff>1847850</xdr:colOff>
                    <xdr:row>3</xdr:row>
                    <xdr:rowOff>561975</xdr:rowOff>
                  </to>
                </anchor>
              </controlPr>
            </control>
          </mc:Choice>
        </mc:AlternateContent>
        <mc:AlternateContent xmlns:mc="http://schemas.openxmlformats.org/markup-compatibility/2006">
          <mc:Choice Requires="x14">
            <control shapeId="204803" r:id="rId7" name="Button 3">
              <controlPr defaultSize="0" print="0" autoFill="0" autoPict="0" macro="[0]!Prev_Sheet">
                <anchor>
                  <from>
                    <xdr:col>21</xdr:col>
                    <xdr:colOff>476250</xdr:colOff>
                    <xdr:row>3</xdr:row>
                    <xdr:rowOff>895350</xdr:rowOff>
                  </from>
                  <to>
                    <xdr:col>21</xdr:col>
                    <xdr:colOff>1847850</xdr:colOff>
                    <xdr:row>5</xdr:row>
                    <xdr:rowOff>19050</xdr:rowOff>
                  </to>
                </anchor>
              </controlPr>
            </control>
          </mc:Choice>
        </mc:AlternateContent>
        <mc:AlternateContent xmlns:mc="http://schemas.openxmlformats.org/markup-compatibility/2006">
          <mc:Choice Requires="x14">
            <control shapeId="204804" r:id="rId8" name="Button 4">
              <controlPr defaultSize="0" print="0" autoFill="0" autoPict="0" macro="[0]!Img_Home_Click">
                <anchor>
                  <from>
                    <xdr:col>21</xdr:col>
                    <xdr:colOff>476250</xdr:colOff>
                    <xdr:row>2</xdr:row>
                    <xdr:rowOff>171450</xdr:rowOff>
                  </from>
                  <to>
                    <xdr:col>21</xdr:col>
                    <xdr:colOff>1847850</xdr:colOff>
                    <xdr:row>3</xdr:row>
                    <xdr:rowOff>247650</xdr:rowOff>
                  </to>
                </anchor>
              </controlPr>
            </control>
          </mc:Choice>
        </mc:AlternateContent>
        <mc:AlternateContent xmlns:mc="http://schemas.openxmlformats.org/markup-compatibility/2006">
          <mc:Choice Requires="x14">
            <control shapeId="204805" r:id="rId9" name="Button 5">
              <controlPr defaultSize="0" print="0" autoFill="0" autoPict="0" macro="[0]!HelpCSV">
                <anchor>
                  <from>
                    <xdr:col>21</xdr:col>
                    <xdr:colOff>476250</xdr:colOff>
                    <xdr:row>8</xdr:row>
                    <xdr:rowOff>104775</xdr:rowOff>
                  </from>
                  <to>
                    <xdr:col>21</xdr:col>
                    <xdr:colOff>1847850</xdr:colOff>
                    <xdr:row>10</xdr:row>
                    <xdr:rowOff>0</xdr:rowOff>
                  </to>
                </anchor>
              </controlPr>
            </control>
          </mc:Choice>
        </mc:AlternateContent>
        <mc:AlternateContent xmlns:mc="http://schemas.openxmlformats.org/markup-compatibility/2006">
          <mc:Choice Requires="x14">
            <control shapeId="204806" r:id="rId10" name="Button 6">
              <controlPr defaultSize="0" print="0" autoFill="0" autoPict="0" macro="[0]!WorksheetsPrint">
                <anchor>
                  <from>
                    <xdr:col>21</xdr:col>
                    <xdr:colOff>476250</xdr:colOff>
                    <xdr:row>6</xdr:row>
                    <xdr:rowOff>171450</xdr:rowOff>
                  </from>
                  <to>
                    <xdr:col>21</xdr:col>
                    <xdr:colOff>1847850</xdr:colOff>
                    <xdr:row>8</xdr:row>
                    <xdr:rowOff>57150</xdr:rowOff>
                  </to>
                </anchor>
              </controlPr>
            </control>
          </mc:Choice>
        </mc:AlternateContent>
        <mc:AlternateContent xmlns:mc="http://schemas.openxmlformats.org/markup-compatibility/2006">
          <mc:Choice Requires="x14">
            <control shapeId="204807" r:id="rId11" name="Button 7">
              <controlPr defaultSize="0" print="0" autoFill="0" autoPict="0" macro="[0]!GenerateJSON.GenerateJSON">
                <anchor>
                  <from>
                    <xdr:col>21</xdr:col>
                    <xdr:colOff>476250</xdr:colOff>
                    <xdr:row>5</xdr:row>
                    <xdr:rowOff>57150</xdr:rowOff>
                  </from>
                  <to>
                    <xdr:col>21</xdr:col>
                    <xdr:colOff>1847850</xdr:colOff>
                    <xdr:row>6</xdr:row>
                    <xdr:rowOff>133350</xdr:rowOff>
                  </to>
                </anchor>
              </controlPr>
            </control>
          </mc:Choice>
        </mc:AlternateContent>
        <mc:AlternateContent xmlns:mc="http://schemas.openxmlformats.org/markup-compatibility/2006">
          <mc:Choice Requires="x14">
            <control shapeId="204808" r:id="rId12" name="Button 8">
              <controlPr defaultSize="0" print="0" autoFill="0" autoPict="0" macro="[0]!Next_Sheet">
                <anchor>
                  <from>
                    <xdr:col>21</xdr:col>
                    <xdr:colOff>476250</xdr:colOff>
                    <xdr:row>3</xdr:row>
                    <xdr:rowOff>590550</xdr:rowOff>
                  </from>
                  <to>
                    <xdr:col>21</xdr:col>
                    <xdr:colOff>1847850</xdr:colOff>
                    <xdr:row>3</xdr:row>
                    <xdr:rowOff>876300</xdr:rowOff>
                  </to>
                </anchor>
              </controlPr>
            </control>
          </mc:Choice>
        </mc:AlternateContent>
        <mc:AlternateContent xmlns:mc="http://schemas.openxmlformats.org/markup-compatibility/2006">
          <mc:Choice Requires="x14">
            <control shapeId="204811" r:id="rId13" name="Button 11">
              <controlPr defaultSize="0" print="0" autoFill="0" autoPict="0" macro="[0]!importschedule112a.ImportSchedule112A">
                <anchor>
                  <from>
                    <xdr:col>21</xdr:col>
                    <xdr:colOff>476250</xdr:colOff>
                    <xdr:row>10</xdr:row>
                    <xdr:rowOff>28575</xdr:rowOff>
                  </from>
                  <to>
                    <xdr:col>21</xdr:col>
                    <xdr:colOff>1847850</xdr:colOff>
                    <xdr:row>11</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U128"/>
  <sheetViews>
    <sheetView topLeftCell="J1" zoomScale="85" zoomScaleNormal="85" workbookViewId="0">
      <selection activeCell="K11" sqref="K11:U11"/>
    </sheetView>
  </sheetViews>
  <sheetFormatPr defaultColWidth="0" defaultRowHeight="12.75" zeroHeight="1" x14ac:dyDescent="0.2"/>
  <cols>
    <col min="1" max="1" width="9.140625" style="117" hidden="1" customWidth="1"/>
    <col min="2" max="2" width="41.7109375" style="117" hidden="1" customWidth="1"/>
    <col min="3" max="9" width="9.140625" style="117" hidden="1" customWidth="1"/>
    <col min="10" max="10" width="5.28515625" style="117" customWidth="1"/>
    <col min="11" max="11" width="43.85546875" style="117" customWidth="1"/>
    <col min="12" max="12" width="105.85546875" style="117" customWidth="1"/>
    <col min="13" max="13" width="9.140625" style="117" customWidth="1"/>
    <col min="14" max="255" width="9.140625" style="117" hidden="1" customWidth="1"/>
    <col min="256" max="16384" width="7.5703125" style="117" hidden="1"/>
  </cols>
  <sheetData>
    <row r="1" spans="1:21" ht="15" customHeight="1" x14ac:dyDescent="0.3">
      <c r="J1" s="3675" t="s">
        <v>12895</v>
      </c>
      <c r="K1" s="3676"/>
      <c r="L1" s="3676"/>
      <c r="M1" s="3676"/>
      <c r="N1" s="3676"/>
      <c r="O1" s="3676"/>
      <c r="P1" s="3676"/>
      <c r="Q1" s="3676"/>
      <c r="R1" s="3676"/>
      <c r="S1" s="3676"/>
      <c r="T1" s="3676"/>
      <c r="U1" s="3677"/>
    </row>
    <row r="2" spans="1:21" s="57" customFormat="1" ht="15" customHeight="1" x14ac:dyDescent="0.25">
      <c r="A2" s="3384"/>
      <c r="B2" s="3384"/>
      <c r="C2" s="61"/>
      <c r="J2" s="3678" t="s">
        <v>12896</v>
      </c>
      <c r="K2" s="3679"/>
      <c r="L2" s="3679"/>
      <c r="M2" s="3679"/>
      <c r="N2" s="3679"/>
      <c r="O2" s="3679"/>
      <c r="P2" s="3679"/>
      <c r="Q2" s="3679"/>
      <c r="R2" s="3679"/>
      <c r="S2" s="3679"/>
      <c r="T2" s="3679"/>
      <c r="U2" s="3680"/>
    </row>
    <row r="3" spans="1:21" s="57" customFormat="1" ht="15.75" x14ac:dyDescent="0.2">
      <c r="A3" s="46"/>
      <c r="B3" s="65"/>
      <c r="G3" s="54"/>
      <c r="J3" s="2304">
        <v>1</v>
      </c>
      <c r="K3" s="3681" t="s">
        <v>12897</v>
      </c>
      <c r="L3" s="3681"/>
      <c r="M3" s="3681"/>
      <c r="N3" s="3681"/>
      <c r="O3" s="3681"/>
      <c r="P3" s="3681"/>
      <c r="Q3" s="3681"/>
      <c r="R3" s="3681"/>
      <c r="S3" s="3681"/>
      <c r="T3" s="3681"/>
      <c r="U3" s="3682"/>
    </row>
    <row r="4" spans="1:21" s="57" customFormat="1" ht="15.75" x14ac:dyDescent="0.2">
      <c r="A4" s="46"/>
      <c r="B4" s="65"/>
      <c r="J4" s="2304">
        <v>2</v>
      </c>
      <c r="K4" s="3660" t="s">
        <v>12898</v>
      </c>
      <c r="L4" s="3660"/>
      <c r="M4" s="3660"/>
      <c r="N4" s="3660"/>
      <c r="O4" s="3660"/>
      <c r="P4" s="3660"/>
      <c r="Q4" s="3660"/>
      <c r="R4" s="3660"/>
      <c r="S4" s="3660"/>
      <c r="T4" s="3660"/>
      <c r="U4" s="3661"/>
    </row>
    <row r="5" spans="1:21" s="57" customFormat="1" ht="15.75" x14ac:dyDescent="0.2">
      <c r="A5" s="46"/>
      <c r="B5" s="65"/>
      <c r="J5" s="2305" t="s">
        <v>9728</v>
      </c>
      <c r="K5" s="3662" t="s">
        <v>12899</v>
      </c>
      <c r="L5" s="3662"/>
      <c r="M5" s="3662"/>
      <c r="N5" s="3662"/>
      <c r="O5" s="3662"/>
      <c r="P5" s="3662"/>
      <c r="Q5" s="3662"/>
      <c r="R5" s="3662"/>
      <c r="S5" s="3662"/>
      <c r="T5" s="3662"/>
      <c r="U5" s="3663"/>
    </row>
    <row r="6" spans="1:21" s="57" customFormat="1" ht="15" x14ac:dyDescent="0.25">
      <c r="A6" s="46"/>
      <c r="B6" s="65"/>
      <c r="J6" s="2306"/>
      <c r="K6" s="2307"/>
      <c r="L6" s="2307"/>
      <c r="M6" s="2307"/>
      <c r="N6" s="2307"/>
      <c r="O6" s="2307"/>
      <c r="P6" s="2307"/>
      <c r="Q6" s="2307"/>
      <c r="R6" s="2307"/>
      <c r="S6" s="2307"/>
      <c r="T6" s="2307"/>
      <c r="U6" s="2308"/>
    </row>
    <row r="7" spans="1:21" s="57" customFormat="1" ht="15" x14ac:dyDescent="0.25">
      <c r="A7" s="46"/>
      <c r="B7" s="65"/>
      <c r="J7" s="2309"/>
      <c r="K7" s="2310"/>
      <c r="L7" s="2310"/>
      <c r="M7" s="2310"/>
      <c r="N7" s="2310"/>
      <c r="O7" s="2310"/>
      <c r="P7" s="2310"/>
      <c r="Q7" s="2310"/>
      <c r="R7" s="2310"/>
      <c r="S7" s="2310"/>
      <c r="T7" s="2310"/>
      <c r="U7" s="2311"/>
    </row>
    <row r="8" spans="1:21" s="57" customFormat="1" ht="15.75" x14ac:dyDescent="0.25">
      <c r="A8" s="46"/>
      <c r="B8" s="65"/>
      <c r="J8" s="3683" t="s">
        <v>12900</v>
      </c>
      <c r="K8" s="3684"/>
      <c r="L8" s="3684"/>
      <c r="M8" s="3684"/>
      <c r="N8" s="3684"/>
      <c r="O8" s="3684"/>
      <c r="P8" s="3684"/>
      <c r="Q8" s="3684"/>
      <c r="R8" s="3684"/>
      <c r="S8" s="3684"/>
      <c r="T8" s="3684"/>
      <c r="U8" s="3685"/>
    </row>
    <row r="9" spans="1:21" s="57" customFormat="1" ht="15.75" x14ac:dyDescent="0.25">
      <c r="A9" s="46"/>
      <c r="B9" s="65"/>
      <c r="J9" s="2312">
        <v>1</v>
      </c>
      <c r="K9" s="3660" t="s">
        <v>12901</v>
      </c>
      <c r="L9" s="3660"/>
      <c r="M9" s="3660"/>
      <c r="N9" s="3660"/>
      <c r="O9" s="3660"/>
      <c r="P9" s="3660"/>
      <c r="Q9" s="3660"/>
      <c r="R9" s="3660"/>
      <c r="S9" s="3660"/>
      <c r="T9" s="3660"/>
      <c r="U9" s="3661"/>
    </row>
    <row r="10" spans="1:21" s="57" customFormat="1" ht="15.75" x14ac:dyDescent="0.25">
      <c r="A10" s="46"/>
      <c r="B10" s="65"/>
      <c r="E10" s="56"/>
      <c r="J10" s="2312">
        <v>2</v>
      </c>
      <c r="K10" s="3660" t="s">
        <v>12902</v>
      </c>
      <c r="L10" s="3660"/>
      <c r="M10" s="3660"/>
      <c r="N10" s="3660"/>
      <c r="O10" s="3660"/>
      <c r="P10" s="3660"/>
      <c r="Q10" s="3660"/>
      <c r="R10" s="3660"/>
      <c r="S10" s="3660"/>
      <c r="T10" s="3660"/>
      <c r="U10" s="3661"/>
    </row>
    <row r="11" spans="1:21" s="57" customFormat="1" ht="15.75" x14ac:dyDescent="0.25">
      <c r="A11" s="46"/>
      <c r="B11" s="65"/>
      <c r="F11" s="62"/>
      <c r="J11" s="2312">
        <v>3</v>
      </c>
      <c r="K11" s="3660" t="s">
        <v>12903</v>
      </c>
      <c r="L11" s="3660"/>
      <c r="M11" s="3660"/>
      <c r="N11" s="3660"/>
      <c r="O11" s="3660"/>
      <c r="P11" s="3660"/>
      <c r="Q11" s="3660"/>
      <c r="R11" s="3660"/>
      <c r="S11" s="3660"/>
      <c r="T11" s="3660"/>
      <c r="U11" s="3661"/>
    </row>
    <row r="12" spans="1:21" s="57" customFormat="1" ht="15.75" x14ac:dyDescent="0.25">
      <c r="J12" s="2312">
        <v>4</v>
      </c>
      <c r="K12" s="3660" t="s">
        <v>12904</v>
      </c>
      <c r="L12" s="3660"/>
      <c r="M12" s="3660"/>
      <c r="N12" s="3660"/>
      <c r="O12" s="3660"/>
      <c r="P12" s="3660"/>
      <c r="Q12" s="3660"/>
      <c r="R12" s="3660"/>
      <c r="S12" s="3660"/>
      <c r="T12" s="3660"/>
      <c r="U12" s="3661"/>
    </row>
    <row r="13" spans="1:21" s="57" customFormat="1" ht="18" customHeight="1" x14ac:dyDescent="0.25">
      <c r="B13" s="47"/>
      <c r="J13" s="2313">
        <v>5</v>
      </c>
      <c r="K13" s="3662" t="s">
        <v>12905</v>
      </c>
      <c r="L13" s="3662"/>
      <c r="M13" s="3662"/>
      <c r="N13" s="3662"/>
      <c r="O13" s="3662"/>
      <c r="P13" s="3662"/>
      <c r="Q13" s="3662"/>
      <c r="R13" s="3662"/>
      <c r="S13" s="3662"/>
      <c r="T13" s="3662"/>
      <c r="U13" s="3663"/>
    </row>
    <row r="14" spans="1:21" s="57" customFormat="1" ht="15" customHeight="1" x14ac:dyDescent="0.25">
      <c r="B14" s="47"/>
      <c r="J14" s="2306"/>
      <c r="K14" s="2307"/>
      <c r="L14" s="2307"/>
      <c r="M14" s="2307"/>
      <c r="N14" s="2307"/>
      <c r="O14" s="2307"/>
      <c r="P14" s="2307"/>
      <c r="Q14" s="2307"/>
      <c r="R14" s="2307"/>
      <c r="S14" s="2307"/>
      <c r="T14" s="2307"/>
      <c r="U14" s="2308"/>
    </row>
    <row r="15" spans="1:21" s="57" customFormat="1" ht="19.5" customHeight="1" x14ac:dyDescent="0.25">
      <c r="B15" s="47"/>
      <c r="J15" s="2309"/>
      <c r="K15" s="2310"/>
      <c r="L15" s="2310"/>
      <c r="M15" s="2310"/>
      <c r="N15" s="2310"/>
      <c r="O15" s="2310"/>
      <c r="P15" s="2310"/>
      <c r="Q15" s="2310"/>
      <c r="R15" s="2310"/>
      <c r="S15" s="2310"/>
      <c r="T15" s="2310"/>
      <c r="U15" s="2311"/>
    </row>
    <row r="16" spans="1:21" s="57" customFormat="1" ht="16.5" customHeight="1" x14ac:dyDescent="0.25">
      <c r="B16" s="47"/>
      <c r="J16" s="3664" t="s">
        <v>12906</v>
      </c>
      <c r="K16" s="3665"/>
      <c r="L16" s="3665"/>
      <c r="M16" s="3665"/>
      <c r="N16" s="3665"/>
      <c r="O16" s="3665"/>
      <c r="P16" s="3665"/>
      <c r="Q16" s="3665"/>
      <c r="R16" s="3665"/>
      <c r="S16" s="3665"/>
      <c r="T16" s="3665"/>
      <c r="U16" s="3666"/>
    </row>
    <row r="17" spans="1:21" s="57" customFormat="1" ht="15" x14ac:dyDescent="0.2">
      <c r="B17" s="47"/>
      <c r="J17" s="2314">
        <v>1</v>
      </c>
      <c r="K17" s="3658" t="s">
        <v>12907</v>
      </c>
      <c r="L17" s="3658"/>
      <c r="M17" s="3658"/>
      <c r="N17" s="3658"/>
      <c r="O17" s="3658"/>
      <c r="P17" s="3658"/>
      <c r="Q17" s="3658"/>
      <c r="R17" s="3658"/>
      <c r="S17" s="3658"/>
      <c r="T17" s="3658"/>
      <c r="U17" s="3659"/>
    </row>
    <row r="18" spans="1:21" s="57" customFormat="1" ht="15" x14ac:dyDescent="0.2">
      <c r="B18" s="47"/>
      <c r="J18" s="2314">
        <v>2</v>
      </c>
      <c r="K18" s="3658" t="s">
        <v>12908</v>
      </c>
      <c r="L18" s="3667"/>
      <c r="M18" s="3667"/>
      <c r="N18" s="3667"/>
      <c r="O18" s="3667"/>
      <c r="P18" s="3667"/>
      <c r="Q18" s="3667"/>
      <c r="R18" s="3667"/>
      <c r="S18" s="3667"/>
      <c r="T18" s="3667"/>
      <c r="U18" s="3668"/>
    </row>
    <row r="19" spans="1:21" s="57" customFormat="1" ht="15" x14ac:dyDescent="0.2">
      <c r="J19" s="2314">
        <v>3</v>
      </c>
      <c r="K19" s="3658" t="s">
        <v>12909</v>
      </c>
      <c r="L19" s="3658"/>
      <c r="M19" s="3658"/>
      <c r="N19" s="3658"/>
      <c r="O19" s="3658"/>
      <c r="P19" s="3658"/>
      <c r="Q19" s="3658"/>
      <c r="R19" s="3658"/>
      <c r="S19" s="3658"/>
      <c r="T19" s="3658"/>
      <c r="U19" s="3659"/>
    </row>
    <row r="20" spans="1:21" s="57" customFormat="1" ht="22.5" customHeight="1" x14ac:dyDescent="0.2">
      <c r="J20" s="2314">
        <v>4</v>
      </c>
      <c r="K20" s="3658" t="s">
        <v>12910</v>
      </c>
      <c r="L20" s="3658"/>
      <c r="M20" s="3658"/>
      <c r="N20" s="3658"/>
      <c r="O20" s="3658"/>
      <c r="P20" s="3658"/>
      <c r="Q20" s="3658"/>
      <c r="R20" s="3658"/>
      <c r="S20" s="3658"/>
      <c r="T20" s="3658"/>
      <c r="U20" s="3659"/>
    </row>
    <row r="21" spans="1:21" s="57" customFormat="1" ht="15" x14ac:dyDescent="0.2">
      <c r="J21" s="2314">
        <v>5</v>
      </c>
      <c r="K21" s="3658" t="s">
        <v>12911</v>
      </c>
      <c r="L21" s="3658"/>
      <c r="M21" s="3658"/>
      <c r="N21" s="3658"/>
      <c r="O21" s="3658"/>
      <c r="P21" s="3658"/>
      <c r="Q21" s="3658"/>
      <c r="R21" s="3658"/>
      <c r="S21" s="3658"/>
      <c r="T21" s="3658"/>
      <c r="U21" s="3659"/>
    </row>
    <row r="22" spans="1:21" s="57" customFormat="1" ht="15" x14ac:dyDescent="0.2">
      <c r="J22" s="2314">
        <v>6</v>
      </c>
      <c r="K22" s="3658" t="s">
        <v>12912</v>
      </c>
      <c r="L22" s="3658"/>
      <c r="M22" s="3658"/>
      <c r="N22" s="3658"/>
      <c r="O22" s="3658"/>
      <c r="P22" s="3658"/>
      <c r="Q22" s="3658"/>
      <c r="R22" s="3658"/>
      <c r="S22" s="3658"/>
      <c r="T22" s="3658"/>
      <c r="U22" s="3659"/>
    </row>
    <row r="23" spans="1:21" s="57" customFormat="1" ht="15" x14ac:dyDescent="0.2">
      <c r="J23" s="2314">
        <v>7</v>
      </c>
      <c r="K23" s="3658" t="s">
        <v>12913</v>
      </c>
      <c r="L23" s="3658"/>
      <c r="M23" s="3658"/>
      <c r="N23" s="3658"/>
      <c r="O23" s="3658"/>
      <c r="P23" s="3658"/>
      <c r="Q23" s="3658"/>
      <c r="R23" s="3658"/>
      <c r="S23" s="3658"/>
      <c r="T23" s="3658"/>
      <c r="U23" s="3659"/>
    </row>
    <row r="24" spans="1:21" s="57" customFormat="1" ht="15" x14ac:dyDescent="0.2">
      <c r="J24" s="2314">
        <v>8</v>
      </c>
      <c r="K24" s="3658" t="s">
        <v>12914</v>
      </c>
      <c r="L24" s="3658"/>
      <c r="M24" s="3658"/>
      <c r="N24" s="3658"/>
      <c r="O24" s="3658"/>
      <c r="P24" s="3658"/>
      <c r="Q24" s="3658"/>
      <c r="R24" s="3658"/>
      <c r="S24" s="3658"/>
      <c r="T24" s="3658"/>
      <c r="U24" s="3659"/>
    </row>
    <row r="25" spans="1:21" s="57" customFormat="1" ht="15" x14ac:dyDescent="0.2">
      <c r="A25" s="55"/>
      <c r="B25" s="54"/>
      <c r="C25" s="63"/>
      <c r="J25" s="2314">
        <v>9</v>
      </c>
      <c r="K25" s="3658" t="s">
        <v>12915</v>
      </c>
      <c r="L25" s="3658"/>
      <c r="M25" s="3658"/>
      <c r="N25" s="3658"/>
      <c r="O25" s="3658"/>
      <c r="P25" s="3658"/>
      <c r="Q25" s="3658"/>
      <c r="R25" s="3658"/>
      <c r="S25" s="3658"/>
      <c r="T25" s="3658"/>
      <c r="U25" s="3659"/>
    </row>
    <row r="26" spans="1:21" s="57" customFormat="1" ht="15" x14ac:dyDescent="0.2">
      <c r="B26" s="51"/>
      <c r="C26" s="53"/>
      <c r="D26" s="53"/>
      <c r="E26" s="53"/>
      <c r="F26" s="53"/>
      <c r="G26" s="53"/>
      <c r="H26" s="52"/>
      <c r="J26" s="2314">
        <v>10</v>
      </c>
      <c r="K26" s="3658" t="s">
        <v>12916</v>
      </c>
      <c r="L26" s="3658"/>
      <c r="M26" s="3658"/>
      <c r="N26" s="3658"/>
      <c r="O26" s="3658"/>
      <c r="P26" s="3658"/>
      <c r="Q26" s="3658"/>
      <c r="R26" s="3658"/>
      <c r="S26" s="3658"/>
      <c r="T26" s="3658"/>
      <c r="U26" s="3659"/>
    </row>
    <row r="27" spans="1:21" s="57" customFormat="1" ht="15.75" customHeight="1" x14ac:dyDescent="0.25">
      <c r="B27" s="3384"/>
      <c r="C27" s="3384"/>
      <c r="D27" s="3384"/>
      <c r="E27" s="3384"/>
      <c r="F27" s="3384"/>
      <c r="G27" s="3384"/>
      <c r="H27" s="3384"/>
      <c r="J27" s="2314">
        <v>11</v>
      </c>
      <c r="K27" s="3658" t="s">
        <v>12917</v>
      </c>
      <c r="L27" s="3658"/>
      <c r="M27" s="3658"/>
      <c r="N27" s="3658"/>
      <c r="O27" s="3658"/>
      <c r="P27" s="3658"/>
      <c r="Q27" s="3658"/>
      <c r="R27" s="3658"/>
      <c r="S27" s="3658"/>
      <c r="T27" s="3658"/>
      <c r="U27" s="3659"/>
    </row>
    <row r="28" spans="1:21" s="57" customFormat="1" ht="26.25" customHeight="1" x14ac:dyDescent="0.25">
      <c r="B28" s="3384"/>
      <c r="C28" s="3384"/>
      <c r="D28" s="3384"/>
      <c r="E28" s="3384"/>
      <c r="F28" s="3384"/>
      <c r="G28" s="3384"/>
      <c r="H28" s="3384"/>
      <c r="J28" s="2314">
        <v>12</v>
      </c>
      <c r="K28" s="3658" t="s">
        <v>12918</v>
      </c>
      <c r="L28" s="3658"/>
      <c r="M28" s="3658"/>
      <c r="N28" s="3658"/>
      <c r="O28" s="3658"/>
      <c r="P28" s="3658"/>
      <c r="Q28" s="3658"/>
      <c r="R28" s="3658"/>
      <c r="S28" s="3658"/>
      <c r="T28" s="3658"/>
      <c r="U28" s="3659"/>
    </row>
    <row r="29" spans="1:21" s="57" customFormat="1" ht="27" customHeight="1" x14ac:dyDescent="0.25">
      <c r="B29" s="3384"/>
      <c r="C29" s="3384"/>
      <c r="D29" s="3384"/>
      <c r="E29" s="3384"/>
      <c r="F29" s="3384"/>
      <c r="G29" s="3384"/>
      <c r="H29" s="3384"/>
      <c r="J29" s="2314">
        <v>13</v>
      </c>
      <c r="K29" s="3658" t="s">
        <v>12919</v>
      </c>
      <c r="L29" s="3658"/>
      <c r="M29" s="3658"/>
      <c r="N29" s="3658"/>
      <c r="O29" s="3658"/>
      <c r="P29" s="3658"/>
      <c r="Q29" s="3658"/>
      <c r="R29" s="3658"/>
      <c r="S29" s="3658"/>
      <c r="T29" s="3658"/>
      <c r="U29" s="3659"/>
    </row>
    <row r="30" spans="1:21" s="57" customFormat="1" ht="13.5" customHeight="1" thickBot="1" x14ac:dyDescent="0.3">
      <c r="B30" s="3384"/>
      <c r="C30" s="3384"/>
      <c r="D30" s="3384"/>
      <c r="E30" s="3384"/>
      <c r="F30" s="3384"/>
      <c r="G30" s="3384"/>
      <c r="H30" s="3384"/>
      <c r="J30" s="2315">
        <v>14</v>
      </c>
      <c r="K30" s="3673" t="s">
        <v>12920</v>
      </c>
      <c r="L30" s="3673"/>
      <c r="M30" s="3673"/>
      <c r="N30" s="3673"/>
      <c r="O30" s="3673"/>
      <c r="P30" s="3673"/>
      <c r="Q30" s="3673"/>
      <c r="R30" s="3673"/>
      <c r="S30" s="3673"/>
      <c r="T30" s="3673"/>
      <c r="U30" s="3674"/>
    </row>
    <row r="31" spans="1:21" s="57" customFormat="1" ht="15" x14ac:dyDescent="0.25">
      <c r="J31" s="2124"/>
      <c r="K31" s="3669"/>
      <c r="L31" s="3670"/>
    </row>
    <row r="32" spans="1:21" s="57" customFormat="1" ht="28.5" customHeight="1" x14ac:dyDescent="0.25">
      <c r="A32" s="55"/>
      <c r="B32" s="2303"/>
      <c r="C32" s="53"/>
      <c r="D32" s="53"/>
      <c r="E32" s="64"/>
      <c r="F32" s="53"/>
      <c r="G32" s="53"/>
      <c r="H32" s="52"/>
      <c r="J32" s="2124"/>
      <c r="K32" s="3669"/>
      <c r="L32" s="3670"/>
    </row>
    <row r="33" spans="1:12" s="57" customFormat="1" ht="15" customHeight="1" x14ac:dyDescent="0.25">
      <c r="B33" s="51"/>
      <c r="C33" s="53"/>
      <c r="D33" s="53"/>
      <c r="E33" s="53"/>
      <c r="F33" s="53"/>
      <c r="G33" s="53"/>
      <c r="H33" s="52"/>
      <c r="J33" s="2124"/>
      <c r="K33" s="3669"/>
      <c r="L33" s="3670"/>
    </row>
    <row r="34" spans="1:12" s="57" customFormat="1" ht="15" x14ac:dyDescent="0.25">
      <c r="B34" s="3384"/>
      <c r="C34" s="3384"/>
      <c r="D34" s="3384"/>
      <c r="E34" s="3384"/>
      <c r="F34" s="3384"/>
      <c r="G34" s="3384"/>
      <c r="H34" s="3384"/>
      <c r="J34" s="2124"/>
      <c r="K34" s="3671"/>
      <c r="L34" s="3672"/>
    </row>
    <row r="35" spans="1:12" s="57" customFormat="1" ht="15" x14ac:dyDescent="0.25">
      <c r="B35" s="51"/>
      <c r="C35" s="53"/>
      <c r="D35" s="53"/>
      <c r="E35" s="53"/>
      <c r="F35" s="53"/>
      <c r="G35" s="53"/>
      <c r="H35" s="52"/>
      <c r="J35" s="2124"/>
      <c r="K35" s="3669"/>
      <c r="L35" s="3670"/>
    </row>
    <row r="36" spans="1:12" s="57" customFormat="1" ht="15" x14ac:dyDescent="0.25">
      <c r="B36" s="51"/>
      <c r="C36" s="53"/>
      <c r="D36" s="53"/>
      <c r="E36" s="53"/>
      <c r="F36" s="53"/>
      <c r="G36" s="53"/>
      <c r="H36" s="52"/>
      <c r="J36" s="2124"/>
      <c r="K36" s="3669"/>
      <c r="L36" s="3670"/>
    </row>
    <row r="37" spans="1:12" s="57" customFormat="1" ht="15" x14ac:dyDescent="0.25">
      <c r="B37" s="51"/>
      <c r="C37" s="53"/>
      <c r="D37" s="53"/>
      <c r="E37" s="53"/>
      <c r="F37" s="53"/>
      <c r="G37" s="53"/>
      <c r="H37" s="52"/>
      <c r="J37" s="2124"/>
      <c r="K37" s="3669"/>
      <c r="L37" s="3670"/>
    </row>
    <row r="38" spans="1:12" s="57" customFormat="1" ht="15" x14ac:dyDescent="0.25">
      <c r="B38" s="51"/>
      <c r="C38" s="53"/>
      <c r="D38" s="53"/>
      <c r="E38" s="53"/>
      <c r="F38" s="53"/>
      <c r="G38" s="53"/>
      <c r="H38" s="52"/>
      <c r="J38" s="2123"/>
      <c r="K38" s="3669"/>
      <c r="L38" s="3670"/>
    </row>
    <row r="39" spans="1:12" s="57" customFormat="1" ht="15" x14ac:dyDescent="0.25">
      <c r="B39" s="3384"/>
      <c r="C39" s="3384"/>
      <c r="D39" s="3384"/>
      <c r="E39" s="3384"/>
      <c r="F39" s="3384"/>
      <c r="G39" s="3384"/>
      <c r="H39" s="3384"/>
      <c r="J39" s="2124"/>
      <c r="K39" s="3670"/>
      <c r="L39" s="3670"/>
    </row>
    <row r="40" spans="1:12" s="57" customFormat="1" ht="15" x14ac:dyDescent="0.25">
      <c r="B40" s="51"/>
      <c r="C40" s="53"/>
      <c r="D40" s="53"/>
      <c r="E40" s="53"/>
      <c r="F40" s="53"/>
      <c r="G40" s="53"/>
      <c r="H40" s="52"/>
      <c r="J40" s="2120"/>
      <c r="K40" s="3669"/>
      <c r="L40" s="3670"/>
    </row>
    <row r="41" spans="1:12" s="57" customFormat="1" ht="15" x14ac:dyDescent="0.25">
      <c r="J41" s="2123"/>
      <c r="K41" s="3669"/>
      <c r="L41" s="3670"/>
    </row>
    <row r="42" spans="1:12" s="57" customFormat="1" ht="15" x14ac:dyDescent="0.25">
      <c r="B42" s="51"/>
      <c r="C42" s="53"/>
      <c r="D42" s="53"/>
      <c r="E42" s="53"/>
      <c r="F42" s="53"/>
      <c r="G42" s="53"/>
      <c r="H42" s="52"/>
      <c r="J42" s="2124"/>
      <c r="K42" s="3670"/>
      <c r="L42" s="3670"/>
    </row>
    <row r="43" spans="1:12" s="57" customFormat="1" ht="15" x14ac:dyDescent="0.25">
      <c r="J43" s="2120"/>
      <c r="K43" s="3669"/>
      <c r="L43" s="3670"/>
    </row>
    <row r="44" spans="1:12" s="57" customFormat="1" ht="15" x14ac:dyDescent="0.25">
      <c r="A44" s="55"/>
      <c r="B44" s="3384"/>
      <c r="C44" s="3384"/>
      <c r="D44" s="3384"/>
      <c r="E44" s="3384"/>
      <c r="F44" s="3384"/>
      <c r="G44" s="3384"/>
      <c r="H44" s="3384"/>
      <c r="J44" s="2123"/>
      <c r="K44" s="3669"/>
      <c r="L44" s="3670"/>
    </row>
    <row r="45" spans="1:12" s="57" customFormat="1" ht="15" x14ac:dyDescent="0.25">
      <c r="B45" s="3384"/>
      <c r="C45" s="3384"/>
      <c r="D45" s="3384"/>
      <c r="E45" s="3384"/>
      <c r="F45" s="3384"/>
      <c r="G45" s="3384"/>
      <c r="H45" s="3384"/>
      <c r="J45" s="2124"/>
      <c r="K45" s="3670"/>
      <c r="L45" s="3670"/>
    </row>
    <row r="46" spans="1:12" s="57" customFormat="1" ht="15" x14ac:dyDescent="0.25">
      <c r="B46" s="3384"/>
      <c r="C46" s="3384"/>
      <c r="D46" s="3384"/>
      <c r="E46" s="3384"/>
      <c r="F46" s="3384"/>
      <c r="G46" s="3384"/>
      <c r="H46" s="3384"/>
      <c r="J46" s="2120"/>
      <c r="K46" s="3669"/>
      <c r="L46" s="3670"/>
    </row>
    <row r="47" spans="1:12" s="57" customFormat="1" ht="15" x14ac:dyDescent="0.25">
      <c r="B47" s="3384"/>
      <c r="C47" s="3384"/>
      <c r="D47" s="3384"/>
      <c r="E47" s="3384"/>
      <c r="F47" s="3384"/>
      <c r="G47" s="3384"/>
      <c r="H47" s="3384"/>
      <c r="J47" s="2123"/>
      <c r="K47" s="3669"/>
      <c r="L47" s="3670"/>
    </row>
    <row r="48" spans="1:12" s="57" customFormat="1" ht="15" x14ac:dyDescent="0.25">
      <c r="B48" s="3384"/>
      <c r="C48" s="3384"/>
      <c r="D48" s="3384"/>
      <c r="E48" s="3384"/>
      <c r="F48" s="3384"/>
      <c r="G48" s="3384"/>
      <c r="H48" s="3384"/>
      <c r="J48" s="2124"/>
      <c r="K48" s="3670"/>
      <c r="L48" s="3670"/>
    </row>
    <row r="49" spans="1:12" s="57" customFormat="1" ht="15" x14ac:dyDescent="0.25">
      <c r="B49" s="3384"/>
      <c r="C49" s="3384"/>
      <c r="D49" s="3384"/>
      <c r="E49" s="3384"/>
      <c r="F49" s="3384"/>
      <c r="G49" s="3384"/>
      <c r="H49" s="3384"/>
      <c r="J49" s="2120"/>
      <c r="K49" s="3669"/>
      <c r="L49" s="3670"/>
    </row>
    <row r="50" spans="1:12" s="57" customFormat="1" ht="15" x14ac:dyDescent="0.25">
      <c r="J50" s="2124"/>
      <c r="K50" s="3669"/>
      <c r="L50" s="3670"/>
    </row>
    <row r="51" spans="1:12" s="57" customFormat="1" ht="15" x14ac:dyDescent="0.25">
      <c r="A51" s="55"/>
      <c r="B51" s="47"/>
      <c r="C51" s="62"/>
      <c r="D51" s="62"/>
      <c r="E51" s="65"/>
      <c r="F51" s="62"/>
      <c r="G51" s="62"/>
      <c r="H51" s="62"/>
      <c r="J51" s="2124"/>
      <c r="K51" s="3669"/>
      <c r="L51" s="3670"/>
    </row>
    <row r="52" spans="1:12" s="57" customFormat="1" ht="15" x14ac:dyDescent="0.25">
      <c r="B52" s="3384"/>
      <c r="C52" s="3384"/>
      <c r="D52" s="3384"/>
      <c r="E52" s="3384"/>
      <c r="F52" s="3384"/>
      <c r="G52" s="3384"/>
      <c r="H52" s="3384"/>
      <c r="J52" s="2124"/>
      <c r="K52" s="3669"/>
      <c r="L52" s="3670"/>
    </row>
    <row r="53" spans="1:12" s="57" customFormat="1" ht="15" x14ac:dyDescent="0.25">
      <c r="B53" s="3384"/>
      <c r="C53" s="3384"/>
      <c r="D53" s="3384"/>
      <c r="E53" s="3384"/>
      <c r="F53" s="3384"/>
      <c r="G53" s="3384"/>
      <c r="H53" s="62"/>
      <c r="J53" s="2124"/>
      <c r="K53" s="3669"/>
      <c r="L53" s="3670"/>
    </row>
    <row r="54" spans="1:12" s="57" customFormat="1" ht="15" x14ac:dyDescent="0.25">
      <c r="B54" s="3384"/>
      <c r="C54" s="3384"/>
      <c r="D54" s="3384"/>
      <c r="E54" s="3384"/>
      <c r="F54" s="3384"/>
      <c r="G54" s="3384"/>
      <c r="H54" s="3384"/>
      <c r="J54" s="2123"/>
      <c r="K54" s="3669"/>
      <c r="L54" s="3670"/>
    </row>
    <row r="55" spans="1:12" s="57" customFormat="1" ht="15" x14ac:dyDescent="0.25">
      <c r="B55" s="3384"/>
      <c r="C55" s="3384"/>
      <c r="D55" s="3384"/>
      <c r="E55" s="3384"/>
      <c r="F55" s="3384"/>
      <c r="G55" s="3384"/>
      <c r="H55" s="3384"/>
      <c r="J55" s="2124"/>
      <c r="K55" s="3670"/>
      <c r="L55" s="3670"/>
    </row>
    <row r="56" spans="1:12" s="57" customFormat="1" ht="15" x14ac:dyDescent="0.25">
      <c r="B56" s="3384"/>
      <c r="C56" s="3384"/>
      <c r="D56" s="3384"/>
      <c r="E56" s="3384"/>
      <c r="F56" s="3384"/>
      <c r="G56" s="3384"/>
      <c r="H56" s="3384"/>
      <c r="J56" s="2120"/>
      <c r="K56" s="3669"/>
      <c r="L56" s="3670"/>
    </row>
    <row r="57" spans="1:12" s="57" customFormat="1" ht="15" x14ac:dyDescent="0.25">
      <c r="A57" s="55"/>
      <c r="J57" s="2123"/>
      <c r="K57" s="3669"/>
      <c r="L57" s="3670"/>
    </row>
    <row r="58" spans="1:12" s="57" customFormat="1" ht="15" x14ac:dyDescent="0.25">
      <c r="B58" s="47"/>
      <c r="C58" s="62"/>
      <c r="D58" s="62"/>
      <c r="E58" s="65"/>
      <c r="F58" s="62"/>
      <c r="G58" s="62"/>
      <c r="H58" s="62"/>
      <c r="J58" s="2124"/>
      <c r="K58" s="3670"/>
      <c r="L58" s="3670"/>
    </row>
    <row r="59" spans="1:12" s="57" customFormat="1" ht="15" x14ac:dyDescent="0.25">
      <c r="B59" s="62"/>
      <c r="C59" s="62"/>
      <c r="D59" s="62"/>
      <c r="E59" s="62"/>
      <c r="F59" s="62"/>
      <c r="G59" s="62"/>
      <c r="H59" s="62"/>
      <c r="J59" s="2120"/>
      <c r="K59" s="3669"/>
      <c r="L59" s="3670"/>
    </row>
    <row r="60" spans="1:12" s="57" customFormat="1" ht="15" x14ac:dyDescent="0.25">
      <c r="B60" s="62"/>
      <c r="C60" s="62"/>
      <c r="D60" s="62"/>
      <c r="E60" s="62"/>
      <c r="F60" s="62"/>
      <c r="G60" s="62"/>
      <c r="H60" s="62"/>
      <c r="J60" s="2124"/>
      <c r="K60" s="3669"/>
      <c r="L60" s="3670"/>
    </row>
    <row r="61" spans="1:12" s="57" customFormat="1" ht="24.75" customHeight="1" x14ac:dyDescent="0.25">
      <c r="B61" s="3384"/>
      <c r="C61" s="3384"/>
      <c r="D61" s="3384"/>
      <c r="E61" s="3384"/>
      <c r="F61" s="3384"/>
      <c r="G61" s="3384"/>
      <c r="H61" s="62"/>
      <c r="J61" s="2124"/>
      <c r="K61" s="3669"/>
      <c r="L61" s="3670"/>
    </row>
    <row r="62" spans="1:12" s="57" customFormat="1" ht="15" x14ac:dyDescent="0.25">
      <c r="B62" s="3384"/>
      <c r="C62" s="3384"/>
      <c r="D62" s="3384"/>
      <c r="E62" s="3384"/>
      <c r="F62" s="3384"/>
      <c r="G62" s="3384"/>
      <c r="H62" s="62"/>
      <c r="J62" s="2124"/>
      <c r="K62" s="3669"/>
      <c r="L62" s="3670"/>
    </row>
    <row r="63" spans="1:12" s="66" customFormat="1" ht="15" x14ac:dyDescent="0.25">
      <c r="B63" s="3384"/>
      <c r="C63" s="3384"/>
      <c r="D63" s="3384"/>
      <c r="E63" s="3384"/>
      <c r="F63" s="3384"/>
      <c r="G63" s="3384"/>
      <c r="H63" s="67"/>
      <c r="J63" s="2124"/>
      <c r="K63" s="3669"/>
      <c r="L63" s="3670"/>
    </row>
    <row r="64" spans="1:12" s="57" customFormat="1" ht="15" x14ac:dyDescent="0.25">
      <c r="B64" s="47"/>
      <c r="C64" s="47"/>
      <c r="D64" s="47"/>
      <c r="E64" s="47"/>
      <c r="F64" s="47"/>
      <c r="G64" s="47"/>
      <c r="H64" s="62"/>
      <c r="J64" s="2124"/>
      <c r="K64" s="3669"/>
      <c r="L64" s="3670"/>
    </row>
    <row r="65" spans="1:12" s="57" customFormat="1" ht="15" x14ac:dyDescent="0.25">
      <c r="B65" s="3384"/>
      <c r="C65" s="3384"/>
      <c r="D65" s="3384"/>
      <c r="E65" s="3384"/>
      <c r="F65" s="3384"/>
      <c r="G65" s="3384"/>
      <c r="H65" s="62"/>
      <c r="J65" s="2124"/>
      <c r="K65" s="3669"/>
      <c r="L65" s="3670"/>
    </row>
    <row r="66" spans="1:12" s="57" customFormat="1" ht="16.5" customHeight="1" x14ac:dyDescent="0.25">
      <c r="B66" s="3384"/>
      <c r="C66" s="3384"/>
      <c r="D66" s="3384"/>
      <c r="E66" s="3384"/>
      <c r="F66" s="3384"/>
      <c r="G66" s="3384"/>
      <c r="H66" s="62"/>
      <c r="J66" s="2123"/>
      <c r="K66" s="3669"/>
      <c r="L66" s="3670"/>
    </row>
    <row r="67" spans="1:12" s="57" customFormat="1" ht="15" x14ac:dyDescent="0.25">
      <c r="B67" s="3384"/>
      <c r="C67" s="3384"/>
      <c r="D67" s="3384"/>
      <c r="E67" s="3384"/>
      <c r="F67" s="3384"/>
      <c r="G67" s="3384"/>
      <c r="H67" s="62"/>
      <c r="J67" s="2123"/>
      <c r="K67" s="2117"/>
      <c r="L67" s="2118"/>
    </row>
    <row r="68" spans="1:12" s="57" customFormat="1" ht="15" hidden="1" x14ac:dyDescent="0.25">
      <c r="B68" s="3384"/>
      <c r="C68" s="3384"/>
      <c r="D68" s="3384"/>
      <c r="E68" s="3384"/>
      <c r="F68" s="3384"/>
      <c r="G68" s="3384"/>
      <c r="H68" s="62"/>
      <c r="J68" s="2120"/>
      <c r="K68" s="2117"/>
      <c r="L68" s="2117"/>
    </row>
    <row r="69" spans="1:12" s="57" customFormat="1" ht="15" x14ac:dyDescent="0.25">
      <c r="B69" s="3384"/>
      <c r="C69" s="3384"/>
      <c r="D69" s="3384"/>
      <c r="E69" s="3384"/>
      <c r="F69" s="3384"/>
      <c r="G69" s="3384"/>
      <c r="H69" s="62"/>
      <c r="J69" s="2120"/>
      <c r="K69" s="3669"/>
      <c r="L69" s="3670"/>
    </row>
    <row r="70" spans="1:12" s="57" customFormat="1" ht="15" x14ac:dyDescent="0.25">
      <c r="B70" s="47"/>
      <c r="C70" s="62"/>
      <c r="D70" s="62"/>
      <c r="E70" s="62"/>
      <c r="F70" s="62"/>
      <c r="G70" s="62"/>
      <c r="H70" s="62"/>
      <c r="J70" s="2122"/>
      <c r="K70" s="3669"/>
      <c r="L70" s="3670"/>
    </row>
    <row r="71" spans="1:12" s="57" customFormat="1" ht="15" x14ac:dyDescent="0.25">
      <c r="B71" s="62"/>
      <c r="C71" s="62"/>
      <c r="D71" s="62"/>
      <c r="E71" s="62"/>
      <c r="F71" s="62"/>
      <c r="G71" s="62"/>
      <c r="H71" s="62"/>
      <c r="J71" s="2122"/>
      <c r="K71" s="3669"/>
      <c r="L71" s="3670"/>
    </row>
    <row r="72" spans="1:12" s="57" customFormat="1" ht="15" x14ac:dyDescent="0.25">
      <c r="B72" s="3384"/>
      <c r="C72" s="3384"/>
      <c r="D72" s="3384"/>
      <c r="E72" s="3384"/>
      <c r="F72" s="3384"/>
      <c r="G72" s="3384"/>
      <c r="H72" s="3384"/>
      <c r="J72" s="2122"/>
      <c r="K72" s="3669"/>
      <c r="L72" s="3670"/>
    </row>
    <row r="73" spans="1:12" s="57" customFormat="1" ht="15" x14ac:dyDescent="0.25">
      <c r="B73" s="3384"/>
      <c r="C73" s="3384"/>
      <c r="D73" s="3384"/>
      <c r="E73" s="3384"/>
      <c r="F73" s="3384"/>
      <c r="G73" s="3384"/>
      <c r="H73" s="3384"/>
      <c r="J73" s="2122"/>
      <c r="K73" s="3669"/>
      <c r="L73" s="3670"/>
    </row>
    <row r="74" spans="1:12" s="57" customFormat="1" ht="15" x14ac:dyDescent="0.25">
      <c r="B74" s="3384"/>
      <c r="C74" s="3384"/>
      <c r="D74" s="3384"/>
      <c r="E74" s="3384"/>
      <c r="F74" s="3384"/>
      <c r="G74" s="3384"/>
      <c r="H74" s="3384"/>
      <c r="J74" s="2122"/>
      <c r="K74" s="3669"/>
      <c r="L74" s="3670"/>
    </row>
    <row r="75" spans="1:12" s="57" customFormat="1" ht="15" x14ac:dyDescent="0.25">
      <c r="B75" s="3384"/>
      <c r="C75" s="3384"/>
      <c r="D75" s="3384"/>
      <c r="E75" s="3384"/>
      <c r="F75" s="3384"/>
      <c r="G75" s="3384"/>
      <c r="H75" s="3384"/>
      <c r="J75" s="2122"/>
      <c r="K75" s="3669"/>
      <c r="L75" s="3670"/>
    </row>
    <row r="76" spans="1:12" s="57" customFormat="1" ht="15" x14ac:dyDescent="0.25">
      <c r="B76" s="3384"/>
      <c r="C76" s="3384"/>
      <c r="D76" s="3384"/>
      <c r="E76" s="3384"/>
      <c r="F76" s="3384"/>
      <c r="G76" s="3384"/>
      <c r="H76" s="3384"/>
      <c r="J76" s="2121"/>
      <c r="K76" s="3669"/>
      <c r="L76" s="3670"/>
    </row>
    <row r="77" spans="1:12" s="57" customFormat="1" ht="15" hidden="1" x14ac:dyDescent="0.25">
      <c r="J77" s="2121"/>
      <c r="K77" s="3670"/>
      <c r="L77" s="3670"/>
    </row>
    <row r="78" spans="1:12" s="57" customFormat="1" ht="15" hidden="1" x14ac:dyDescent="0.25">
      <c r="A78" s="55"/>
      <c r="B78" s="2303"/>
      <c r="C78" s="53"/>
      <c r="D78" s="53"/>
      <c r="E78" s="64"/>
      <c r="F78" s="53"/>
      <c r="G78" s="53"/>
      <c r="H78" s="52"/>
      <c r="J78" s="2119"/>
      <c r="K78" s="3670"/>
      <c r="L78" s="3670"/>
    </row>
    <row r="79" spans="1:12" s="57" customFormat="1" ht="15" hidden="1" x14ac:dyDescent="0.25">
      <c r="B79" s="3384"/>
      <c r="C79" s="3384"/>
      <c r="D79" s="3384"/>
      <c r="E79" s="3384"/>
      <c r="F79" s="3384"/>
      <c r="G79" s="3384"/>
      <c r="H79" s="3384"/>
      <c r="J79" s="2119"/>
      <c r="K79" s="3670"/>
      <c r="L79" s="3670"/>
    </row>
    <row r="80" spans="1:12" s="57" customFormat="1" ht="30" hidden="1" customHeight="1" x14ac:dyDescent="0.25">
      <c r="J80" s="2119"/>
      <c r="K80" s="3670"/>
      <c r="L80" s="3670"/>
    </row>
    <row r="81" spans="1:12" s="57" customFormat="1" ht="95.25" customHeight="1" x14ac:dyDescent="0.25">
      <c r="A81" s="55"/>
      <c r="B81" s="2303"/>
      <c r="C81" s="53"/>
      <c r="D81" s="53"/>
      <c r="E81" s="64"/>
      <c r="F81" s="53"/>
      <c r="G81" s="53"/>
      <c r="H81" s="52"/>
      <c r="J81" s="2119"/>
      <c r="K81" s="3670"/>
      <c r="L81" s="3670"/>
    </row>
    <row r="82" spans="1:12" s="57" customFormat="1" ht="39.75" customHeight="1" x14ac:dyDescent="0.25">
      <c r="B82" s="3384"/>
      <c r="C82" s="3384"/>
      <c r="D82" s="3384"/>
      <c r="E82" s="3384"/>
      <c r="F82" s="3384"/>
      <c r="G82" s="3384"/>
      <c r="H82" s="3384"/>
    </row>
    <row r="83" spans="1:12" s="57" customFormat="1" ht="25.5" hidden="1" customHeight="1" x14ac:dyDescent="0.25">
      <c r="B83" s="3384"/>
      <c r="C83" s="3384"/>
      <c r="D83" s="3384"/>
      <c r="E83" s="3384"/>
      <c r="F83" s="3384"/>
      <c r="G83" s="3384"/>
      <c r="H83" s="3384"/>
    </row>
    <row r="84" spans="1:12" s="57" customFormat="1" hidden="1" x14ac:dyDescent="0.2">
      <c r="B84" s="62"/>
      <c r="C84" s="53"/>
      <c r="D84" s="53"/>
      <c r="E84" s="53"/>
      <c r="F84" s="53"/>
      <c r="G84" s="53"/>
      <c r="H84" s="52"/>
    </row>
    <row r="85" spans="1:12" s="57" customFormat="1" hidden="1" x14ac:dyDescent="0.2"/>
    <row r="86" spans="1:12" s="57" customFormat="1" hidden="1" x14ac:dyDescent="0.2">
      <c r="A86" s="55"/>
      <c r="B86" s="2303"/>
      <c r="C86" s="53"/>
      <c r="D86" s="53"/>
      <c r="E86" s="64"/>
      <c r="F86" s="53"/>
      <c r="G86" s="53"/>
      <c r="H86" s="52"/>
    </row>
    <row r="87" spans="1:12" s="57" customFormat="1" ht="29.25" hidden="1" customHeight="1" x14ac:dyDescent="0.25">
      <c r="B87" s="3384"/>
      <c r="C87" s="3384"/>
      <c r="D87" s="3384"/>
      <c r="E87" s="3384"/>
      <c r="F87" s="3384"/>
      <c r="G87" s="3384"/>
      <c r="H87" s="3384"/>
    </row>
    <row r="88" spans="1:12" s="57" customFormat="1" hidden="1" x14ac:dyDescent="0.2">
      <c r="B88" s="51"/>
      <c r="C88" s="53"/>
      <c r="D88" s="53"/>
      <c r="E88" s="53"/>
      <c r="F88" s="53"/>
      <c r="G88" s="53"/>
      <c r="H88" s="52"/>
    </row>
    <row r="89" spans="1:12" s="57" customFormat="1" hidden="1" x14ac:dyDescent="0.2"/>
    <row r="90" spans="1:12" s="57" customFormat="1" hidden="1" x14ac:dyDescent="0.2">
      <c r="A90" s="55"/>
      <c r="B90" s="68"/>
    </row>
    <row r="91" spans="1:12" s="57" customFormat="1" ht="29.25" hidden="1" customHeight="1" x14ac:dyDescent="0.25">
      <c r="B91" s="3384"/>
      <c r="C91" s="3384"/>
      <c r="D91" s="3384"/>
      <c r="E91" s="3384"/>
      <c r="F91" s="3384"/>
      <c r="G91" s="3384"/>
      <c r="H91" s="3384"/>
    </row>
    <row r="92" spans="1:12" s="57" customFormat="1" ht="30.75" hidden="1" customHeight="1" x14ac:dyDescent="0.25">
      <c r="B92" s="3384"/>
      <c r="C92" s="3384"/>
      <c r="D92" s="3384"/>
      <c r="E92" s="3384"/>
      <c r="F92" s="3384"/>
      <c r="G92" s="3384"/>
      <c r="H92" s="3384"/>
    </row>
    <row r="93" spans="1:12" s="57" customFormat="1" ht="29.25" hidden="1" customHeight="1" x14ac:dyDescent="0.25">
      <c r="B93" s="3384"/>
      <c r="C93" s="3384"/>
      <c r="D93" s="3384"/>
      <c r="E93" s="3384"/>
      <c r="F93" s="3384"/>
      <c r="G93" s="3384"/>
      <c r="H93" s="3384"/>
    </row>
    <row r="94" spans="1:12" s="57" customFormat="1" hidden="1" x14ac:dyDescent="0.2">
      <c r="B94" s="51"/>
      <c r="C94" s="53"/>
      <c r="D94" s="53"/>
      <c r="E94" s="53"/>
      <c r="F94" s="53"/>
      <c r="G94" s="53"/>
      <c r="H94" s="52"/>
    </row>
    <row r="95" spans="1:12" s="57" customFormat="1" hidden="1" x14ac:dyDescent="0.2"/>
    <row r="96" spans="1:12" s="57" customFormat="1" hidden="1" x14ac:dyDescent="0.2"/>
    <row r="97" spans="1:4" s="57" customFormat="1" hidden="1" x14ac:dyDescent="0.2"/>
    <row r="98" spans="1:4" s="57" customFormat="1" ht="15" hidden="1" x14ac:dyDescent="0.25">
      <c r="A98" s="3384"/>
      <c r="B98" s="3384"/>
    </row>
    <row r="99" spans="1:4" s="57" customFormat="1" hidden="1" x14ac:dyDescent="0.2"/>
    <row r="100" spans="1:4" s="57" customFormat="1" hidden="1" x14ac:dyDescent="0.2">
      <c r="A100" s="985"/>
      <c r="B100" s="985"/>
      <c r="C100" s="985"/>
      <c r="D100" s="986"/>
    </row>
    <row r="101" spans="1:4" s="57" customFormat="1" hidden="1" x14ac:dyDescent="0.2">
      <c r="A101" s="987"/>
      <c r="B101" s="988"/>
      <c r="C101" s="989"/>
      <c r="D101" s="987"/>
    </row>
    <row r="102" spans="1:4" s="57" customFormat="1" hidden="1" x14ac:dyDescent="0.2">
      <c r="A102" s="987"/>
      <c r="B102" s="988"/>
      <c r="C102" s="989"/>
      <c r="D102" s="987"/>
    </row>
    <row r="103" spans="1:4" s="57" customFormat="1" hidden="1" x14ac:dyDescent="0.2">
      <c r="A103" s="987"/>
      <c r="B103" s="988"/>
      <c r="C103" s="989"/>
      <c r="D103" s="987"/>
    </row>
    <row r="104" spans="1:4" s="57" customFormat="1" hidden="1" x14ac:dyDescent="0.2">
      <c r="A104" s="987"/>
      <c r="B104" s="988"/>
      <c r="C104" s="989"/>
      <c r="D104" s="987"/>
    </row>
    <row r="105" spans="1:4" s="57" customFormat="1" hidden="1" x14ac:dyDescent="0.2">
      <c r="A105" s="987"/>
      <c r="B105" s="988"/>
      <c r="C105" s="989"/>
      <c r="D105" s="987"/>
    </row>
    <row r="106" spans="1:4" s="57" customFormat="1" hidden="1" x14ac:dyDescent="0.2">
      <c r="A106" s="987"/>
      <c r="B106" s="988"/>
      <c r="C106" s="990"/>
      <c r="D106" s="991"/>
    </row>
    <row r="107" spans="1:4" s="57" customFormat="1" hidden="1" x14ac:dyDescent="0.2">
      <c r="A107" s="987"/>
      <c r="B107" s="988"/>
      <c r="C107" s="990"/>
      <c r="D107" s="991"/>
    </row>
    <row r="108" spans="1:4" s="57" customFormat="1" hidden="1" x14ac:dyDescent="0.2">
      <c r="A108" s="987"/>
      <c r="B108" s="988"/>
      <c r="C108" s="990"/>
      <c r="D108" s="991"/>
    </row>
    <row r="109" spans="1:4" s="57" customFormat="1" hidden="1" x14ac:dyDescent="0.2">
      <c r="A109" s="991"/>
      <c r="B109" s="988"/>
      <c r="C109" s="990"/>
      <c r="D109" s="991"/>
    </row>
    <row r="110" spans="1:4" s="57" customFormat="1" hidden="1" x14ac:dyDescent="0.2">
      <c r="A110" s="987"/>
      <c r="B110" s="988"/>
      <c r="C110" s="992"/>
      <c r="D110" s="991"/>
    </row>
    <row r="111" spans="1:4" s="57" customFormat="1" hidden="1" x14ac:dyDescent="0.2">
      <c r="A111" s="987"/>
      <c r="B111" s="988"/>
      <c r="C111" s="990"/>
      <c r="D111" s="987"/>
    </row>
    <row r="112" spans="1:4" s="57" customFormat="1" hidden="1" x14ac:dyDescent="0.2">
      <c r="A112" s="987"/>
      <c r="B112" s="988"/>
      <c r="C112" s="990"/>
      <c r="D112" s="987"/>
    </row>
    <row r="113" spans="1:4" s="57" customFormat="1" hidden="1" x14ac:dyDescent="0.2">
      <c r="A113" s="987"/>
      <c r="B113" s="988"/>
      <c r="C113" s="990"/>
      <c r="D113" s="987"/>
    </row>
    <row r="114" spans="1:4" s="57" customFormat="1" hidden="1" x14ac:dyDescent="0.2">
      <c r="A114" s="987"/>
      <c r="B114" s="988"/>
      <c r="C114" s="990"/>
      <c r="D114" s="987"/>
    </row>
    <row r="115" spans="1:4" s="57" customFormat="1" hidden="1" x14ac:dyDescent="0.2">
      <c r="A115" s="987"/>
      <c r="B115" s="988"/>
      <c r="C115" s="990"/>
      <c r="D115" s="993"/>
    </row>
    <row r="116" spans="1:4" s="57" customFormat="1" hidden="1" x14ac:dyDescent="0.2">
      <c r="A116" s="987"/>
      <c r="B116" s="988"/>
      <c r="C116" s="990"/>
      <c r="D116" s="993"/>
    </row>
    <row r="117" spans="1:4" s="57" customFormat="1" hidden="1" x14ac:dyDescent="0.2">
      <c r="A117" s="987"/>
      <c r="B117" s="988"/>
      <c r="C117" s="990"/>
      <c r="D117" s="993"/>
    </row>
    <row r="118" spans="1:4" s="57" customFormat="1" hidden="1" x14ac:dyDescent="0.2">
      <c r="A118" s="987"/>
      <c r="B118" s="988"/>
      <c r="C118" s="990"/>
      <c r="D118" s="993"/>
    </row>
    <row r="119" spans="1:4" s="57" customFormat="1" hidden="1" x14ac:dyDescent="0.2">
      <c r="A119" s="987"/>
      <c r="B119" s="988"/>
      <c r="C119" s="990"/>
      <c r="D119" s="993"/>
    </row>
    <row r="120" spans="1:4" s="57" customFormat="1" hidden="1" x14ac:dyDescent="0.2">
      <c r="A120" s="987"/>
      <c r="B120" s="988"/>
      <c r="C120" s="990"/>
      <c r="D120" s="993"/>
    </row>
    <row r="121" spans="1:4" s="57" customFormat="1" hidden="1" x14ac:dyDescent="0.2">
      <c r="A121" s="987"/>
      <c r="B121" s="988"/>
      <c r="C121" s="990"/>
      <c r="D121" s="993"/>
    </row>
    <row r="122" spans="1:4" s="57" customFormat="1" hidden="1" x14ac:dyDescent="0.2">
      <c r="A122" s="987"/>
      <c r="B122" s="988"/>
      <c r="C122" s="994"/>
      <c r="D122" s="987"/>
    </row>
    <row r="123" spans="1:4" s="57" customFormat="1" hidden="1" x14ac:dyDescent="0.2">
      <c r="A123" s="987"/>
      <c r="B123" s="988"/>
      <c r="C123" s="990"/>
      <c r="D123" s="987"/>
    </row>
    <row r="124" spans="1:4" s="57" customFormat="1" hidden="1" x14ac:dyDescent="0.2">
      <c r="A124" s="987"/>
      <c r="B124" s="988"/>
      <c r="C124" s="990"/>
      <c r="D124" s="987"/>
    </row>
    <row r="125" spans="1:4" s="57" customFormat="1" hidden="1" x14ac:dyDescent="0.2">
      <c r="A125" s="987"/>
      <c r="B125" s="988"/>
      <c r="C125" s="990"/>
      <c r="D125" s="987"/>
    </row>
    <row r="126" spans="1:4" s="57" customFormat="1" hidden="1" x14ac:dyDescent="0.2">
      <c r="A126" s="987"/>
      <c r="B126" s="988"/>
      <c r="C126" s="990"/>
      <c r="D126" s="995"/>
    </row>
    <row r="127" spans="1:4" s="57" customFormat="1" hidden="1" x14ac:dyDescent="0.2">
      <c r="A127" s="987"/>
      <c r="B127" s="988"/>
      <c r="C127" s="990"/>
      <c r="D127" s="987"/>
    </row>
    <row r="128" spans="1:4" s="57" customFormat="1" hidden="1" x14ac:dyDescent="0.2">
      <c r="A128" s="987"/>
      <c r="B128" s="988"/>
      <c r="C128" s="990"/>
      <c r="D128" s="987"/>
    </row>
  </sheetData>
  <mergeCells count="114">
    <mergeCell ref="A98:B98"/>
    <mergeCell ref="J1:U1"/>
    <mergeCell ref="J2:U2"/>
    <mergeCell ref="K3:U3"/>
    <mergeCell ref="K4:U4"/>
    <mergeCell ref="K5:U5"/>
    <mergeCell ref="J8:U8"/>
    <mergeCell ref="K9:U9"/>
    <mergeCell ref="K10:U10"/>
    <mergeCell ref="K11:U11"/>
    <mergeCell ref="B82:H82"/>
    <mergeCell ref="B83:H83"/>
    <mergeCell ref="B87:H87"/>
    <mergeCell ref="B91:H91"/>
    <mergeCell ref="B92:H92"/>
    <mergeCell ref="B93:H93"/>
    <mergeCell ref="K77:L77"/>
    <mergeCell ref="K78:L78"/>
    <mergeCell ref="B79:H79"/>
    <mergeCell ref="K79:L79"/>
    <mergeCell ref="K80:L80"/>
    <mergeCell ref="K81:L81"/>
    <mergeCell ref="B74:H74"/>
    <mergeCell ref="K74:L74"/>
    <mergeCell ref="B75:H75"/>
    <mergeCell ref="K75:L75"/>
    <mergeCell ref="B76:H76"/>
    <mergeCell ref="K76:L76"/>
    <mergeCell ref="K70:L70"/>
    <mergeCell ref="K71:L71"/>
    <mergeCell ref="B72:H72"/>
    <mergeCell ref="K72:L72"/>
    <mergeCell ref="B73:H73"/>
    <mergeCell ref="K73:L73"/>
    <mergeCell ref="B66:G66"/>
    <mergeCell ref="K66:L66"/>
    <mergeCell ref="B67:G67"/>
    <mergeCell ref="B68:G68"/>
    <mergeCell ref="B69:G69"/>
    <mergeCell ref="K69:L69"/>
    <mergeCell ref="B62:G62"/>
    <mergeCell ref="K62:L62"/>
    <mergeCell ref="B63:G63"/>
    <mergeCell ref="K63:L63"/>
    <mergeCell ref="K64:L64"/>
    <mergeCell ref="B65:G65"/>
    <mergeCell ref="K65:L65"/>
    <mergeCell ref="K57:L57"/>
    <mergeCell ref="K58:L58"/>
    <mergeCell ref="K59:L59"/>
    <mergeCell ref="K60:L60"/>
    <mergeCell ref="B61:G61"/>
    <mergeCell ref="K61:L61"/>
    <mergeCell ref="B54:H54"/>
    <mergeCell ref="K54:L54"/>
    <mergeCell ref="B55:H55"/>
    <mergeCell ref="K55:L55"/>
    <mergeCell ref="B56:H56"/>
    <mergeCell ref="K56:L56"/>
    <mergeCell ref="K50:L50"/>
    <mergeCell ref="K51:L51"/>
    <mergeCell ref="B52:H52"/>
    <mergeCell ref="K52:L52"/>
    <mergeCell ref="B53:G53"/>
    <mergeCell ref="K53:L53"/>
    <mergeCell ref="B47:H47"/>
    <mergeCell ref="K47:L47"/>
    <mergeCell ref="B48:H48"/>
    <mergeCell ref="K48:L48"/>
    <mergeCell ref="B49:H49"/>
    <mergeCell ref="K49:L49"/>
    <mergeCell ref="K43:L43"/>
    <mergeCell ref="B44:H44"/>
    <mergeCell ref="K44:L44"/>
    <mergeCell ref="B45:H45"/>
    <mergeCell ref="K45:L45"/>
    <mergeCell ref="B46:H46"/>
    <mergeCell ref="K46:L46"/>
    <mergeCell ref="K38:L38"/>
    <mergeCell ref="B39:H39"/>
    <mergeCell ref="K39:L39"/>
    <mergeCell ref="K40:L40"/>
    <mergeCell ref="K41:L41"/>
    <mergeCell ref="K42:L42"/>
    <mergeCell ref="K33:L33"/>
    <mergeCell ref="B34:H34"/>
    <mergeCell ref="K34:L34"/>
    <mergeCell ref="K35:L35"/>
    <mergeCell ref="K36:L36"/>
    <mergeCell ref="K37:L37"/>
    <mergeCell ref="B29:H29"/>
    <mergeCell ref="B30:H30"/>
    <mergeCell ref="K31:L31"/>
    <mergeCell ref="K32:L32"/>
    <mergeCell ref="K29:U29"/>
    <mergeCell ref="K30:U30"/>
    <mergeCell ref="A2:B2"/>
    <mergeCell ref="B27:H27"/>
    <mergeCell ref="B28:H28"/>
    <mergeCell ref="K24:U24"/>
    <mergeCell ref="K25:U25"/>
    <mergeCell ref="K26:U26"/>
    <mergeCell ref="K12:U12"/>
    <mergeCell ref="K13:U13"/>
    <mergeCell ref="J16:U16"/>
    <mergeCell ref="K17:U17"/>
    <mergeCell ref="K27:U27"/>
    <mergeCell ref="K28:U28"/>
    <mergeCell ref="K18:U18"/>
    <mergeCell ref="K19:U19"/>
    <mergeCell ref="K20:U20"/>
    <mergeCell ref="K21:U21"/>
    <mergeCell ref="K22:U22"/>
    <mergeCell ref="K23:U23"/>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dimension ref="A1:IV14"/>
  <sheetViews>
    <sheetView showGridLines="0" showRowColHeaders="0" zoomScaleNormal="100" workbookViewId="0"/>
  </sheetViews>
  <sheetFormatPr defaultColWidth="0" defaultRowHeight="0" customHeight="1" zeroHeight="1" x14ac:dyDescent="0.25"/>
  <cols>
    <col min="1" max="1" width="3.85546875" style="1769" customWidth="1"/>
    <col min="2" max="2" width="2.28515625" style="1769" customWidth="1"/>
    <col min="3" max="3" width="9.28515625" style="1769" customWidth="1"/>
    <col min="4" max="4" width="7.85546875" style="1769" customWidth="1"/>
    <col min="5" max="5" width="20.140625" style="2132" customWidth="1"/>
    <col min="6" max="6" width="16.42578125" style="1769" customWidth="1"/>
    <col min="7" max="7" width="19.7109375" style="1769" customWidth="1"/>
    <col min="8" max="9" width="32.7109375" style="1769" customWidth="1"/>
    <col min="10" max="10" width="39" style="1769" customWidth="1"/>
    <col min="11" max="11" width="36" style="1769" customWidth="1"/>
    <col min="12" max="12" width="32.7109375" style="1769" customWidth="1"/>
    <col min="13" max="13" width="30.5703125" style="1769" customWidth="1"/>
    <col min="14" max="14" width="32.7109375" style="1769" customWidth="1"/>
    <col min="15" max="15" width="27.5703125" style="1769" customWidth="1"/>
    <col min="16" max="16" width="19" style="1769" hidden="1" customWidth="1"/>
    <col min="17" max="17" width="18.42578125" style="1769" hidden="1" customWidth="1"/>
    <col min="18" max="18" width="32.7109375" style="1769" customWidth="1"/>
    <col min="19" max="19" width="32.28515625" style="1769" customWidth="1"/>
    <col min="20" max="20" width="26" style="1769" customWidth="1"/>
    <col min="21" max="21" width="2.28515625" style="1769" customWidth="1"/>
    <col min="22" max="22" width="31.42578125" style="1769" customWidth="1"/>
    <col min="23" max="27" width="9.140625" style="1769" hidden="1" customWidth="1"/>
    <col min="28" max="28" width="27.85546875" style="1769" hidden="1" customWidth="1"/>
    <col min="29" max="256" width="9.140625" style="1769" hidden="1" customWidth="1"/>
    <col min="257" max="16384" width="8.140625" style="1769" hidden="1"/>
  </cols>
  <sheetData>
    <row r="1" spans="2:28" ht="15.75" thickBot="1" x14ac:dyDescent="0.3"/>
    <row r="2" spans="2:28" ht="15" x14ac:dyDescent="0.25">
      <c r="B2" s="1251"/>
      <c r="C2" s="1250"/>
      <c r="D2" s="1250"/>
      <c r="E2" s="1250"/>
      <c r="F2" s="1250"/>
      <c r="G2" s="1250"/>
      <c r="H2" s="1250"/>
      <c r="I2" s="1250"/>
      <c r="J2" s="1250"/>
      <c r="K2" s="1250"/>
      <c r="L2" s="1250"/>
      <c r="M2" s="1250"/>
      <c r="N2" s="1250"/>
      <c r="O2" s="1250"/>
      <c r="P2" s="1250"/>
      <c r="Q2" s="1250"/>
      <c r="R2" s="1250"/>
      <c r="S2" s="1250"/>
      <c r="T2" s="1250"/>
      <c r="U2" s="1249"/>
      <c r="V2" s="2082"/>
    </row>
    <row r="3" spans="2:28" ht="15" x14ac:dyDescent="0.25">
      <c r="B3" s="1248"/>
      <c r="C3" s="3650" t="s">
        <v>9815</v>
      </c>
      <c r="D3" s="3651"/>
      <c r="E3" s="3192" t="s">
        <v>8980</v>
      </c>
      <c r="F3" s="3192"/>
      <c r="G3" s="3192"/>
      <c r="H3" s="3192"/>
      <c r="I3" s="3192"/>
      <c r="J3" s="3192"/>
      <c r="K3" s="3192"/>
      <c r="L3" s="3192"/>
      <c r="M3" s="3192"/>
      <c r="N3" s="3192"/>
      <c r="O3" s="3192"/>
      <c r="P3" s="3192"/>
      <c r="Q3" s="3192"/>
      <c r="R3" s="3192"/>
      <c r="S3" s="3192"/>
      <c r="T3" s="3657"/>
      <c r="U3" s="1247"/>
      <c r="V3" s="2082"/>
    </row>
    <row r="4" spans="2:28" ht="63.75" x14ac:dyDescent="0.25">
      <c r="B4" s="1248"/>
      <c r="C4" s="241"/>
      <c r="D4" s="314" t="s">
        <v>7563</v>
      </c>
      <c r="E4" s="2133" t="s">
        <v>12763</v>
      </c>
      <c r="F4" s="314" t="s">
        <v>11847</v>
      </c>
      <c r="G4" s="314" t="s">
        <v>9802</v>
      </c>
      <c r="H4" s="314" t="s">
        <v>9803</v>
      </c>
      <c r="I4" s="314" t="s">
        <v>9804</v>
      </c>
      <c r="J4" s="314" t="s">
        <v>12766</v>
      </c>
      <c r="K4" s="314" t="s">
        <v>11972</v>
      </c>
      <c r="L4" s="314" t="s">
        <v>9230</v>
      </c>
      <c r="M4" s="314" t="s">
        <v>12764</v>
      </c>
      <c r="N4" s="314" t="s">
        <v>9805</v>
      </c>
      <c r="O4" s="314" t="s">
        <v>12765</v>
      </c>
      <c r="P4" s="314" t="s">
        <v>11827</v>
      </c>
      <c r="Q4" s="314" t="s">
        <v>11828</v>
      </c>
      <c r="R4" s="314" t="s">
        <v>900</v>
      </c>
      <c r="S4" s="314" t="s">
        <v>11973</v>
      </c>
      <c r="T4" s="314" t="s">
        <v>11974</v>
      </c>
      <c r="U4" s="1247"/>
      <c r="V4" s="2082"/>
    </row>
    <row r="5" spans="2:28" ht="15" x14ac:dyDescent="0.25">
      <c r="B5" s="1248"/>
      <c r="C5" s="839"/>
      <c r="D5" s="314" t="s">
        <v>8755</v>
      </c>
      <c r="E5" s="2133" t="s">
        <v>12762</v>
      </c>
      <c r="F5" s="314" t="s">
        <v>8756</v>
      </c>
      <c r="G5" s="314" t="s">
        <v>8757</v>
      </c>
      <c r="H5" s="314" t="s">
        <v>8758</v>
      </c>
      <c r="I5" s="314" t="s">
        <v>9806</v>
      </c>
      <c r="J5" s="314" t="s">
        <v>9807</v>
      </c>
      <c r="K5" s="314" t="s">
        <v>9808</v>
      </c>
      <c r="L5" s="314" t="s">
        <v>9809</v>
      </c>
      <c r="M5" s="314" t="s">
        <v>9810</v>
      </c>
      <c r="N5" s="314" t="s">
        <v>9811</v>
      </c>
      <c r="O5" s="314" t="s">
        <v>9812</v>
      </c>
      <c r="P5" s="314" t="s">
        <v>9813</v>
      </c>
      <c r="Q5" s="314" t="s">
        <v>9582</v>
      </c>
      <c r="R5" s="314" t="s">
        <v>9813</v>
      </c>
      <c r="S5" s="314" t="s">
        <v>9582</v>
      </c>
      <c r="T5" s="314" t="s">
        <v>9814</v>
      </c>
      <c r="U5" s="1247"/>
      <c r="V5" s="2082"/>
    </row>
    <row r="6" spans="2:28" ht="15" x14ac:dyDescent="0.25">
      <c r="B6" s="1248"/>
      <c r="C6" s="839"/>
      <c r="D6" s="1252">
        <v>1</v>
      </c>
      <c r="E6" s="2647" t="s">
        <v>12</v>
      </c>
      <c r="F6" s="2647"/>
      <c r="G6" s="2647"/>
      <c r="H6" s="2136"/>
      <c r="I6" s="2136"/>
      <c r="J6" s="2146">
        <f>ROUND(MAX(0,ROUND(H6,4)*ROUND(I6,4)),0)</f>
        <v>0</v>
      </c>
      <c r="K6" s="2145">
        <f>ROUND(MAX(0,ROUND(L6,4),ROUND(M6,0)),0)</f>
        <v>0</v>
      </c>
      <c r="L6" s="2136"/>
      <c r="M6" s="2145">
        <f>ROUND(MAX(0,MIN(ROUND(O6,0),ROUND(J6,0))),0)</f>
        <v>0</v>
      </c>
      <c r="N6" s="2136"/>
      <c r="O6" s="2145">
        <f>ROUND(MAX(0,ROUND(H6,4)*ROUND(N6,4)),0)</f>
        <v>0</v>
      </c>
      <c r="P6" s="2137">
        <v>0</v>
      </c>
      <c r="Q6" s="2139"/>
      <c r="R6" s="2643"/>
      <c r="S6" s="2145">
        <f>ROUND(MAX(0,SUM(ROUND(K6,0),ROUND(R6,4))),0)</f>
        <v>0</v>
      </c>
      <c r="T6" s="2145">
        <f>ROUND(ROUND(J6,0)-ROUND(S6,0),0)</f>
        <v>0</v>
      </c>
      <c r="U6" s="1247"/>
      <c r="V6" s="2082"/>
      <c r="AB6" s="1788" t="b">
        <f>IF(ISERROR(IF(F6&lt;&gt;"",VLOOKUP(F6,ISIN112A,2,FALSE))),"",IF(F6&lt;&gt;"",VLOOKUP(F6,ISIN112A,2,FALSE)))</f>
        <v>0</v>
      </c>
    </row>
    <row r="7" spans="2:28" ht="15" x14ac:dyDescent="0.25">
      <c r="B7" s="1248"/>
      <c r="C7" s="839"/>
      <c r="D7" s="1252">
        <f>D6+1</f>
        <v>2</v>
      </c>
      <c r="E7" s="2647" t="s">
        <v>12</v>
      </c>
      <c r="F7" s="2647"/>
      <c r="G7" s="2647"/>
      <c r="H7" s="2136"/>
      <c r="I7" s="2136"/>
      <c r="J7" s="2146">
        <f>ROUND(MAX(0,ROUND(H7,4)*ROUND(I7,4)),0)</f>
        <v>0</v>
      </c>
      <c r="K7" s="2147">
        <f>ROUND(MAX(0,ROUND(L7,4),ROUND(M7,0)),0)</f>
        <v>0</v>
      </c>
      <c r="L7" s="2136"/>
      <c r="M7" s="2147">
        <f>ROUND(MAX(0,MIN(ROUND(O7,0),ROUND(J7,0))),0)</f>
        <v>0</v>
      </c>
      <c r="N7" s="2136"/>
      <c r="O7" s="2147">
        <f>ROUND(MAX(0,ROUND(H7,4)*ROUND(N7,4)),0)</f>
        <v>0</v>
      </c>
      <c r="P7" s="2137">
        <v>0</v>
      </c>
      <c r="Q7" s="2139"/>
      <c r="R7" s="2643"/>
      <c r="S7" s="2147">
        <f>ROUND(MAX(0,SUM(ROUND(K7,0),ROUND(R7,4))),0)</f>
        <v>0</v>
      </c>
      <c r="T7" s="2147">
        <f>ROUND(ROUND(J7,0)-ROUND(S7,0),0)</f>
        <v>0</v>
      </c>
      <c r="U7" s="1247"/>
      <c r="V7" s="2082"/>
      <c r="AB7" s="1788" t="b">
        <f>IF(ISERROR(IF(F7&lt;&gt;"",VLOOKUP(F7,ISIN112A,2,FALSE))),"",IF(F7&lt;&gt;"",VLOOKUP(F7,ISIN112A,2,FALSE)))</f>
        <v>0</v>
      </c>
    </row>
    <row r="8" spans="2:28" ht="15" x14ac:dyDescent="0.25">
      <c r="B8" s="1248"/>
      <c r="C8" s="839"/>
      <c r="D8" s="1252">
        <f>D7+1</f>
        <v>3</v>
      </c>
      <c r="E8" s="2647" t="s">
        <v>12</v>
      </c>
      <c r="F8" s="2647"/>
      <c r="G8" s="2647"/>
      <c r="H8" s="2136"/>
      <c r="I8" s="2136"/>
      <c r="J8" s="2146">
        <f>ROUND(MAX(0,ROUND(H8,4)*ROUND(I8,4)),0)</f>
        <v>0</v>
      </c>
      <c r="K8" s="2147">
        <f>ROUND(MAX(0,ROUND(L8,4),ROUND(M8,0)),0)</f>
        <v>0</v>
      </c>
      <c r="L8" s="2136"/>
      <c r="M8" s="2147">
        <f>ROUND(MAX(0,MIN(ROUND(O8,0),ROUND(J8,0))),0)</f>
        <v>0</v>
      </c>
      <c r="N8" s="2136"/>
      <c r="O8" s="2147">
        <f>ROUND(MAX(0,ROUND(H8,4)*ROUND(N8,4)),0)</f>
        <v>0</v>
      </c>
      <c r="P8" s="2137">
        <v>0</v>
      </c>
      <c r="Q8" s="2139"/>
      <c r="R8" s="2643"/>
      <c r="S8" s="2147">
        <f>ROUND(MAX(0,SUM(ROUND(K8,0),ROUND(R8,4))),0)</f>
        <v>0</v>
      </c>
      <c r="T8" s="2147">
        <f>ROUND(ROUND(J8,0)-ROUND(S8,0),0)</f>
        <v>0</v>
      </c>
      <c r="U8" s="1247"/>
      <c r="V8" s="2082"/>
      <c r="AB8" s="1788" t="b">
        <f>IF(ISERROR(IF(F8&lt;&gt;"",VLOOKUP(F8,ISIN112A,2,FALSE))),"",IF(F8&lt;&gt;"",VLOOKUP(F8,ISIN112A,2,FALSE)))</f>
        <v>0</v>
      </c>
    </row>
    <row r="9" spans="2:28" ht="15" x14ac:dyDescent="0.25">
      <c r="B9" s="1248"/>
      <c r="C9" s="839"/>
      <c r="D9" s="1252">
        <f>D8+1</f>
        <v>4</v>
      </c>
      <c r="E9" s="2647" t="s">
        <v>12</v>
      </c>
      <c r="F9" s="2647"/>
      <c r="G9" s="2647"/>
      <c r="H9" s="2136"/>
      <c r="I9" s="2136"/>
      <c r="J9" s="2146">
        <f>ROUND(MAX(0,ROUND(H9,4)*ROUND(I9,4)),0)</f>
        <v>0</v>
      </c>
      <c r="K9" s="2147">
        <f>ROUND(MAX(0,ROUND(L9,4),ROUND(M9,0)),0)</f>
        <v>0</v>
      </c>
      <c r="L9" s="2136"/>
      <c r="M9" s="2147">
        <f>ROUND(MAX(0,MIN(ROUND(O9,0),ROUND(J9,0))),0)</f>
        <v>0</v>
      </c>
      <c r="N9" s="2136"/>
      <c r="O9" s="2147">
        <f>ROUND(MAX(0,ROUND(H9,4)*ROUND(N9,4)),0)</f>
        <v>0</v>
      </c>
      <c r="P9" s="2137">
        <v>0</v>
      </c>
      <c r="Q9" s="2139"/>
      <c r="R9" s="2643"/>
      <c r="S9" s="2147">
        <f>ROUND(MAX(0,SUM(ROUND(K9,0),ROUND(R9,4))),0)</f>
        <v>0</v>
      </c>
      <c r="T9" s="2147">
        <f>ROUND(ROUND(J9,0)-ROUND(S9,0),0)</f>
        <v>0</v>
      </c>
      <c r="U9" s="1247"/>
      <c r="V9" s="2082"/>
      <c r="AB9" s="1788" t="b">
        <f>IF(ISERROR(IF(F9&lt;&gt;"",VLOOKUP(F9,ISIN112A,2,FALSE))),"",IF(F9&lt;&gt;"",VLOOKUP(F9,ISIN112A,2,FALSE)))</f>
        <v>0</v>
      </c>
    </row>
    <row r="10" spans="2:28" ht="15" x14ac:dyDescent="0.25">
      <c r="B10" s="1248"/>
      <c r="C10" s="839"/>
      <c r="D10" s="1827"/>
      <c r="E10" s="1827"/>
      <c r="F10" s="1827"/>
      <c r="G10" s="1827"/>
      <c r="H10" s="1827"/>
      <c r="I10" s="1827"/>
      <c r="J10" s="1827"/>
      <c r="K10" s="1827"/>
      <c r="L10" s="1827"/>
      <c r="M10" s="1827"/>
      <c r="N10" s="1827"/>
      <c r="O10" s="1827"/>
      <c r="P10" s="1827"/>
      <c r="Q10" s="1827"/>
      <c r="R10" s="1827"/>
      <c r="S10" s="1827"/>
      <c r="T10" s="1828"/>
      <c r="U10" s="1247"/>
      <c r="V10" s="2082"/>
    </row>
    <row r="11" spans="2:28" ht="15" x14ac:dyDescent="0.25">
      <c r="B11" s="1248"/>
      <c r="C11" s="1107"/>
      <c r="D11" s="3652"/>
      <c r="E11" s="3653"/>
      <c r="F11" s="3653"/>
      <c r="G11" s="3653"/>
      <c r="H11" s="3653"/>
      <c r="I11" s="3653"/>
      <c r="J11" s="2145">
        <f>SUM(TotalSaleValue_115AD)</f>
        <v>0</v>
      </c>
      <c r="K11" s="2145">
        <f>SUM(COAwithoutIndex_115AD)</f>
        <v>0</v>
      </c>
      <c r="L11" s="2145">
        <f>SUM(COAwithIndex_115AD)</f>
        <v>0</v>
      </c>
      <c r="M11" s="2145">
        <f>SUM(LTCGAssetAcquired_115AD)</f>
        <v>0</v>
      </c>
      <c r="N11" s="1391"/>
      <c r="O11" s="2145">
        <f>SUM(TotalFairMarketValue_115AD)</f>
        <v>0</v>
      </c>
      <c r="P11" s="1660">
        <v>0</v>
      </c>
      <c r="Q11" s="1660">
        <v>0</v>
      </c>
      <c r="R11" s="2145">
        <f>SUM(ExpenditureWholly_115AD)</f>
        <v>0</v>
      </c>
      <c r="S11" s="2145">
        <f>SUM(TotalDeductions_115AD)</f>
        <v>0</v>
      </c>
      <c r="T11" s="2145">
        <f>SUM(Balance_115AD)</f>
        <v>0</v>
      </c>
      <c r="U11" s="1247"/>
      <c r="V11" s="2082"/>
    </row>
    <row r="12" spans="2:28" ht="32.25" customHeight="1" x14ac:dyDescent="0.25">
      <c r="B12" s="1248"/>
      <c r="C12" s="3654"/>
      <c r="D12" s="3655"/>
      <c r="E12" s="3655"/>
      <c r="F12" s="3655"/>
      <c r="G12" s="3655"/>
      <c r="H12" s="3655"/>
      <c r="I12" s="3655"/>
      <c r="J12" s="3655"/>
      <c r="K12" s="3655"/>
      <c r="L12" s="3655"/>
      <c r="M12" s="3655"/>
      <c r="N12" s="3655"/>
      <c r="O12" s="3655"/>
      <c r="P12" s="3655"/>
      <c r="Q12" s="3655"/>
      <c r="R12" s="3655"/>
      <c r="S12" s="3655"/>
      <c r="T12" s="3656"/>
      <c r="U12" s="1247"/>
      <c r="V12" s="2082"/>
    </row>
    <row r="13" spans="2:28" ht="15.75" thickBot="1" x14ac:dyDescent="0.3">
      <c r="B13" s="1246"/>
      <c r="C13" s="1245"/>
      <c r="D13" s="1245"/>
      <c r="E13" s="2134"/>
      <c r="F13" s="1245"/>
      <c r="G13" s="1245"/>
      <c r="H13" s="1245"/>
      <c r="I13" s="1245"/>
      <c r="J13" s="1245"/>
      <c r="K13" s="1245"/>
      <c r="L13" s="1245"/>
      <c r="M13" s="1245"/>
      <c r="N13" s="1245"/>
      <c r="O13" s="1245"/>
      <c r="P13" s="1245"/>
      <c r="Q13" s="1245"/>
      <c r="R13" s="1245"/>
      <c r="S13" s="1245"/>
      <c r="T13" s="1245"/>
      <c r="U13" s="1244"/>
    </row>
    <row r="14" spans="2:28" ht="15" x14ac:dyDescent="0.25"/>
  </sheetData>
  <sheetProtection algorithmName="SHA-512" hashValue="2PVPQcJjLmZHkXjKgMU7KCnE4opT0lkqw47918Q8Qy9bFVsmZwZIp1P0UCTQCdcLMAJBDpC5XI7ICkZ4VuS2mg==" saltValue="o5n5r/8sT6DV+NPPcsyzcA==" spinCount="100000" sheet="1" objects="1" scenarios="1"/>
  <mergeCells count="4">
    <mergeCell ref="C3:D3"/>
    <mergeCell ref="D11:I11"/>
    <mergeCell ref="C12:T12"/>
    <mergeCell ref="E3:T3"/>
  </mergeCells>
  <dataValidations count="18">
    <dataValidation type="textLength" operator="equal" allowBlank="1" showInputMessage="1" showErrorMessage="1" errorTitle="ISIN Code" error="ISIN Code Should be 12 characters" sqref="F6:F9">
      <formula1>12</formula1>
    </dataValidation>
    <dataValidation type="textLength" operator="lessThanOrEqual" allowBlank="1" showInputMessage="1" showErrorMessage="1" errorTitle="Name of the Share/Unit" error="Name of the Share/Unit cannot exceed 125 characters" sqref="G6:G9">
      <formula1>125</formula1>
    </dataValidation>
    <dataValidation type="decimal" allowBlank="1" showInputMessage="1" showErrorMessage="1" errorTitle="Cost of acquisition" error="Total Digits cannot be more than 16" sqref="L6:L9">
      <formula1>0</formula1>
      <formula2>99999999999999</formula2>
    </dataValidation>
    <dataValidation type="decimal" allowBlank="1" showInputMessage="1" showErrorMessage="1" errorTitle="Total sale value " error="Total sale value should be non negative ,  decimal, upto 16 digits" sqref="J6:J9">
      <formula1>0</formula1>
      <formula2>99999999999999</formula2>
    </dataValidation>
    <dataValidation type="decimal" allowBlank="1" showInputMessage="1" showErrorMessage="1" errorTitle="Cost of acquistion " error="Cost of acquistion should be non negative,decimal,upto 14 digits" sqref="K6:K9">
      <formula1>0</formula1>
      <formula2>99999999999999</formula2>
    </dataValidation>
    <dataValidation type="decimal" allowBlank="1" showInputMessage="1" showErrorMessage="1" errorTitle="Long term capital" error="Long term capital should be non negative,decimal,upto 14 digits" sqref="M6:M9">
      <formula1>0</formula1>
      <formula2>99999999999999</formula2>
    </dataValidation>
    <dataValidation type="decimal" allowBlank="1" showInputMessage="1" showErrorMessage="1" errorTitle="Fair market value" error="Total Digits cannot be more than 16" sqref="N6:N9">
      <formula1>0</formula1>
      <formula2>99999999999999</formula2>
    </dataValidation>
    <dataValidation type="decimal" allowBlank="1" showInputMessage="1" showErrorMessage="1" errorTitle="Total fair market value" error="Total fair market value should be non negative, decimal,upto 14 digits" sqref="O6:O9">
      <formula1>0</formula1>
      <formula2>99999999999999</formula2>
    </dataValidation>
    <dataValidation type="decimal" allowBlank="1" showInputMessage="1" showErrorMessage="1" errorTitle="Full value consideration" error="Full value consideration should be non negative, decimal,upto 14 digits" sqref="P6:P9">
      <formula1>0</formula1>
      <formula2>99999999999999</formula2>
    </dataValidation>
    <dataValidation type="decimal" allowBlank="1" showInputMessage="1" showErrorMessage="1" errorTitle="Cost of improvement" error="Cost of improvement should be non negative, decimal,upto 14 digits" sqref="Q6:Q9">
      <formula1>0</formula1>
      <formula2>99999999999999</formula2>
    </dataValidation>
    <dataValidation type="decimal" allowBlank="1" showInputMessage="1" showErrorMessage="1" errorTitle="Expenditure" error="Total Digits cannot be more than 16" sqref="R6:R9">
      <formula1>0</formula1>
      <formula2>99999999999999</formula2>
    </dataValidation>
    <dataValidation type="decimal" allowBlank="1" showInputMessage="1" showErrorMessage="1" errorTitle="Total deductions" error="Total deductions should be non negative, decimal,upto 14 digits" sqref="S6:S9">
      <formula1>0</formula1>
      <formula2>99999999999999</formula2>
    </dataValidation>
    <dataValidation type="decimal" allowBlank="1" showInputMessage="1" showErrorMessage="1" errorTitle="Balance" error="Balance should be non negative, decimal,upto 14 digits" sqref="T6:T9">
      <formula1>-99999999999999</formula1>
      <formula2>99999999999999</formula2>
    </dataValidation>
    <dataValidation type="whole" allowBlank="1" showInputMessage="1" showErrorMessage="1" sqref="N11 R11">
      <formula1>-99999999999999</formula1>
      <formula2>99999999999999</formula2>
    </dataValidation>
    <dataValidation type="decimal" allowBlank="1" showInputMessage="1" showErrorMessage="1" sqref="J11:M11 O11:Q11 S11:T11">
      <formula1>-99999999999999</formula1>
      <formula2>99999999999999</formula2>
    </dataValidation>
    <dataValidation type="list" allowBlank="1" showInputMessage="1" showErrorMessage="1" sqref="E6:E9">
      <formula1>"(Select),On or before 31st January 2018, After 31st January 2018"</formula1>
    </dataValidation>
    <dataValidation type="decimal" allowBlank="1" showInputMessage="1" showErrorMessage="1" errorTitle="Number of shares" error="Total Digits cannot be more than 16" sqref="H6:H9">
      <formula1>0</formula1>
      <formula2>99999999999999</formula2>
    </dataValidation>
    <dataValidation type="decimal" allowBlank="1" showInputMessage="1" showErrorMessage="1" errorTitle="Sale-price per Share/Unit" error="Total Digits cannot be more than 16" sqref="I6:I9">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825" r:id="rId5" name="Button 1">
              <controlPr defaultSize="0" print="0" autoFill="0" autoPict="0" macro="[0]!AddRows115AD">
                <anchor moveWithCells="1">
                  <from>
                    <xdr:col>2</xdr:col>
                    <xdr:colOff>66675</xdr:colOff>
                    <xdr:row>11</xdr:row>
                    <xdr:rowOff>66675</xdr:rowOff>
                  </from>
                  <to>
                    <xdr:col>4</xdr:col>
                    <xdr:colOff>1095375</xdr:colOff>
                    <xdr:row>11</xdr:row>
                    <xdr:rowOff>371475</xdr:rowOff>
                  </to>
                </anchor>
              </controlPr>
            </control>
          </mc:Choice>
        </mc:AlternateContent>
        <mc:AlternateContent xmlns:mc="http://schemas.openxmlformats.org/markup-compatibility/2006">
          <mc:Choice Requires="x14">
            <control shapeId="205826" r:id="rId6" name="Button 2">
              <controlPr defaultSize="0" print="0" autoFill="0" autoPict="0" macro="[0]!ValidateSheet115AD_Click">
                <anchor>
                  <from>
                    <xdr:col>21</xdr:col>
                    <xdr:colOff>485775</xdr:colOff>
                    <xdr:row>3</xdr:row>
                    <xdr:rowOff>247650</xdr:rowOff>
                  </from>
                  <to>
                    <xdr:col>21</xdr:col>
                    <xdr:colOff>1857375</xdr:colOff>
                    <xdr:row>3</xdr:row>
                    <xdr:rowOff>523875</xdr:rowOff>
                  </to>
                </anchor>
              </controlPr>
            </control>
          </mc:Choice>
        </mc:AlternateContent>
        <mc:AlternateContent xmlns:mc="http://schemas.openxmlformats.org/markup-compatibility/2006">
          <mc:Choice Requires="x14">
            <control shapeId="205827" r:id="rId7" name="Button 3">
              <controlPr defaultSize="0" print="0" autoFill="0" autoPict="0" macro="[0]!Prev_Sheet">
                <anchor>
                  <from>
                    <xdr:col>21</xdr:col>
                    <xdr:colOff>476250</xdr:colOff>
                    <xdr:row>4</xdr:row>
                    <xdr:rowOff>19050</xdr:rowOff>
                  </from>
                  <to>
                    <xdr:col>21</xdr:col>
                    <xdr:colOff>1847850</xdr:colOff>
                    <xdr:row>5</xdr:row>
                    <xdr:rowOff>133350</xdr:rowOff>
                  </to>
                </anchor>
              </controlPr>
            </control>
          </mc:Choice>
        </mc:AlternateContent>
        <mc:AlternateContent xmlns:mc="http://schemas.openxmlformats.org/markup-compatibility/2006">
          <mc:Choice Requires="x14">
            <control shapeId="205828" r:id="rId8" name="Button 4">
              <controlPr defaultSize="0" print="0" autoFill="0" autoPict="0" macro="[0]!Img_Home_Click">
                <anchor>
                  <from>
                    <xdr:col>21</xdr:col>
                    <xdr:colOff>485775</xdr:colOff>
                    <xdr:row>2</xdr:row>
                    <xdr:rowOff>114300</xdr:rowOff>
                  </from>
                  <to>
                    <xdr:col>21</xdr:col>
                    <xdr:colOff>1857375</xdr:colOff>
                    <xdr:row>3</xdr:row>
                    <xdr:rowOff>209550</xdr:rowOff>
                  </to>
                </anchor>
              </controlPr>
            </control>
          </mc:Choice>
        </mc:AlternateContent>
        <mc:AlternateContent xmlns:mc="http://schemas.openxmlformats.org/markup-compatibility/2006">
          <mc:Choice Requires="x14">
            <control shapeId="205829" r:id="rId9" name="Button 5">
              <controlPr defaultSize="0" print="0" autoFill="0" autoPict="0" macro="[0]!HelpCSV">
                <anchor>
                  <from>
                    <xdr:col>21</xdr:col>
                    <xdr:colOff>476250</xdr:colOff>
                    <xdr:row>9</xdr:row>
                    <xdr:rowOff>38100</xdr:rowOff>
                  </from>
                  <to>
                    <xdr:col>21</xdr:col>
                    <xdr:colOff>1847850</xdr:colOff>
                    <xdr:row>10</xdr:row>
                    <xdr:rowOff>133350</xdr:rowOff>
                  </to>
                </anchor>
              </controlPr>
            </control>
          </mc:Choice>
        </mc:AlternateContent>
        <mc:AlternateContent xmlns:mc="http://schemas.openxmlformats.org/markup-compatibility/2006">
          <mc:Choice Requires="x14">
            <control shapeId="205830" r:id="rId10" name="Button 6">
              <controlPr defaultSize="0" print="0" autoFill="0" autoPict="0" macro="[0]!WorksheetsPrint">
                <anchor>
                  <from>
                    <xdr:col>21</xdr:col>
                    <xdr:colOff>476250</xdr:colOff>
                    <xdr:row>7</xdr:row>
                    <xdr:rowOff>104775</xdr:rowOff>
                  </from>
                  <to>
                    <xdr:col>21</xdr:col>
                    <xdr:colOff>1847850</xdr:colOff>
                    <xdr:row>9</xdr:row>
                    <xdr:rowOff>0</xdr:rowOff>
                  </to>
                </anchor>
              </controlPr>
            </control>
          </mc:Choice>
        </mc:AlternateContent>
        <mc:AlternateContent xmlns:mc="http://schemas.openxmlformats.org/markup-compatibility/2006">
          <mc:Choice Requires="x14">
            <control shapeId="205831" r:id="rId11" name="Button 7">
              <controlPr defaultSize="0" print="0" autoFill="0" autoPict="0" macro="[0]!GenerateJSON.GenerateJSON">
                <anchor>
                  <from>
                    <xdr:col>21</xdr:col>
                    <xdr:colOff>476250</xdr:colOff>
                    <xdr:row>5</xdr:row>
                    <xdr:rowOff>171450</xdr:rowOff>
                  </from>
                  <to>
                    <xdr:col>21</xdr:col>
                    <xdr:colOff>1847850</xdr:colOff>
                    <xdr:row>7</xdr:row>
                    <xdr:rowOff>57150</xdr:rowOff>
                  </to>
                </anchor>
              </controlPr>
            </control>
          </mc:Choice>
        </mc:AlternateContent>
        <mc:AlternateContent xmlns:mc="http://schemas.openxmlformats.org/markup-compatibility/2006">
          <mc:Choice Requires="x14">
            <control shapeId="205832" r:id="rId12" name="Button 8">
              <controlPr defaultSize="0" print="0" autoFill="0" autoPict="0" macro="[0]!Next_Sheet">
                <anchor>
                  <from>
                    <xdr:col>21</xdr:col>
                    <xdr:colOff>476250</xdr:colOff>
                    <xdr:row>3</xdr:row>
                    <xdr:rowOff>561975</xdr:rowOff>
                  </from>
                  <to>
                    <xdr:col>21</xdr:col>
                    <xdr:colOff>1847850</xdr:colOff>
                    <xdr:row>3</xdr:row>
                    <xdr:rowOff>838200</xdr:rowOff>
                  </to>
                </anchor>
              </controlPr>
            </control>
          </mc:Choice>
        </mc:AlternateContent>
        <mc:AlternateContent xmlns:mc="http://schemas.openxmlformats.org/markup-compatibility/2006">
          <mc:Choice Requires="x14">
            <control shapeId="205835" r:id="rId13" name="Button 11">
              <controlPr defaultSize="0" print="0" autoFill="0" autoPict="0" macro="[0]!importschedule115ad.ImportSchedule115AD">
                <anchor>
                  <from>
                    <xdr:col>21</xdr:col>
                    <xdr:colOff>476250</xdr:colOff>
                    <xdr:row>10</xdr:row>
                    <xdr:rowOff>152400</xdr:rowOff>
                  </from>
                  <to>
                    <xdr:col>21</xdr:col>
                    <xdr:colOff>1847850</xdr:colOff>
                    <xdr:row>11</xdr:row>
                    <xdr:rowOff>247650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C1002"/>
  <sheetViews>
    <sheetView showGridLines="0" showRowColHeaders="0" zoomScaleNormal="100" workbookViewId="0">
      <selection activeCell="G12" sqref="G12:H12"/>
    </sheetView>
  </sheetViews>
  <sheetFormatPr defaultColWidth="0" defaultRowHeight="0" customHeight="1" zeroHeight="1" x14ac:dyDescent="0.2"/>
  <cols>
    <col min="1" max="1" width="3.7109375" style="121" customWidth="1"/>
    <col min="2" max="2" width="3.85546875" style="121" customWidth="1"/>
    <col min="3" max="3" width="5.5703125" style="121" customWidth="1"/>
    <col min="4" max="4" width="5.28515625" style="121" customWidth="1"/>
    <col min="5" max="5" width="6.5703125" style="121" customWidth="1"/>
    <col min="6" max="6" width="5.85546875" style="121" customWidth="1"/>
    <col min="7" max="7" width="44" style="121" customWidth="1"/>
    <col min="8" max="8" width="40" style="121" customWidth="1"/>
    <col min="9" max="9" width="14.140625" style="121" customWidth="1"/>
    <col min="10" max="10" width="15" style="121" customWidth="1"/>
    <col min="11" max="11" width="14.85546875" style="121" customWidth="1"/>
    <col min="12" max="12" width="17" style="121" customWidth="1"/>
    <col min="13" max="13" width="24" style="124" customWidth="1"/>
    <col min="14" max="14" width="9.140625" style="121" customWidth="1"/>
    <col min="15" max="15" width="10.5703125" style="121" customWidth="1"/>
    <col min="16" max="17" width="3.42578125" style="121" customWidth="1"/>
    <col min="18" max="18" width="9.140625" style="121" customWidth="1"/>
    <col min="19" max="19" width="15.140625" style="121" customWidth="1"/>
    <col min="20" max="26" width="3.85546875" style="121" hidden="1" customWidth="1"/>
    <col min="27" max="27" width="9.5703125" style="121" hidden="1" customWidth="1"/>
    <col min="28" max="28" width="10.85546875" style="121" hidden="1" customWidth="1"/>
    <col min="29" max="16384" width="3.85546875" style="121" hidden="1"/>
  </cols>
  <sheetData>
    <row r="1" spans="2:55" ht="13.5" thickBot="1" x14ac:dyDescent="0.25">
      <c r="AK1" s="1321" t="s">
        <v>330</v>
      </c>
      <c r="AL1" s="1829">
        <f>SUMIF(OS_DTAASectionCode,"=56",os.DTAA_AmtChk)</f>
        <v>0</v>
      </c>
      <c r="AM1" s="1321" t="s">
        <v>303</v>
      </c>
      <c r="AN1" s="1829">
        <f>SUMIF(OS_DTAASectionCode,"=562iii",os.DTAA_AmtChk)</f>
        <v>0</v>
      </c>
      <c r="AR1" s="3384" t="s">
        <v>9518</v>
      </c>
      <c r="AS1" s="3384"/>
      <c r="AT1" s="3384"/>
      <c r="AU1" s="3384"/>
      <c r="AV1" s="3384"/>
      <c r="AW1" s="3384"/>
      <c r="AX1" s="3384"/>
      <c r="AY1" s="3384"/>
      <c r="AZ1" s="3384"/>
      <c r="BA1" s="3384"/>
      <c r="BB1" s="3384"/>
      <c r="BC1" s="3384"/>
    </row>
    <row r="2" spans="2:55" ht="15" customHeight="1" x14ac:dyDescent="0.2">
      <c r="B2" s="1794"/>
      <c r="C2" s="1795"/>
      <c r="D2" s="1795"/>
      <c r="E2" s="1795"/>
      <c r="F2" s="1795"/>
      <c r="G2" s="1795"/>
      <c r="H2" s="1795"/>
      <c r="I2" s="1795"/>
      <c r="J2" s="1795"/>
      <c r="K2" s="1795"/>
      <c r="L2" s="1795"/>
      <c r="M2" s="1830"/>
      <c r="N2" s="1795"/>
      <c r="O2" s="1795"/>
      <c r="P2" s="1831"/>
      <c r="AK2" s="1321" t="s">
        <v>328</v>
      </c>
      <c r="AL2" s="1829">
        <f>SUMIF(OS_DTAASectionCode,"=56i",os.DTAA_AmtChk)</f>
        <v>0</v>
      </c>
      <c r="AM2" s="1321" t="s">
        <v>332</v>
      </c>
      <c r="AN2" s="1829">
        <f>SUMIF(OS_DTAASectionCode,"=562x",os.DTAA_AmtChk)</f>
        <v>0</v>
      </c>
      <c r="AR2" s="3384"/>
      <c r="AS2" s="3384"/>
      <c r="AT2" s="3384"/>
      <c r="AU2" s="3384"/>
      <c r="AV2" s="3384"/>
      <c r="AW2" s="3384"/>
      <c r="AX2" s="3384"/>
      <c r="AY2" s="3384"/>
      <c r="AZ2" s="3384"/>
      <c r="BA2" s="3384"/>
      <c r="BB2" s="3384"/>
      <c r="BC2" s="3384"/>
    </row>
    <row r="3" spans="2:55" ht="12.75" customHeight="1" x14ac:dyDescent="0.2">
      <c r="B3" s="1797"/>
      <c r="C3" s="3703" t="s">
        <v>6811</v>
      </c>
      <c r="D3" s="3704"/>
      <c r="E3" s="3017" t="s">
        <v>7370</v>
      </c>
      <c r="F3" s="3015"/>
      <c r="G3" s="3015"/>
      <c r="H3" s="3015"/>
      <c r="I3" s="3015"/>
      <c r="J3" s="3015"/>
      <c r="K3" s="3015"/>
      <c r="L3" s="3015"/>
      <c r="M3" s="3015"/>
      <c r="N3" s="3015"/>
      <c r="O3" s="3016"/>
      <c r="P3" s="1809"/>
      <c r="AR3" s="1321" t="s">
        <v>9496</v>
      </c>
      <c r="AS3" s="1832">
        <f>SUMIF(OS_PTISectionCode,AR3,OS_PTI_Amount)</f>
        <v>0</v>
      </c>
      <c r="AT3" s="1321" t="s">
        <v>9501</v>
      </c>
      <c r="AU3" s="1832">
        <f>SUMIF(OS_PTISectionCode,AT3,OS_PTI_Amount)</f>
        <v>0</v>
      </c>
      <c r="AV3" s="1321" t="s">
        <v>9505</v>
      </c>
      <c r="AW3" s="1832">
        <f>SUMIF(OS_PTISectionCode,AV3,OS_PTI_Amount)</f>
        <v>0</v>
      </c>
      <c r="AX3" s="1321" t="s">
        <v>9510</v>
      </c>
      <c r="AY3" s="1832">
        <f>SUMIF(OS_PTISectionCode,AX3,OS_PTI_Amount)</f>
        <v>0</v>
      </c>
      <c r="AZ3" s="1321" t="s">
        <v>9515</v>
      </c>
      <c r="BA3" s="1832">
        <f>SUMIF(OS_PTISectionCode,AZ3,OS_PTI_Amount)</f>
        <v>0</v>
      </c>
      <c r="BB3" s="1321" t="s">
        <v>749</v>
      </c>
      <c r="BC3" s="1829">
        <f>SUM(AS3:AS9,AU3:AU9,AW3:AW9,AY3:AY9,BA3:BA4)</f>
        <v>0</v>
      </c>
    </row>
    <row r="4" spans="2:55" ht="12.75" customHeight="1" x14ac:dyDescent="0.2">
      <c r="B4" s="1797"/>
      <c r="C4" s="2009"/>
      <c r="D4" s="231">
        <v>1</v>
      </c>
      <c r="E4" s="3068" t="s">
        <v>9457</v>
      </c>
      <c r="F4" s="3068"/>
      <c r="G4" s="3068"/>
      <c r="H4" s="3068"/>
      <c r="I4" s="1306"/>
      <c r="J4" s="1396">
        <f>SUM(os.DividendGross,os.InterestGross,os.RentFromMachPlantBldgs,os.Totalsec56,os.TotalAnyOtherIncome)</f>
        <v>0</v>
      </c>
      <c r="K4" s="2031"/>
      <c r="L4" s="1040"/>
      <c r="M4" s="2032"/>
      <c r="N4" s="1040"/>
      <c r="O4" s="1316"/>
      <c r="P4" s="1809"/>
      <c r="AR4" s="1321" t="s">
        <v>9497</v>
      </c>
      <c r="AS4" s="1832">
        <f>SUMIF(OS_PTISectionCode,AR4,OS_PTI_Amount)</f>
        <v>0</v>
      </c>
      <c r="AT4" s="1321" t="s">
        <v>9502</v>
      </c>
      <c r="AU4" s="1832">
        <f>SUMIF(OS_PTISectionCode,AT4,OS_PTI_Amount)</f>
        <v>0</v>
      </c>
      <c r="AV4" s="1321" t="s">
        <v>9506</v>
      </c>
      <c r="AW4" s="1832">
        <f>SUMIF(OS_PTISectionCode,AV4,OS_PTI_Amount)</f>
        <v>0</v>
      </c>
      <c r="AX4" s="1321" t="s">
        <v>9511</v>
      </c>
      <c r="AY4" s="1832">
        <f>SUMIF(OS_PTISectionCode,AX4,OS_PTI_Amount)</f>
        <v>0</v>
      </c>
      <c r="AZ4" s="1321" t="s">
        <v>9519</v>
      </c>
      <c r="BA4" s="1832">
        <f>SUMIF(OS_PTISectionCode,AZ4,OS_PTI_Amount)</f>
        <v>0</v>
      </c>
    </row>
    <row r="5" spans="2:55" ht="12.75" customHeight="1" x14ac:dyDescent="0.2">
      <c r="B5" s="1797"/>
      <c r="C5" s="2010"/>
      <c r="D5" s="701"/>
      <c r="E5" s="703" t="s">
        <v>865</v>
      </c>
      <c r="F5" s="3068" t="s">
        <v>13160</v>
      </c>
      <c r="G5" s="3068"/>
      <c r="H5" s="3068"/>
      <c r="I5" s="6" t="s">
        <v>328</v>
      </c>
      <c r="J5" s="2239">
        <f>os.DividendGrossai+os.DividendGrossaii</f>
        <v>0</v>
      </c>
      <c r="K5" s="2054"/>
      <c r="L5" s="1038"/>
      <c r="M5" s="704"/>
      <c r="N5" s="1038"/>
      <c r="O5" s="1314"/>
      <c r="P5" s="1809"/>
      <c r="AR5" s="1321" t="s">
        <v>9498</v>
      </c>
      <c r="AS5" s="1832">
        <f>SUMIF(OS_PTISectionCode,AR5,OS_PTI_Amount)</f>
        <v>0</v>
      </c>
      <c r="AT5" s="1321" t="s">
        <v>11845</v>
      </c>
      <c r="AU5" s="1832">
        <f>SUMIF(OS_PTISectionCode,AT5,OS_PTI_Amount)</f>
        <v>0</v>
      </c>
      <c r="AV5" s="1321" t="s">
        <v>9507</v>
      </c>
      <c r="AW5" s="1832">
        <f>SUMIF(OS_PTISectionCode,AV5,OS_PTI_Amount)</f>
        <v>0</v>
      </c>
      <c r="AX5" s="1321" t="s">
        <v>9512</v>
      </c>
      <c r="AY5" s="1832">
        <f>SUMIF(OS_PTISectionCode,AX5,OS_PTI_Amount)</f>
        <v>0</v>
      </c>
    </row>
    <row r="6" spans="2:55" ht="12.75" customHeight="1" x14ac:dyDescent="0.25">
      <c r="B6" s="1797"/>
      <c r="C6" s="2161"/>
      <c r="D6" s="219"/>
      <c r="E6" s="703" t="s">
        <v>307</v>
      </c>
      <c r="F6" s="3068" t="s">
        <v>12774</v>
      </c>
      <c r="G6" s="3068"/>
      <c r="H6" s="3068"/>
      <c r="I6" s="2163" t="s">
        <v>12776</v>
      </c>
      <c r="J6" s="2239">
        <f>BBDA.Upto15Of6+BBDA.Upto15Of9+BBDA.Up16Of9To15Of12+BBDA.Up16Of12To15Of3+BBDA.Up16Of3To31Of3+DivDTAA+IF(os.amountinterestexpenditure="",os.expenditureClaimed1,os.amountinterestexpenditure1)</f>
        <v>0</v>
      </c>
      <c r="K6" s="2162"/>
      <c r="L6" s="1038"/>
      <c r="M6" s="704"/>
      <c r="N6" s="1038"/>
      <c r="O6" s="1314"/>
      <c r="P6" s="1809"/>
      <c r="AR6" s="1321"/>
      <c r="AS6" s="1832"/>
      <c r="AT6" s="2289" t="s">
        <v>12853</v>
      </c>
      <c r="AU6" s="1832">
        <f>SUMIF(OS_PTISectionCode,AT6,OS_PTI_Amount)</f>
        <v>0</v>
      </c>
      <c r="AV6" s="2290" t="s">
        <v>12855</v>
      </c>
      <c r="AW6" s="1832">
        <f>SUMIF(OS_PTISectionCode,AV6,OS_PTI_Amount)</f>
        <v>0</v>
      </c>
      <c r="AX6" s="1321" t="s">
        <v>13129</v>
      </c>
      <c r="AY6" s="1832">
        <f>SUMIF(OS_PTISectionCode,AX6,OS_PTI_Amount)</f>
        <v>0</v>
      </c>
    </row>
    <row r="7" spans="2:55" ht="12.75" customHeight="1" x14ac:dyDescent="0.2">
      <c r="B7" s="1797"/>
      <c r="C7" s="2161"/>
      <c r="D7" s="219"/>
      <c r="E7" s="703" t="s">
        <v>339</v>
      </c>
      <c r="F7" s="3068" t="s">
        <v>12775</v>
      </c>
      <c r="G7" s="3068"/>
      <c r="H7" s="3068"/>
      <c r="I7" s="2163" t="s">
        <v>12777</v>
      </c>
      <c r="J7" s="1390"/>
      <c r="K7" s="2162"/>
      <c r="L7" s="1038"/>
      <c r="M7" s="704"/>
      <c r="N7" s="1038"/>
      <c r="O7" s="1314"/>
      <c r="P7" s="1809"/>
      <c r="AR7" s="2289" t="s">
        <v>12852</v>
      </c>
      <c r="AS7" s="1832">
        <f>SUMIF(OS_PTISectionCode,AR7,OS_PTI_Amount)</f>
        <v>0</v>
      </c>
      <c r="AT7" s="1833"/>
      <c r="AU7" s="1832"/>
      <c r="AV7" s="1321"/>
      <c r="AW7" s="1832"/>
      <c r="AX7" s="1321"/>
      <c r="AY7" s="1832"/>
    </row>
    <row r="8" spans="2:55" ht="12.75" customHeight="1" x14ac:dyDescent="0.2">
      <c r="B8" s="1797"/>
      <c r="C8" s="2010"/>
      <c r="D8" s="219"/>
      <c r="E8" s="703" t="s">
        <v>866</v>
      </c>
      <c r="F8" s="3092" t="s">
        <v>13090</v>
      </c>
      <c r="G8" s="3068"/>
      <c r="H8" s="3068"/>
      <c r="I8" s="6" t="s">
        <v>330</v>
      </c>
      <c r="J8" s="1396">
        <f>SUM(os.SavingBank,os.TermDeposit,os.IncomeTaxRefund,os.PassThroughIncome,os.Others,IntrstSec10XIFP,IntrstSec10XISP,IntrstSec10XIIFP,IntrstSec10XIISP)</f>
        <v>0</v>
      </c>
      <c r="K8" s="2054"/>
      <c r="L8" s="1038"/>
      <c r="M8" s="704"/>
      <c r="N8" s="1038"/>
      <c r="O8" s="1314"/>
      <c r="P8" s="1809"/>
      <c r="AR8" s="1321" t="s">
        <v>9499</v>
      </c>
      <c r="AS8" s="1832">
        <f>SUMIF(OS_PTISectionCode,AR8,OS_PTI_Amount)</f>
        <v>0</v>
      </c>
      <c r="AT8" s="1321" t="s">
        <v>9504</v>
      </c>
      <c r="AU8" s="1832">
        <f>SUMIF(OS_PTISectionCode,AT8,OS_PTI_Amount)</f>
        <v>0</v>
      </c>
      <c r="AV8" s="1321" t="s">
        <v>9508</v>
      </c>
      <c r="AW8" s="1832">
        <f>SUMIF(OS_PTISectionCode,AV8,OS_PTI_Amount)</f>
        <v>0</v>
      </c>
      <c r="AX8" s="1321" t="s">
        <v>9513</v>
      </c>
      <c r="AY8" s="1832">
        <f>SUMIF(OS_PTISectionCode,AX8,OS_PTI_Amount)</f>
        <v>0</v>
      </c>
    </row>
    <row r="9" spans="2:55" ht="12.75" customHeight="1" x14ac:dyDescent="0.2">
      <c r="B9" s="1797"/>
      <c r="C9" s="2010"/>
      <c r="D9" s="219"/>
      <c r="E9" s="1106"/>
      <c r="F9" s="23" t="s">
        <v>287</v>
      </c>
      <c r="G9" s="3068" t="s">
        <v>9458</v>
      </c>
      <c r="H9" s="3068"/>
      <c r="I9" s="6" t="s">
        <v>11976</v>
      </c>
      <c r="J9" s="1479"/>
      <c r="K9" s="2054"/>
      <c r="L9" s="1038"/>
      <c r="M9" s="704"/>
      <c r="N9" s="1038"/>
      <c r="O9" s="1314"/>
      <c r="P9" s="1809"/>
      <c r="AR9" s="1833" t="s">
        <v>9500</v>
      </c>
      <c r="AS9" s="1832">
        <f>SUMIF(OS_PTISectionCode,AR9,OS_PTI_Amount)</f>
        <v>0</v>
      </c>
      <c r="AT9" s="1833" t="s">
        <v>13264</v>
      </c>
      <c r="AU9" s="1832">
        <f>SUMIF(OS_PTISectionCode,AT9,OS_PTI_Amount)</f>
        <v>0</v>
      </c>
      <c r="AV9" s="1833" t="s">
        <v>9509</v>
      </c>
      <c r="AW9" s="1832">
        <f>SUMIF(OS_PTISectionCode,AV9,OS_PTI_Amount)</f>
        <v>0</v>
      </c>
      <c r="AX9" s="1833" t="s">
        <v>9514</v>
      </c>
      <c r="AY9" s="1832">
        <f>SUMIF(OS_PTISectionCode,AX9,OS_PTI_Amount)</f>
        <v>0</v>
      </c>
    </row>
    <row r="10" spans="2:55" ht="12.75" customHeight="1" x14ac:dyDescent="0.2">
      <c r="B10" s="1797"/>
      <c r="C10" s="2010"/>
      <c r="D10" s="219"/>
      <c r="E10" s="1106"/>
      <c r="F10" s="23" t="s">
        <v>290</v>
      </c>
      <c r="G10" s="3068" t="s">
        <v>12870</v>
      </c>
      <c r="H10" s="3068"/>
      <c r="I10" s="6" t="s">
        <v>11977</v>
      </c>
      <c r="J10" s="1479"/>
      <c r="K10" s="2054"/>
      <c r="L10" s="1038"/>
      <c r="M10" s="704"/>
      <c r="N10" s="1038"/>
      <c r="O10" s="1314"/>
      <c r="P10" s="1809"/>
    </row>
    <row r="11" spans="2:55" ht="12.75" customHeight="1" x14ac:dyDescent="0.25">
      <c r="B11" s="1797"/>
      <c r="C11" s="2010"/>
      <c r="D11" s="219"/>
      <c r="E11" s="1106"/>
      <c r="F11" s="23" t="s">
        <v>293</v>
      </c>
      <c r="G11" s="3068" t="s">
        <v>8854</v>
      </c>
      <c r="H11" s="3068"/>
      <c r="I11" s="6" t="s">
        <v>11978</v>
      </c>
      <c r="J11" s="1479"/>
      <c r="K11" s="2054"/>
      <c r="L11" s="1038"/>
      <c r="M11" s="704"/>
      <c r="N11" s="1038"/>
      <c r="O11" s="1314"/>
      <c r="P11" s="1809"/>
      <c r="AR11" s="2289" t="s">
        <v>12852</v>
      </c>
      <c r="AS11" s="1829">
        <f t="shared" ref="AS11:AS20" si="0">IF(MID(sheet1.ResidentialStatus1,1,3)="NRI",SUMIFS(os.DTAA_AmtChk,os.TRC,"=Yes",OS_DTAASectionCode,AR11),SUMIF(OS_DTAASectionCode,AR11,os.DTAA_AmtChk))</f>
        <v>0</v>
      </c>
      <c r="AT11" s="2289" t="s">
        <v>12853</v>
      </c>
      <c r="AU11" s="1829">
        <f t="shared" ref="AU11:AU20" si="1">IF(MID(sheet1.ResidentialStatus1,1,3)="NRI",SUMIFS(os.DTAA_AmtChk,os.TRC,"=Yes",OS_DTAASectionCode,AT11),SUMIF(OS_DTAASectionCode,AT11,os.DTAA_AmtChk))</f>
        <v>0</v>
      </c>
      <c r="AV11" s="2290" t="s">
        <v>12855</v>
      </c>
      <c r="AW11" s="1829">
        <f t="shared" ref="AW11:AY20" si="2">IF(MID(sheet1.ResidentialStatus1,1,3)="NRI",SUMIFS(os.DTAA_AmtChk,os.TRC,"=Yes",OS_DTAASectionCode,AV11),SUMIF(OS_DTAASectionCode,AV11,os.DTAA_AmtChk))</f>
        <v>0</v>
      </c>
      <c r="AX11" s="1666" t="s">
        <v>13129</v>
      </c>
      <c r="AY11" s="1829">
        <f t="shared" si="2"/>
        <v>0</v>
      </c>
      <c r="AZ11" s="1769"/>
      <c r="BA11" s="1769"/>
    </row>
    <row r="12" spans="2:55" ht="12.75" customHeight="1" x14ac:dyDescent="0.2">
      <c r="B12" s="1797"/>
      <c r="C12" s="2010"/>
      <c r="D12" s="219"/>
      <c r="E12" s="1106"/>
      <c r="F12" s="23" t="s">
        <v>296</v>
      </c>
      <c r="G12" s="3068" t="s">
        <v>11975</v>
      </c>
      <c r="H12" s="3068"/>
      <c r="I12" s="6" t="s">
        <v>11979</v>
      </c>
      <c r="J12" s="1479"/>
      <c r="K12" s="2054"/>
      <c r="L12" s="1038"/>
      <c r="M12" s="704"/>
      <c r="N12" s="1038"/>
      <c r="O12" s="1314"/>
      <c r="P12" s="1809"/>
      <c r="AR12" s="1321" t="s">
        <v>9496</v>
      </c>
      <c r="AS12" s="1829">
        <f t="shared" si="0"/>
        <v>0</v>
      </c>
      <c r="AT12" s="1321" t="s">
        <v>9501</v>
      </c>
      <c r="AU12" s="1829">
        <f t="shared" si="1"/>
        <v>0</v>
      </c>
      <c r="AV12" s="1321" t="s">
        <v>9505</v>
      </c>
      <c r="AW12" s="1829">
        <f t="shared" si="2"/>
        <v>0</v>
      </c>
      <c r="AX12" s="1321" t="s">
        <v>9510</v>
      </c>
      <c r="AY12" s="1829">
        <f>IF(MID(sheet1.ResidentialStatus1,1,3)="NRI",SUMIFS(os.DTAA_AmtChk,os.TRC,"=Yes",OS_DTAASectionCode,AX12),SUMIF(OS_DTAASectionCode,AX12,os.DTAA_AmtChk))</f>
        <v>0</v>
      </c>
      <c r="AZ12" s="1321" t="s">
        <v>9515</v>
      </c>
      <c r="BA12" s="1829">
        <f>IF(MID(sheet1.ResidentialStatus1,1,3)="NRI",SUMIFS(os.DTAA_AmtChk,os.TRC,"=Yes",OS_DTAASectionCode,AZ12),SUMIF(OS_DTAASectionCode,AZ12,os.DTAA_AmtChk))</f>
        <v>0</v>
      </c>
      <c r="BB12" s="1321" t="s">
        <v>749</v>
      </c>
      <c r="BC12" s="1829">
        <f>SUM(AS12:AS20,AU12:AU20,AW12:AW20,AY12:AY20,BA12:BA17)</f>
        <v>0</v>
      </c>
    </row>
    <row r="13" spans="2:55" ht="26.25" customHeight="1" x14ac:dyDescent="0.2">
      <c r="B13" s="1797"/>
      <c r="C13" s="2477"/>
      <c r="D13" s="219"/>
      <c r="E13" s="1106"/>
      <c r="F13" s="2479" t="s">
        <v>299</v>
      </c>
      <c r="G13" s="3047" t="s">
        <v>13086</v>
      </c>
      <c r="H13" s="3336"/>
      <c r="I13" s="2479" t="s">
        <v>13256</v>
      </c>
      <c r="J13" s="1479"/>
      <c r="K13" s="2478"/>
      <c r="L13" s="1038"/>
      <c r="M13" s="704"/>
      <c r="N13" s="1038"/>
      <c r="O13" s="1314"/>
      <c r="P13" s="1809"/>
      <c r="AR13" s="1321"/>
      <c r="AS13" s="1829"/>
      <c r="AT13" s="1321"/>
      <c r="AU13" s="1829"/>
      <c r="AV13" s="1321"/>
      <c r="AW13" s="1829"/>
      <c r="AX13" s="1321"/>
      <c r="AY13" s="1829"/>
      <c r="AZ13" s="1321"/>
      <c r="BA13" s="1829"/>
      <c r="BB13" s="1666"/>
      <c r="BC13" s="1838"/>
    </row>
    <row r="14" spans="2:55" ht="26.25" customHeight="1" x14ac:dyDescent="0.2">
      <c r="B14" s="1797"/>
      <c r="C14" s="2477"/>
      <c r="D14" s="219"/>
      <c r="E14" s="1106"/>
      <c r="F14" s="2479" t="s">
        <v>430</v>
      </c>
      <c r="G14" s="3047" t="s">
        <v>13087</v>
      </c>
      <c r="H14" s="3336"/>
      <c r="I14" s="2479" t="s">
        <v>13257</v>
      </c>
      <c r="J14" s="1479"/>
      <c r="K14" s="2478"/>
      <c r="L14" s="1038"/>
      <c r="M14" s="704"/>
      <c r="N14" s="1038"/>
      <c r="O14" s="1314"/>
      <c r="P14" s="1809"/>
      <c r="AR14" s="1321"/>
      <c r="AS14" s="1829"/>
      <c r="AT14" s="1321"/>
      <c r="AU14" s="1829"/>
      <c r="AV14" s="1321"/>
      <c r="AW14" s="1829"/>
      <c r="AX14" s="1321"/>
      <c r="AY14" s="1829"/>
      <c r="AZ14" s="1321"/>
      <c r="BA14" s="1829"/>
      <c r="BB14" s="1666"/>
      <c r="BC14" s="1838"/>
    </row>
    <row r="15" spans="2:55" ht="26.25" customHeight="1" x14ac:dyDescent="0.2">
      <c r="B15" s="1797"/>
      <c r="C15" s="2477"/>
      <c r="D15" s="219"/>
      <c r="E15" s="1106"/>
      <c r="F15" s="2479" t="s">
        <v>432</v>
      </c>
      <c r="G15" s="3047" t="s">
        <v>13088</v>
      </c>
      <c r="H15" s="3336"/>
      <c r="I15" s="2479" t="s">
        <v>13258</v>
      </c>
      <c r="J15" s="1479"/>
      <c r="K15" s="2478"/>
      <c r="L15" s="1038"/>
      <c r="M15" s="704"/>
      <c r="N15" s="1038"/>
      <c r="O15" s="1314"/>
      <c r="P15" s="1809"/>
      <c r="AR15" s="1321"/>
      <c r="AS15" s="1829"/>
      <c r="AT15" s="1321"/>
      <c r="AU15" s="1829"/>
      <c r="AV15" s="1321"/>
      <c r="AW15" s="1829"/>
      <c r="AX15" s="1321"/>
      <c r="AY15" s="1829"/>
      <c r="AZ15" s="1321"/>
      <c r="BA15" s="1829"/>
      <c r="BB15" s="1666"/>
      <c r="BC15" s="1838"/>
    </row>
    <row r="16" spans="2:55" ht="26.25" customHeight="1" x14ac:dyDescent="0.2">
      <c r="B16" s="1797"/>
      <c r="C16" s="2477"/>
      <c r="D16" s="219"/>
      <c r="E16" s="1106"/>
      <c r="F16" s="2479" t="s">
        <v>434</v>
      </c>
      <c r="G16" s="3047" t="s">
        <v>13089</v>
      </c>
      <c r="H16" s="3336"/>
      <c r="I16" s="2479" t="s">
        <v>13259</v>
      </c>
      <c r="J16" s="1479"/>
      <c r="K16" s="2478"/>
      <c r="L16" s="1038"/>
      <c r="M16" s="704"/>
      <c r="N16" s="1038"/>
      <c r="O16" s="1314"/>
      <c r="P16" s="1809"/>
      <c r="AR16" s="1321"/>
      <c r="AS16" s="1829"/>
      <c r="AT16" s="1321"/>
      <c r="AU16" s="1829"/>
      <c r="AV16" s="1321"/>
      <c r="AW16" s="1829"/>
      <c r="AX16" s="1321"/>
      <c r="AY16" s="1829"/>
      <c r="AZ16" s="1321"/>
      <c r="BA16" s="1829"/>
      <c r="BB16" s="1666"/>
      <c r="BC16" s="1838"/>
    </row>
    <row r="17" spans="2:53" ht="12.75" customHeight="1" x14ac:dyDescent="0.2">
      <c r="B17" s="1797"/>
      <c r="C17" s="3013" t="s">
        <v>1046</v>
      </c>
      <c r="D17" s="219"/>
      <c r="E17" s="1104"/>
      <c r="F17" s="23" t="s">
        <v>435</v>
      </c>
      <c r="G17" s="3068" t="s">
        <v>9459</v>
      </c>
      <c r="H17" s="3068"/>
      <c r="I17" s="2479" t="s">
        <v>13260</v>
      </c>
      <c r="J17" s="1973"/>
      <c r="K17" s="2054"/>
      <c r="L17" s="1038"/>
      <c r="M17" s="704"/>
      <c r="N17" s="1038"/>
      <c r="O17" s="1314"/>
      <c r="P17" s="1809"/>
      <c r="AR17" s="1321" t="s">
        <v>9497</v>
      </c>
      <c r="AS17" s="1829">
        <f t="shared" si="0"/>
        <v>0</v>
      </c>
      <c r="AT17" s="1321" t="s">
        <v>9502</v>
      </c>
      <c r="AU17" s="1829">
        <f t="shared" si="1"/>
        <v>0</v>
      </c>
      <c r="AV17" s="1321" t="s">
        <v>9506</v>
      </c>
      <c r="AW17" s="1829">
        <f t="shared" si="2"/>
        <v>0</v>
      </c>
      <c r="AX17" s="1321" t="s">
        <v>9511</v>
      </c>
      <c r="AY17" s="1829">
        <f>IF(MID(sheet1.ResidentialStatus1,1,3)="NRI",SUMIFS(os.DTAA_AmtChk,os.TRC,"=Yes",OS_DTAASectionCode,AX17),SUMIF(OS_DTAASectionCode,AX17,os.DTAA_AmtChk))</f>
        <v>0</v>
      </c>
      <c r="AZ17" s="1321" t="s">
        <v>9519</v>
      </c>
      <c r="BA17" s="1829">
        <f>IF(MID(sheet1.ResidentialStatus1,1,3)="NRI",SUMIFS(os.DTAA_AmtChk,os.TRC,"=Yes",OS_DTAASectionCode,AZ17),SUMIF(OS_DTAASectionCode,AZ17,os.DTAA_AmtChk))</f>
        <v>0</v>
      </c>
    </row>
    <row r="18" spans="2:53" ht="12.75" customHeight="1" x14ac:dyDescent="0.2">
      <c r="B18" s="1797"/>
      <c r="C18" s="3013"/>
      <c r="D18" s="702"/>
      <c r="E18" s="1104" t="s">
        <v>867</v>
      </c>
      <c r="F18" s="3694" t="s">
        <v>1047</v>
      </c>
      <c r="G18" s="3694"/>
      <c r="H18" s="3694"/>
      <c r="I18" s="201" t="s">
        <v>303</v>
      </c>
      <c r="J18" s="1479"/>
      <c r="K18" s="2054"/>
      <c r="L18" s="1038"/>
      <c r="M18" s="704"/>
      <c r="N18" s="1038"/>
      <c r="O18" s="1314"/>
      <c r="P18" s="1809"/>
      <c r="AH18" s="121" t="s">
        <v>7393</v>
      </c>
      <c r="AI18" s="121">
        <f>IF(MID(sheet1.ResidentialStatus1,1,3)="NRI",SUMIFS(os.DTAA_AmtChk,os.TRC,"=Yes",OS_DTAASectionCode,"=56i"),SUMIF(OS_DTAASectionCode,"=56i",os.DTAA_AmtChk))</f>
        <v>0</v>
      </c>
      <c r="AR18" s="1321" t="s">
        <v>9498</v>
      </c>
      <c r="AS18" s="1829">
        <f t="shared" si="0"/>
        <v>0</v>
      </c>
      <c r="AT18" s="1321" t="s">
        <v>11845</v>
      </c>
      <c r="AU18" s="1829">
        <f t="shared" si="1"/>
        <v>0</v>
      </c>
      <c r="AV18" s="1321" t="s">
        <v>9507</v>
      </c>
      <c r="AW18" s="1829">
        <f t="shared" si="2"/>
        <v>0</v>
      </c>
      <c r="AX18" s="1321" t="s">
        <v>9512</v>
      </c>
      <c r="AY18" s="1829">
        <f>IF(MID(sheet1.ResidentialStatus1,1,3)="NRI",SUMIFS(os.DTAA_AmtChk,os.TRC,"=Yes",OS_DTAASectionCode,AX18),SUMIF(OS_DTAASectionCode,AX18,os.DTAA_AmtChk))</f>
        <v>0</v>
      </c>
    </row>
    <row r="19" spans="2:53" ht="25.5" customHeight="1" x14ac:dyDescent="0.2">
      <c r="B19" s="1797"/>
      <c r="C19" s="3013"/>
      <c r="D19" s="702"/>
      <c r="E19" s="3705" t="s">
        <v>868</v>
      </c>
      <c r="F19" s="3047" t="s">
        <v>9460</v>
      </c>
      <c r="G19" s="3335"/>
      <c r="H19" s="3336"/>
      <c r="I19" s="201" t="s">
        <v>332</v>
      </c>
      <c r="J19" s="2178">
        <f>MAX(0,(J20+J21+J22+J23+J24))</f>
        <v>0</v>
      </c>
      <c r="K19" s="704"/>
      <c r="L19" s="1038"/>
      <c r="M19" s="704"/>
      <c r="N19" s="1038"/>
      <c r="O19" s="1314"/>
      <c r="P19" s="1809"/>
      <c r="AH19" s="121" t="s">
        <v>7394</v>
      </c>
      <c r="AI19" s="121">
        <f>IF(MID(sheet1.ResidentialStatus1,1,3)="NRI",SUMIFS(os.DTAA_AmtChk,os.TRC,"=Yes",OS_DTAASectionCode,"=56"),SUMIF(OS_DTAASectionCode,"=56",os.DTAA_AmtChk))</f>
        <v>0</v>
      </c>
      <c r="AR19" s="1321" t="s">
        <v>9499</v>
      </c>
      <c r="AS19" s="1829">
        <f t="shared" si="0"/>
        <v>0</v>
      </c>
      <c r="AT19" s="1321" t="s">
        <v>9504</v>
      </c>
      <c r="AU19" s="1829">
        <f t="shared" si="1"/>
        <v>0</v>
      </c>
      <c r="AV19" s="1321" t="s">
        <v>9508</v>
      </c>
      <c r="AW19" s="1829">
        <f t="shared" si="2"/>
        <v>0</v>
      </c>
      <c r="AX19" s="1321" t="s">
        <v>9513</v>
      </c>
      <c r="AY19" s="1829">
        <f>IF(MID(sheet1.ResidentialStatus1,1,3)="NRI",SUMIFS(os.DTAA_AmtChk,os.TRC,"=Yes",OS_DTAASectionCode,AX19),SUMIF(OS_DTAASectionCode,AX19,os.DTAA_AmtChk))</f>
        <v>0</v>
      </c>
    </row>
    <row r="20" spans="2:53" ht="12.75" customHeight="1" x14ac:dyDescent="0.2">
      <c r="B20" s="1797"/>
      <c r="C20" s="3013"/>
      <c r="D20" s="219"/>
      <c r="E20" s="3706"/>
      <c r="F20" s="1998" t="s">
        <v>287</v>
      </c>
      <c r="G20" s="3694" t="s">
        <v>8356</v>
      </c>
      <c r="H20" s="3694"/>
      <c r="I20" s="201" t="s">
        <v>9718</v>
      </c>
      <c r="J20" s="1973"/>
      <c r="K20" s="704"/>
      <c r="L20" s="1038"/>
      <c r="M20" s="704"/>
      <c r="N20" s="1038"/>
      <c r="O20" s="1314"/>
      <c r="P20" s="1809"/>
      <c r="AH20" s="121" t="s">
        <v>8791</v>
      </c>
      <c r="AI20" s="121">
        <f>IF(MID(sheet1.ResidentialStatus1,1,3)="NRI",SUMIFS(os.DTAA_AmtChk,os.TRC,"=Yes",OS_DTAASectionCode,"=5BB"),SUMIF(OS_DTAASectionCode,"=5BB",os.DTAA_AmtChk))</f>
        <v>0</v>
      </c>
      <c r="AR20" s="1833" t="s">
        <v>9500</v>
      </c>
      <c r="AS20" s="1829">
        <f t="shared" si="0"/>
        <v>0</v>
      </c>
      <c r="AT20" s="1833" t="s">
        <v>13264</v>
      </c>
      <c r="AU20" s="1829">
        <f t="shared" si="1"/>
        <v>0</v>
      </c>
      <c r="AV20" s="1833" t="s">
        <v>9509</v>
      </c>
      <c r="AW20" s="1829">
        <f t="shared" si="2"/>
        <v>0</v>
      </c>
      <c r="AX20" s="1833" t="s">
        <v>9514</v>
      </c>
      <c r="AY20" s="1829">
        <f>IF(MID(sheet1.ResidentialStatus1,1,3)="NRI",SUMIFS(os.DTAA_AmtChk,os.TRC,"=Yes",OS_DTAASectionCode,AX20),SUMIF(OS_DTAASectionCode,AX20,os.DTAA_AmtChk))</f>
        <v>0</v>
      </c>
    </row>
    <row r="21" spans="2:53" ht="12.75" customHeight="1" x14ac:dyDescent="0.2">
      <c r="B21" s="1797"/>
      <c r="C21" s="3013"/>
      <c r="D21" s="219"/>
      <c r="E21" s="3706"/>
      <c r="F21" s="1998" t="s">
        <v>290</v>
      </c>
      <c r="G21" s="3694" t="s">
        <v>8357</v>
      </c>
      <c r="H21" s="3694"/>
      <c r="I21" s="201" t="s">
        <v>9719</v>
      </c>
      <c r="J21" s="1973"/>
      <c r="K21" s="704"/>
      <c r="L21" s="1038"/>
      <c r="M21" s="704"/>
      <c r="N21" s="1038"/>
      <c r="O21" s="1314"/>
      <c r="P21" s="1809"/>
    </row>
    <row r="22" spans="2:53" ht="25.5" customHeight="1" x14ac:dyDescent="0.2">
      <c r="B22" s="1797"/>
      <c r="C22" s="3013"/>
      <c r="D22" s="219"/>
      <c r="E22" s="3706"/>
      <c r="F22" s="1998" t="s">
        <v>293</v>
      </c>
      <c r="G22" s="3694" t="s">
        <v>8358</v>
      </c>
      <c r="H22" s="3694"/>
      <c r="I22" s="201" t="s">
        <v>9720</v>
      </c>
      <c r="J22" s="1973"/>
      <c r="K22" s="704"/>
      <c r="L22" s="1038"/>
      <c r="M22" s="704"/>
      <c r="N22" s="1038"/>
      <c r="O22" s="1314"/>
      <c r="P22" s="1809"/>
    </row>
    <row r="23" spans="2:53" ht="12.75" customHeight="1" x14ac:dyDescent="0.2">
      <c r="B23" s="1797"/>
      <c r="C23" s="3013"/>
      <c r="D23" s="219"/>
      <c r="E23" s="3706"/>
      <c r="F23" s="1998" t="s">
        <v>296</v>
      </c>
      <c r="G23" s="3694" t="s">
        <v>8359</v>
      </c>
      <c r="H23" s="3694"/>
      <c r="I23" s="201" t="s">
        <v>9721</v>
      </c>
      <c r="J23" s="1973"/>
      <c r="K23" s="704"/>
      <c r="L23" s="1038"/>
      <c r="M23" s="704"/>
      <c r="N23" s="1038"/>
      <c r="O23" s="1314"/>
      <c r="P23" s="1809"/>
    </row>
    <row r="24" spans="2:53" ht="27.75" customHeight="1" x14ac:dyDescent="0.2">
      <c r="B24" s="1797"/>
      <c r="C24" s="3013"/>
      <c r="D24" s="219"/>
      <c r="E24" s="3706"/>
      <c r="F24" s="1998" t="s">
        <v>299</v>
      </c>
      <c r="G24" s="3694" t="s">
        <v>8360</v>
      </c>
      <c r="H24" s="3694"/>
      <c r="I24" s="8" t="s">
        <v>9722</v>
      </c>
      <c r="J24" s="1973"/>
      <c r="K24" s="704"/>
      <c r="L24" s="1038"/>
      <c r="M24" s="704"/>
      <c r="N24" s="1038"/>
      <c r="O24" s="1314"/>
      <c r="P24" s="1809"/>
    </row>
    <row r="25" spans="2:53" ht="12.75" x14ac:dyDescent="0.2">
      <c r="B25" s="1797"/>
      <c r="C25" s="3013"/>
      <c r="D25" s="219"/>
      <c r="E25" s="703" t="s">
        <v>38</v>
      </c>
      <c r="F25" s="3068" t="s">
        <v>9461</v>
      </c>
      <c r="G25" s="3068"/>
      <c r="H25" s="3068"/>
      <c r="I25" s="2076"/>
      <c r="J25" s="1391">
        <f>SUM(os.OtherSections)+os_FamilyPension+OSIncomeNotified89A+OSIncomeNotifiedOther89A</f>
        <v>0</v>
      </c>
      <c r="K25" s="1038"/>
      <c r="L25" s="704"/>
      <c r="M25" s="1038"/>
      <c r="N25" s="1038"/>
      <c r="O25" s="1314"/>
      <c r="P25" s="1809"/>
    </row>
    <row r="26" spans="2:53" ht="25.5" customHeight="1" x14ac:dyDescent="0.2">
      <c r="B26" s="1797"/>
      <c r="C26" s="3013"/>
      <c r="D26" s="219"/>
      <c r="E26" s="1106"/>
      <c r="F26" s="2068" t="s">
        <v>8331</v>
      </c>
      <c r="G26" s="3718" t="s">
        <v>414</v>
      </c>
      <c r="H26" s="3719"/>
      <c r="I26" s="8"/>
      <c r="J26" s="1012" t="s">
        <v>415</v>
      </c>
      <c r="K26" s="704"/>
      <c r="L26" s="1038"/>
      <c r="M26" s="704"/>
      <c r="N26" s="1038"/>
      <c r="O26" s="1314"/>
      <c r="P26" s="1809"/>
    </row>
    <row r="27" spans="2:53" ht="25.5" customHeight="1" x14ac:dyDescent="0.2">
      <c r="B27" s="1797"/>
      <c r="C27" s="3013"/>
      <c r="D27" s="219"/>
      <c r="E27" s="1106"/>
      <c r="F27" s="2079">
        <v>1</v>
      </c>
      <c r="G27" s="3168" t="s">
        <v>11819</v>
      </c>
      <c r="H27" s="3170"/>
      <c r="I27" s="8"/>
      <c r="J27" s="1973"/>
      <c r="K27" s="704"/>
      <c r="L27" s="1038"/>
      <c r="M27" s="704"/>
      <c r="N27" s="1038"/>
      <c r="O27" s="1314"/>
      <c r="P27" s="1809"/>
    </row>
    <row r="28" spans="2:53" ht="25.5" customHeight="1" x14ac:dyDescent="0.2">
      <c r="B28" s="1797"/>
      <c r="C28" s="2496"/>
      <c r="D28" s="219"/>
      <c r="E28" s="1106"/>
      <c r="F28" s="2498">
        <v>2</v>
      </c>
      <c r="G28" s="3168" t="s">
        <v>13078</v>
      </c>
      <c r="H28" s="3169"/>
      <c r="I28" s="3170"/>
      <c r="J28" s="2505">
        <f>OSIncomeNotified89A_AmountUS+OSIncomeNotified89A_AmountUK+OSIncomeNotified89A_AmountCan</f>
        <v>0</v>
      </c>
      <c r="K28" s="704"/>
      <c r="L28" s="1038"/>
      <c r="M28" s="704"/>
      <c r="N28" s="1038"/>
      <c r="O28" s="1314"/>
      <c r="P28" s="1809"/>
    </row>
    <row r="29" spans="2:53" ht="25.5" customHeight="1" x14ac:dyDescent="0.2">
      <c r="B29" s="1797"/>
      <c r="C29" s="2496"/>
      <c r="D29" s="219"/>
      <c r="E29" s="1106"/>
      <c r="F29" s="2498" t="s">
        <v>697</v>
      </c>
      <c r="G29" s="3168" t="s">
        <v>13237</v>
      </c>
      <c r="H29" s="3169"/>
      <c r="I29" s="3170"/>
      <c r="J29" s="2089"/>
      <c r="K29" s="704"/>
      <c r="L29" s="1038"/>
      <c r="M29" s="704"/>
      <c r="N29" s="1038"/>
      <c r="O29" s="1314"/>
      <c r="P29" s="1809"/>
    </row>
    <row r="30" spans="2:53" ht="25.5" customHeight="1" x14ac:dyDescent="0.2">
      <c r="B30" s="1797"/>
      <c r="C30" s="2496"/>
      <c r="D30" s="219"/>
      <c r="E30" s="1106"/>
      <c r="F30" s="2498" t="s">
        <v>699</v>
      </c>
      <c r="G30" s="3168" t="s">
        <v>13238</v>
      </c>
      <c r="H30" s="3169"/>
      <c r="I30" s="3170"/>
      <c r="J30" s="2089"/>
      <c r="K30" s="704"/>
      <c r="L30" s="1038"/>
      <c r="M30" s="704"/>
      <c r="N30" s="1038"/>
      <c r="O30" s="1314"/>
      <c r="P30" s="1809"/>
    </row>
    <row r="31" spans="2:53" ht="25.5" customHeight="1" x14ac:dyDescent="0.2">
      <c r="B31" s="1797"/>
      <c r="C31" s="2496"/>
      <c r="D31" s="219"/>
      <c r="E31" s="1106"/>
      <c r="F31" s="2498" t="s">
        <v>322</v>
      </c>
      <c r="G31" s="3168" t="s">
        <v>13079</v>
      </c>
      <c r="H31" s="3169"/>
      <c r="I31" s="3170"/>
      <c r="J31" s="2089"/>
      <c r="K31" s="704"/>
      <c r="L31" s="1038"/>
      <c r="M31" s="704"/>
      <c r="N31" s="1038"/>
      <c r="O31" s="1314"/>
      <c r="P31" s="1809"/>
    </row>
    <row r="32" spans="2:53" ht="25.5" customHeight="1" x14ac:dyDescent="0.2">
      <c r="B32" s="1797"/>
      <c r="C32" s="2496"/>
      <c r="D32" s="219"/>
      <c r="E32" s="1106"/>
      <c r="F32" s="2498">
        <v>3</v>
      </c>
      <c r="G32" s="3720" t="s">
        <v>13161</v>
      </c>
      <c r="H32" s="3721"/>
      <c r="I32" s="3722"/>
      <c r="J32" s="2089"/>
      <c r="K32" s="704"/>
      <c r="L32" s="1038"/>
      <c r="M32" s="704"/>
      <c r="N32" s="1038"/>
      <c r="O32" s="1314"/>
      <c r="P32" s="1809"/>
    </row>
    <row r="33" spans="2:42" ht="25.5" customHeight="1" x14ac:dyDescent="0.2">
      <c r="B33" s="1797"/>
      <c r="C33" s="2010"/>
      <c r="D33" s="219"/>
      <c r="E33" s="1106"/>
      <c r="F33" s="2079">
        <f>F32+1</f>
        <v>4</v>
      </c>
      <c r="G33" s="3726"/>
      <c r="H33" s="3727"/>
      <c r="I33" s="8"/>
      <c r="J33" s="1973"/>
      <c r="K33" s="704"/>
      <c r="L33" s="1038"/>
      <c r="M33" s="704"/>
      <c r="N33" s="1038"/>
      <c r="O33" s="1314"/>
      <c r="P33" s="1809"/>
    </row>
    <row r="34" spans="2:42" ht="25.5" customHeight="1" x14ac:dyDescent="0.2">
      <c r="B34" s="1797"/>
      <c r="C34" s="2010"/>
      <c r="D34" s="219"/>
      <c r="E34" s="1106"/>
      <c r="F34" s="2079">
        <f>F33+1</f>
        <v>5</v>
      </c>
      <c r="G34" s="3726"/>
      <c r="H34" s="3727"/>
      <c r="I34" s="257"/>
      <c r="J34" s="1973"/>
      <c r="K34" s="704"/>
      <c r="L34" s="1038"/>
      <c r="M34" s="704"/>
      <c r="N34" s="1038"/>
      <c r="O34" s="1314"/>
      <c r="P34" s="1809"/>
    </row>
    <row r="35" spans="2:42" ht="28.5" customHeight="1" x14ac:dyDescent="0.2">
      <c r="B35" s="1797"/>
      <c r="C35" s="2010"/>
      <c r="D35" s="219"/>
      <c r="E35" s="1104"/>
      <c r="F35" s="2079"/>
      <c r="G35" s="3687"/>
      <c r="H35" s="3688"/>
      <c r="I35" s="3688"/>
      <c r="J35" s="3689"/>
      <c r="K35" s="704"/>
      <c r="L35" s="1038"/>
      <c r="M35" s="704"/>
      <c r="N35" s="1038"/>
      <c r="O35" s="1314"/>
      <c r="P35" s="1809"/>
    </row>
    <row r="36" spans="2:42" ht="25.5" customHeight="1" x14ac:dyDescent="0.25">
      <c r="B36" s="1797"/>
      <c r="C36" s="2010"/>
      <c r="D36" s="495">
        <v>2</v>
      </c>
      <c r="E36" s="3047" t="s">
        <v>9576</v>
      </c>
      <c r="F36" s="3335"/>
      <c r="G36" s="3335"/>
      <c r="H36" s="3336"/>
      <c r="I36" s="8">
        <v>2</v>
      </c>
      <c r="J36" s="1391">
        <f>SUM(os.WinLottRacePuzz,os.Total115BE,os.IncomeBenefitTotal,os.TotalChargeableSpecialRate,os.TotalPassThroughIncome,DTAA_1a_OS,DTAA_1b_OS,DTAA_1c_OS,DTAA_1d_OS)</f>
        <v>0</v>
      </c>
      <c r="K36" s="2054"/>
      <c r="L36" s="1038"/>
      <c r="M36" s="704"/>
      <c r="N36" s="1038"/>
      <c r="O36" s="1314"/>
      <c r="P36" s="1809"/>
      <c r="AB36" s="3384" t="s">
        <v>7199</v>
      </c>
      <c r="AC36" s="3384"/>
    </row>
    <row r="37" spans="2:42" ht="16.5" customHeight="1" x14ac:dyDescent="0.2">
      <c r="B37" s="1797"/>
      <c r="C37" s="406"/>
      <c r="D37" s="219"/>
      <c r="E37" s="1307" t="s">
        <v>27</v>
      </c>
      <c r="F37" s="3068" t="s">
        <v>9462</v>
      </c>
      <c r="G37" s="3068"/>
      <c r="H37" s="3068"/>
      <c r="I37" s="8" t="s">
        <v>697</v>
      </c>
      <c r="J37" s="1400"/>
      <c r="K37" s="2054"/>
      <c r="L37" s="1038"/>
      <c r="M37" s="704"/>
      <c r="N37" s="1038"/>
      <c r="O37" s="1314"/>
      <c r="P37" s="1809"/>
      <c r="AB37" s="708" t="s">
        <v>328</v>
      </c>
      <c r="AC37" s="709">
        <f>os.DividendGross</f>
        <v>0</v>
      </c>
    </row>
    <row r="38" spans="2:42" ht="16.5" customHeight="1" x14ac:dyDescent="0.2">
      <c r="B38" s="1797"/>
      <c r="C38" s="406"/>
      <c r="D38" s="219"/>
      <c r="E38" s="706" t="s">
        <v>28</v>
      </c>
      <c r="F38" s="3068" t="s">
        <v>9463</v>
      </c>
      <c r="G38" s="3068"/>
      <c r="H38" s="3068"/>
      <c r="I38" s="8" t="s">
        <v>699</v>
      </c>
      <c r="J38" s="1391">
        <f>MAX(0,(J39+J40+J41+J42+J43+J44))</f>
        <v>0</v>
      </c>
      <c r="K38" s="2054"/>
      <c r="L38" s="1038"/>
      <c r="M38" s="704"/>
      <c r="N38" s="1038"/>
      <c r="O38" s="1314"/>
      <c r="P38" s="1809"/>
      <c r="AB38" s="708"/>
      <c r="AC38" s="709"/>
    </row>
    <row r="39" spans="2:42" ht="16.5" customHeight="1" x14ac:dyDescent="0.2">
      <c r="B39" s="1797"/>
      <c r="C39" s="406"/>
      <c r="D39" s="219"/>
      <c r="E39" s="706"/>
      <c r="F39" s="1308" t="s">
        <v>287</v>
      </c>
      <c r="G39" s="3686" t="s">
        <v>7707</v>
      </c>
      <c r="H39" s="3686"/>
      <c r="I39" s="8" t="s">
        <v>11980</v>
      </c>
      <c r="J39" s="1400"/>
      <c r="K39" s="2054"/>
      <c r="L39" s="1038"/>
      <c r="M39" s="704"/>
      <c r="N39" s="1038"/>
      <c r="O39" s="1314"/>
      <c r="P39" s="1809"/>
      <c r="AB39" s="708"/>
      <c r="AC39" s="709"/>
    </row>
    <row r="40" spans="2:42" ht="16.5" customHeight="1" x14ac:dyDescent="0.2">
      <c r="B40" s="1797"/>
      <c r="C40" s="406"/>
      <c r="D40" s="219"/>
      <c r="E40" s="706"/>
      <c r="F40" s="23" t="s">
        <v>290</v>
      </c>
      <c r="G40" s="3686" t="s">
        <v>7708</v>
      </c>
      <c r="H40" s="3686"/>
      <c r="I40" s="8" t="s">
        <v>11981</v>
      </c>
      <c r="J40" s="1400"/>
      <c r="K40" s="2054"/>
      <c r="L40" s="1038"/>
      <c r="M40" s="704"/>
      <c r="N40" s="1038"/>
      <c r="O40" s="1314"/>
      <c r="P40" s="1809"/>
      <c r="AB40" s="708"/>
      <c r="AC40" s="709"/>
    </row>
    <row r="41" spans="2:42" ht="16.5" customHeight="1" x14ac:dyDescent="0.2">
      <c r="B41" s="1797"/>
      <c r="C41" s="406"/>
      <c r="D41" s="219"/>
      <c r="E41" s="706"/>
      <c r="F41" s="23" t="s">
        <v>293</v>
      </c>
      <c r="G41" s="3686" t="s">
        <v>7709</v>
      </c>
      <c r="H41" s="3686"/>
      <c r="I41" s="8" t="s">
        <v>11982</v>
      </c>
      <c r="J41" s="1400"/>
      <c r="K41" s="2054"/>
      <c r="L41" s="1038"/>
      <c r="M41" s="704"/>
      <c r="N41" s="1038"/>
      <c r="O41" s="1314"/>
      <c r="P41" s="1809"/>
      <c r="AB41" s="708"/>
      <c r="AC41" s="709"/>
    </row>
    <row r="42" spans="2:42" ht="16.5" customHeight="1" x14ac:dyDescent="0.2">
      <c r="B42" s="1797"/>
      <c r="C42" s="406"/>
      <c r="D42" s="219"/>
      <c r="E42" s="706"/>
      <c r="F42" s="23" t="s">
        <v>296</v>
      </c>
      <c r="G42" s="3686" t="s">
        <v>7710</v>
      </c>
      <c r="H42" s="3686"/>
      <c r="I42" s="8" t="s">
        <v>11983</v>
      </c>
      <c r="J42" s="1400"/>
      <c r="K42" s="2054"/>
      <c r="L42" s="1038"/>
      <c r="M42" s="704"/>
      <c r="N42" s="1038"/>
      <c r="O42" s="1314"/>
      <c r="P42" s="1809"/>
      <c r="AB42" s="708"/>
      <c r="AC42" s="709"/>
    </row>
    <row r="43" spans="2:42" ht="16.5" customHeight="1" x14ac:dyDescent="0.2">
      <c r="B43" s="1797"/>
      <c r="C43" s="406"/>
      <c r="D43" s="219"/>
      <c r="E43" s="706"/>
      <c r="F43" s="23" t="s">
        <v>299</v>
      </c>
      <c r="G43" s="3686" t="s">
        <v>9702</v>
      </c>
      <c r="H43" s="3686"/>
      <c r="I43" s="8" t="s">
        <v>11984</v>
      </c>
      <c r="J43" s="1400"/>
      <c r="K43" s="2054"/>
      <c r="L43" s="1038"/>
      <c r="M43" s="704"/>
      <c r="N43" s="1038"/>
      <c r="O43" s="1314"/>
      <c r="P43" s="1809"/>
      <c r="AB43" s="708"/>
      <c r="AC43" s="709"/>
    </row>
    <row r="44" spans="2:42" ht="16.5" customHeight="1" x14ac:dyDescent="0.2">
      <c r="B44" s="1797"/>
      <c r="C44" s="406"/>
      <c r="D44" s="219"/>
      <c r="E44" s="706"/>
      <c r="F44" s="23" t="s">
        <v>430</v>
      </c>
      <c r="G44" s="3686" t="s">
        <v>7711</v>
      </c>
      <c r="H44" s="3686"/>
      <c r="I44" s="8" t="s">
        <v>11985</v>
      </c>
      <c r="J44" s="1400"/>
      <c r="K44" s="2054"/>
      <c r="L44" s="1038"/>
      <c r="M44" s="704"/>
      <c r="N44" s="1038"/>
      <c r="O44" s="1314"/>
      <c r="P44" s="1809"/>
      <c r="AB44" s="708"/>
      <c r="AC44" s="709"/>
    </row>
    <row r="45" spans="2:42" ht="16.5" customHeight="1" x14ac:dyDescent="0.2">
      <c r="B45" s="1797"/>
      <c r="C45" s="406"/>
      <c r="D45" s="219"/>
      <c r="E45" s="1309" t="s">
        <v>29</v>
      </c>
      <c r="F45" s="3091" t="s">
        <v>9464</v>
      </c>
      <c r="G45" s="3091"/>
      <c r="H45" s="3091"/>
      <c r="I45" s="8" t="s">
        <v>29</v>
      </c>
      <c r="J45" s="1480">
        <f>SUM(os.IncomeBenefit)</f>
        <v>0</v>
      </c>
      <c r="K45" s="2054"/>
      <c r="L45" s="1038"/>
      <c r="M45" s="704"/>
      <c r="N45" s="1038"/>
      <c r="O45" s="1314"/>
      <c r="P45" s="1809"/>
      <c r="AB45" s="708"/>
      <c r="AC45" s="709"/>
    </row>
    <row r="46" spans="2:42" ht="16.5" customHeight="1" x14ac:dyDescent="0.2">
      <c r="B46" s="1797"/>
      <c r="C46" s="406"/>
      <c r="D46" s="219"/>
      <c r="E46" s="1310"/>
      <c r="F46" s="2068" t="s">
        <v>8331</v>
      </c>
      <c r="G46" s="23" t="s">
        <v>2</v>
      </c>
      <c r="H46" s="23" t="s">
        <v>8862</v>
      </c>
      <c r="I46" s="710"/>
      <c r="J46" s="23" t="s">
        <v>8863</v>
      </c>
      <c r="K46" s="2054"/>
      <c r="L46" s="1038"/>
      <c r="M46" s="704"/>
      <c r="N46" s="1038"/>
      <c r="O46" s="1314"/>
      <c r="P46" s="1809"/>
      <c r="AB46" s="708"/>
      <c r="AC46" s="709"/>
    </row>
    <row r="47" spans="2:42" ht="16.5" customHeight="1" x14ac:dyDescent="0.2">
      <c r="B47" s="1797"/>
      <c r="C47" s="406"/>
      <c r="D47" s="219"/>
      <c r="E47" s="1310"/>
      <c r="F47" s="722">
        <v>1</v>
      </c>
      <c r="G47" s="1986" t="s">
        <v>12</v>
      </c>
      <c r="H47" s="1973"/>
      <c r="I47" s="710"/>
      <c r="J47" s="1973"/>
      <c r="K47" s="2054"/>
      <c r="L47" s="1038"/>
      <c r="M47" s="704"/>
      <c r="N47" s="1038"/>
      <c r="O47" s="1314"/>
      <c r="P47" s="1809"/>
      <c r="AB47" s="708"/>
      <c r="AC47" s="709"/>
      <c r="AI47" s="1321" t="s">
        <v>1183</v>
      </c>
      <c r="AJ47" s="1829">
        <f>SUMIF(os.check,"=5A1aiia",SRCamt)</f>
        <v>0</v>
      </c>
      <c r="AK47" s="1833" t="s">
        <v>1188</v>
      </c>
      <c r="AL47" s="1829">
        <f>SUMIF(os.check,"=5A1bA",SRCamt)</f>
        <v>0</v>
      </c>
      <c r="AM47" s="1833" t="s">
        <v>1194</v>
      </c>
      <c r="AN47" s="1829">
        <f>SUMIF(os.check,"=5BBA",SRCamt)</f>
        <v>0</v>
      </c>
      <c r="AO47" s="1834"/>
      <c r="AP47" s="1834"/>
    </row>
    <row r="48" spans="2:42" ht="16.5" customHeight="1" x14ac:dyDescent="0.2">
      <c r="B48" s="1797"/>
      <c r="C48" s="406"/>
      <c r="D48" s="219"/>
      <c r="E48" s="1310"/>
      <c r="F48" s="722">
        <f>F47+1</f>
        <v>2</v>
      </c>
      <c r="G48" s="1986" t="s">
        <v>12</v>
      </c>
      <c r="H48" s="1973"/>
      <c r="I48" s="710"/>
      <c r="J48" s="1973"/>
      <c r="K48" s="2054"/>
      <c r="L48" s="1038"/>
      <c r="M48" s="704"/>
      <c r="N48" s="1038"/>
      <c r="O48" s="1314"/>
      <c r="P48" s="1809"/>
      <c r="AB48" s="708"/>
      <c r="AC48" s="709"/>
      <c r="AI48" s="1321" t="s">
        <v>1182</v>
      </c>
      <c r="AJ48" s="1829">
        <f>SUMIF(os.check,"=5A1aii",SRCamt)</f>
        <v>0</v>
      </c>
      <c r="AK48" s="1833" t="s">
        <v>1186</v>
      </c>
      <c r="AL48" s="1829">
        <f>SUMIF(os.check,"=5A1aiii",SRCamt)</f>
        <v>0</v>
      </c>
      <c r="AM48" s="1833" t="s">
        <v>8759</v>
      </c>
      <c r="AN48" s="1829">
        <f>SUMIF(os.check,"=5AD1ip",SRCamt)</f>
        <v>0</v>
      </c>
      <c r="AO48" s="1834"/>
      <c r="AP48" s="1834"/>
    </row>
    <row r="49" spans="2:42" ht="16.5" customHeight="1" x14ac:dyDescent="0.2">
      <c r="B49" s="1797"/>
      <c r="C49" s="406"/>
      <c r="D49" s="219"/>
      <c r="E49" s="1310"/>
      <c r="F49" s="722">
        <f>F48+1</f>
        <v>3</v>
      </c>
      <c r="G49" s="1986" t="s">
        <v>12</v>
      </c>
      <c r="H49" s="1973"/>
      <c r="I49" s="710"/>
      <c r="J49" s="1973"/>
      <c r="K49" s="2158"/>
      <c r="L49" s="1038"/>
      <c r="M49" s="704"/>
      <c r="N49" s="1038"/>
      <c r="O49" s="1314"/>
      <c r="P49" s="1809"/>
      <c r="AB49" s="2159"/>
      <c r="AC49" s="709"/>
      <c r="AI49" s="1321" t="s">
        <v>1182</v>
      </c>
      <c r="AJ49" s="1829">
        <f>SUMIF(os.check,"=5A1aii",SRCamt)</f>
        <v>0</v>
      </c>
      <c r="AK49" s="1833" t="s">
        <v>1186</v>
      </c>
      <c r="AL49" s="1829">
        <f>SUMIF(os.check,"=5A1aiii",SRCamt)</f>
        <v>0</v>
      </c>
      <c r="AM49" s="1833" t="s">
        <v>8759</v>
      </c>
      <c r="AN49" s="1829">
        <f>SUMIF(os.check,"=5AD1ip",SRCamt)</f>
        <v>0</v>
      </c>
      <c r="AO49" s="1834"/>
      <c r="AP49" s="1834"/>
    </row>
    <row r="50" spans="2:42" ht="27" customHeight="1" x14ac:dyDescent="0.2">
      <c r="B50" s="1797"/>
      <c r="C50" s="406"/>
      <c r="D50" s="219"/>
      <c r="E50" s="1310"/>
      <c r="F50" s="3689"/>
      <c r="G50" s="3690"/>
      <c r="H50" s="3690"/>
      <c r="I50" s="3690"/>
      <c r="J50" s="3690"/>
      <c r="K50" s="2054"/>
      <c r="L50" s="1038"/>
      <c r="M50" s="704"/>
      <c r="N50" s="1038"/>
      <c r="O50" s="1314"/>
      <c r="P50" s="1809"/>
      <c r="AB50" s="708"/>
      <c r="AC50" s="709"/>
      <c r="AI50" s="1321" t="s">
        <v>1181</v>
      </c>
      <c r="AJ50" s="1829">
        <f>SUMIF(os.check,"=5A1ai",SRCamt)</f>
        <v>0</v>
      </c>
      <c r="AK50" s="1833" t="s">
        <v>7176</v>
      </c>
      <c r="AL50" s="1829">
        <f>SUMIF(os.check,"=5A1aiiac",SRCamt)</f>
        <v>0</v>
      </c>
      <c r="AM50" s="1833" t="s">
        <v>1191</v>
      </c>
      <c r="AN50" s="1829">
        <f>SUMIF(os.check,"=5AD1i",SRCamt)</f>
        <v>0</v>
      </c>
      <c r="AO50" s="1834"/>
      <c r="AP50" s="1834"/>
    </row>
    <row r="51" spans="2:42" ht="16.5" customHeight="1" x14ac:dyDescent="0.2">
      <c r="B51" s="1797"/>
      <c r="C51" s="406"/>
      <c r="D51" s="219"/>
      <c r="E51" s="1311"/>
      <c r="F51" s="3697" t="s">
        <v>749</v>
      </c>
      <c r="G51" s="3698"/>
      <c r="H51" s="3699"/>
      <c r="I51" s="1039"/>
      <c r="J51" s="1430">
        <f>SUM(os.TaxBenefit)</f>
        <v>0</v>
      </c>
      <c r="K51" s="2054"/>
      <c r="L51" s="1038"/>
      <c r="M51" s="704"/>
      <c r="N51" s="1038"/>
      <c r="O51" s="1314"/>
      <c r="P51" s="1809"/>
      <c r="AB51" s="708"/>
      <c r="AC51" s="709"/>
      <c r="AI51" s="1835">
        <v>111</v>
      </c>
      <c r="AJ51" s="1829">
        <f>SUM(os.IncomeBenefitTotal)</f>
        <v>0</v>
      </c>
      <c r="AK51" s="1833" t="s">
        <v>8760</v>
      </c>
      <c r="AL51" s="1829">
        <f>SUMIF(os.check,"=5ACA1a",SRCamt)</f>
        <v>0</v>
      </c>
      <c r="AM51" s="1833" t="s">
        <v>1195</v>
      </c>
      <c r="AN51" s="1829">
        <f>SUMIF(os.check,"=5BBC",SRCamt)</f>
        <v>0</v>
      </c>
      <c r="AO51" s="1834"/>
      <c r="AP51" s="1834"/>
    </row>
    <row r="52" spans="2:42" ht="16.5" customHeight="1" x14ac:dyDescent="0.2">
      <c r="B52" s="1797"/>
      <c r="C52" s="406"/>
      <c r="D52" s="219"/>
      <c r="E52" s="706" t="s">
        <v>36</v>
      </c>
      <c r="F52" s="3063" t="s">
        <v>13162</v>
      </c>
      <c r="G52" s="3091"/>
      <c r="H52" s="3092"/>
      <c r="I52" s="8" t="s">
        <v>36</v>
      </c>
      <c r="J52" s="1430">
        <f>SUM(os.SourceAmount)</f>
        <v>0</v>
      </c>
      <c r="K52" s="2054"/>
      <c r="L52" s="1038"/>
      <c r="M52" s="704"/>
      <c r="N52" s="1038"/>
      <c r="O52" s="1314"/>
      <c r="P52" s="1809"/>
      <c r="X52" s="121" t="s">
        <v>1943</v>
      </c>
      <c r="Y52" s="121" t="s">
        <v>1944</v>
      </c>
      <c r="AB52" s="708" t="s">
        <v>330</v>
      </c>
      <c r="AC52" s="709">
        <f>os.InterestGross</f>
        <v>0</v>
      </c>
      <c r="AI52" s="1321" t="s">
        <v>7669</v>
      </c>
      <c r="AJ52" s="1829">
        <f>SUMIF(os.check,"=5BBF",SRCamt)</f>
        <v>0</v>
      </c>
      <c r="AK52" s="1833" t="s">
        <v>8173</v>
      </c>
      <c r="AL52" s="1829">
        <f>SUMIF(os.check,"=5BBG",SRCamt)</f>
        <v>0</v>
      </c>
      <c r="AM52" s="1833" t="s">
        <v>7668</v>
      </c>
      <c r="AN52" s="1829">
        <f>SUMIF(os.check,"=5BBDA",SRCamt)</f>
        <v>0</v>
      </c>
      <c r="AO52" s="1834"/>
      <c r="AP52" s="1834"/>
    </row>
    <row r="53" spans="2:42" ht="16.5" customHeight="1" x14ac:dyDescent="0.2">
      <c r="B53" s="1797"/>
      <c r="C53" s="406"/>
      <c r="D53" s="219"/>
      <c r="E53" s="706"/>
      <c r="F53" s="2022" t="s">
        <v>8331</v>
      </c>
      <c r="G53" s="1998" t="s">
        <v>414</v>
      </c>
      <c r="H53" s="2066" t="s">
        <v>415</v>
      </c>
      <c r="I53" s="2054"/>
      <c r="J53" s="1038"/>
      <c r="K53" s="704"/>
      <c r="L53" s="1038"/>
      <c r="M53" s="704"/>
      <c r="N53" s="1038"/>
      <c r="O53" s="1314"/>
      <c r="P53" s="1809"/>
      <c r="AB53" s="708"/>
      <c r="AC53" s="709"/>
      <c r="AI53" s="1321" t="s">
        <v>12851</v>
      </c>
      <c r="AJ53" s="1829">
        <f>SUMIF(os.check,"=5A1aiiaci",SRCamt)</f>
        <v>0</v>
      </c>
      <c r="AK53" s="1833" t="s">
        <v>12850</v>
      </c>
      <c r="AL53" s="1829">
        <f>SUMIF(os.check,"=5A1aiiaaP",SRCamt)</f>
        <v>0</v>
      </c>
      <c r="AM53" s="1833" t="s">
        <v>12854</v>
      </c>
      <c r="AN53" s="1829">
        <f>SUMIF(os.check,"=5AD1iDiv",SRCamt)</f>
        <v>0</v>
      </c>
      <c r="AO53" s="1834"/>
      <c r="AP53" s="1834"/>
    </row>
    <row r="54" spans="2:42" ht="12.75" x14ac:dyDescent="0.2">
      <c r="B54" s="1797"/>
      <c r="C54" s="406"/>
      <c r="D54" s="219"/>
      <c r="E54" s="706"/>
      <c r="F54" s="23">
        <f>1</f>
        <v>1</v>
      </c>
      <c r="G54" s="1370"/>
      <c r="H54" s="1973"/>
      <c r="I54" s="2054"/>
      <c r="J54" s="1038"/>
      <c r="K54" s="704"/>
      <c r="L54" s="1038"/>
      <c r="M54" s="1038"/>
      <c r="N54" s="1038"/>
      <c r="O54" s="1314"/>
      <c r="P54" s="1809"/>
      <c r="X54" s="121">
        <f>IF(G54="(Select)",0,IF(G54="",0,1))</f>
        <v>0</v>
      </c>
      <c r="Y54" s="121">
        <f>IF(H54="",0,IF(H54="0",0,1))</f>
        <v>0</v>
      </c>
      <c r="AB54" s="708" t="e">
        <f>TRIM(MID(G54,1,SEARCH("-",G54)-1))</f>
        <v>#VALUE!</v>
      </c>
      <c r="AC54" s="711">
        <f>H54</f>
        <v>0</v>
      </c>
      <c r="AI54" s="1321"/>
      <c r="AJ54" s="1829"/>
      <c r="AK54" s="1833"/>
      <c r="AL54" s="1829"/>
      <c r="AM54" s="1833" t="s">
        <v>13130</v>
      </c>
      <c r="AN54" s="1829">
        <f>SUMIF(os.check,"=5AC1b",SRCamt)</f>
        <v>0</v>
      </c>
      <c r="AO54" s="1834"/>
      <c r="AP54" s="1834"/>
    </row>
    <row r="55" spans="2:42" ht="12.75" x14ac:dyDescent="0.2">
      <c r="B55" s="1797"/>
      <c r="C55" s="406"/>
      <c r="D55" s="219"/>
      <c r="E55" s="706"/>
      <c r="F55" s="23">
        <f>F54+1</f>
        <v>2</v>
      </c>
      <c r="G55" s="1370"/>
      <c r="H55" s="1973"/>
      <c r="I55" s="2054"/>
      <c r="J55" s="1038"/>
      <c r="K55" s="704"/>
      <c r="L55" s="1038"/>
      <c r="M55" s="1038"/>
      <c r="N55" s="1038"/>
      <c r="O55" s="1314"/>
      <c r="P55" s="1809"/>
      <c r="X55" s="121">
        <f>IF(G55="(Select)",0,IF(G55="",0,1))</f>
        <v>0</v>
      </c>
      <c r="Y55" s="121">
        <f>IF(H55="",0,IF(H55="0",0,1))</f>
        <v>0</v>
      </c>
      <c r="AB55" s="708" t="e">
        <f>TRIM(MID(G55,1,SEARCH("-",G55)-1))</f>
        <v>#VALUE!</v>
      </c>
      <c r="AC55" s="711">
        <f>H55</f>
        <v>0</v>
      </c>
      <c r="AI55" s="1321" t="s">
        <v>330</v>
      </c>
      <c r="AJ55" s="1829">
        <f>SUMIF(os.check,"=56",SRCamt)</f>
        <v>0</v>
      </c>
      <c r="AK55" s="1833" t="s">
        <v>1185</v>
      </c>
      <c r="AL55" s="1829">
        <f>SUMIF(os.check,"=5A1aiiab",SRCamt)</f>
        <v>0</v>
      </c>
      <c r="AM55" s="1833" t="s">
        <v>13263</v>
      </c>
      <c r="AN55" s="1829">
        <f>SUMIF(os.check,"=5AC1a",SRCamt)</f>
        <v>0</v>
      </c>
      <c r="AO55" s="1833" t="s">
        <v>749</v>
      </c>
      <c r="AP55" s="1829"/>
    </row>
    <row r="56" spans="2:42" ht="12.75" x14ac:dyDescent="0.2">
      <c r="B56" s="1797"/>
      <c r="C56" s="406"/>
      <c r="D56" s="219"/>
      <c r="E56" s="706"/>
      <c r="F56" s="23">
        <f>F55+1</f>
        <v>3</v>
      </c>
      <c r="G56" s="1370"/>
      <c r="H56" s="1973"/>
      <c r="I56" s="2054"/>
      <c r="J56" s="1038"/>
      <c r="K56" s="704"/>
      <c r="L56" s="1038"/>
      <c r="M56" s="1038"/>
      <c r="N56" s="1038"/>
      <c r="O56" s="1314"/>
      <c r="P56" s="1809"/>
      <c r="X56" s="121">
        <f>IF(G56="(Select)",0,IF(G56="",0,1))</f>
        <v>0</v>
      </c>
      <c r="Y56" s="121">
        <f>IF(H56="",0,IF(H56="0",0,1))</f>
        <v>0</v>
      </c>
      <c r="AB56" s="708" t="e">
        <f>TRIM(MID(G56,1,SEARCH("-",G56)-1))</f>
        <v>#VALUE!</v>
      </c>
      <c r="AC56" s="711">
        <f>H56</f>
        <v>0</v>
      </c>
      <c r="AI56" s="1321" t="s">
        <v>328</v>
      </c>
      <c r="AJ56" s="1829">
        <f>SUMIF(os.check,"=56i",SRCamt)</f>
        <v>0</v>
      </c>
      <c r="AK56" s="1833" t="s">
        <v>1184</v>
      </c>
      <c r="AL56" s="1829">
        <f>SUMIF(os.check,"=5A1aiiaa",SRCamt)</f>
        <v>0</v>
      </c>
      <c r="AM56" s="1833" t="s">
        <v>1189</v>
      </c>
      <c r="AN56" s="1829">
        <f>SUMIF(os.check,"=5A1bB",SRCamt)</f>
        <v>0</v>
      </c>
      <c r="AO56" s="1833" t="s">
        <v>1197</v>
      </c>
      <c r="AP56" s="1829">
        <f>SUMIF(os.check,"=5Ea",SRCamt)</f>
        <v>0</v>
      </c>
    </row>
    <row r="57" spans="2:42" ht="12.75" x14ac:dyDescent="0.2">
      <c r="B57" s="1797"/>
      <c r="C57" s="406"/>
      <c r="D57" s="219"/>
      <c r="E57" s="706"/>
      <c r="F57" s="23">
        <f>F56+1</f>
        <v>4</v>
      </c>
      <c r="G57" s="1370"/>
      <c r="H57" s="1973"/>
      <c r="I57" s="2054"/>
      <c r="J57" s="1038"/>
      <c r="K57" s="704"/>
      <c r="L57" s="1038"/>
      <c r="M57" s="1038"/>
      <c r="N57" s="1038"/>
      <c r="O57" s="1314"/>
      <c r="P57" s="1809"/>
      <c r="X57" s="121">
        <f>IF(G57="(Select)",0,IF(G57="",0,1))</f>
        <v>0</v>
      </c>
      <c r="Y57" s="121">
        <f>IF(H57="",0,IF(H57="0",0,1))</f>
        <v>0</v>
      </c>
      <c r="AB57" s="708" t="e">
        <f>TRIM(MID(G57,1,SEARCH("-",G57)-1))</f>
        <v>#VALUE!</v>
      </c>
      <c r="AC57" s="711">
        <f>H57</f>
        <v>0</v>
      </c>
    </row>
    <row r="58" spans="2:42" ht="12.75" x14ac:dyDescent="0.2">
      <c r="B58" s="1797"/>
      <c r="C58" s="406"/>
      <c r="D58" s="219"/>
      <c r="E58" s="706"/>
      <c r="F58" s="2638">
        <f>F57+1</f>
        <v>5</v>
      </c>
      <c r="G58" s="2639"/>
      <c r="H58" s="1973"/>
      <c r="I58" s="2632"/>
      <c r="J58" s="1038"/>
      <c r="K58" s="704"/>
      <c r="L58" s="1038"/>
      <c r="M58" s="1038"/>
      <c r="N58" s="1038"/>
      <c r="O58" s="1314"/>
      <c r="P58" s="1809"/>
      <c r="X58" s="121">
        <f>IF(G58="(Select)",0,IF(G58="",0,1))</f>
        <v>0</v>
      </c>
      <c r="Y58" s="121">
        <f>IF(H58="",0,IF(H58="0",0,1))</f>
        <v>0</v>
      </c>
      <c r="AB58" s="2640" t="e">
        <f>TRIM(MID(G58,1,SEARCH("-",G58)-1))</f>
        <v>#VALUE!</v>
      </c>
      <c r="AC58" s="711">
        <f>H58</f>
        <v>0</v>
      </c>
    </row>
    <row r="59" spans="2:42" ht="3" customHeight="1" x14ac:dyDescent="0.2">
      <c r="B59" s="1797"/>
      <c r="C59" s="406"/>
      <c r="D59" s="219"/>
      <c r="E59" s="706"/>
      <c r="F59" s="705"/>
      <c r="G59" s="712"/>
      <c r="H59" s="713"/>
      <c r="I59" s="2054"/>
      <c r="J59" s="704"/>
      <c r="K59" s="1038"/>
      <c r="L59" s="704"/>
      <c r="M59" s="1038"/>
      <c r="N59" s="1038"/>
      <c r="O59" s="1314"/>
      <c r="P59" s="1809"/>
    </row>
    <row r="60" spans="2:42" ht="24" customHeight="1" x14ac:dyDescent="0.2">
      <c r="B60" s="1797"/>
      <c r="C60" s="406"/>
      <c r="D60" s="219"/>
      <c r="E60" s="706"/>
      <c r="F60" s="3707"/>
      <c r="G60" s="3708"/>
      <c r="H60" s="3709"/>
      <c r="I60" s="2049"/>
      <c r="J60" s="704"/>
      <c r="K60" s="1038"/>
      <c r="L60" s="704"/>
      <c r="M60" s="1038"/>
      <c r="N60" s="1038"/>
      <c r="O60" s="1314"/>
      <c r="P60" s="1809"/>
      <c r="AB60" s="714"/>
      <c r="AC60" s="715"/>
    </row>
    <row r="61" spans="2:42" ht="24" customHeight="1" x14ac:dyDescent="0.2">
      <c r="B61" s="1797"/>
      <c r="C61" s="406"/>
      <c r="D61" s="219"/>
      <c r="E61" s="1098" t="s">
        <v>38</v>
      </c>
      <c r="F61" s="3068" t="s">
        <v>12724</v>
      </c>
      <c r="G61" s="3068"/>
      <c r="H61" s="3068"/>
      <c r="I61" s="1319"/>
      <c r="J61" s="1430">
        <f>SUM(os.PTIAmount)</f>
        <v>0</v>
      </c>
      <c r="K61" s="2054"/>
      <c r="L61" s="704"/>
      <c r="M61" s="1038"/>
      <c r="N61" s="1038"/>
      <c r="O61" s="1314"/>
      <c r="P61" s="1809"/>
      <c r="AB61" s="714"/>
      <c r="AC61" s="715"/>
    </row>
    <row r="62" spans="2:42" ht="12.75" x14ac:dyDescent="0.2">
      <c r="B62" s="1797"/>
      <c r="C62" s="406"/>
      <c r="D62" s="219"/>
      <c r="E62" s="706"/>
      <c r="F62" s="2022" t="s">
        <v>8331</v>
      </c>
      <c r="G62" s="2080" t="s">
        <v>414</v>
      </c>
      <c r="H62" s="2078" t="s">
        <v>415</v>
      </c>
      <c r="I62" s="2031"/>
      <c r="J62" s="704"/>
      <c r="K62" s="1038"/>
      <c r="L62" s="704"/>
      <c r="M62" s="1038"/>
      <c r="N62" s="1038"/>
      <c r="O62" s="1314"/>
      <c r="P62" s="1809"/>
      <c r="AB62" s="714"/>
      <c r="AC62" s="715"/>
    </row>
    <row r="63" spans="2:42" ht="12.75" x14ac:dyDescent="0.2">
      <c r="B63" s="1797"/>
      <c r="C63" s="406"/>
      <c r="D63" s="219"/>
      <c r="E63" s="706"/>
      <c r="F63" s="1567">
        <f>1</f>
        <v>1</v>
      </c>
      <c r="G63" s="1986"/>
      <c r="H63" s="1973"/>
      <c r="I63" s="704"/>
      <c r="J63" s="704"/>
      <c r="K63" s="1038"/>
      <c r="L63" s="704"/>
      <c r="M63" s="1038"/>
      <c r="N63" s="1038"/>
      <c r="O63" s="1314"/>
      <c r="P63" s="1809"/>
      <c r="AB63" s="708" t="e">
        <f>TRIM(MID(G63,1,SEARCH("-",G63)-1))</f>
        <v>#VALUE!</v>
      </c>
      <c r="AC63" s="711">
        <f>H63</f>
        <v>0</v>
      </c>
      <c r="AD63" s="740" t="str">
        <f>IF(ISERROR(VLOOKUP(G63,OS_PTI_LookUp1,2,FALSE)),"",VLOOKUP(G63,OS_PTI_LookUp1,2,FALSE))</f>
        <v/>
      </c>
    </row>
    <row r="64" spans="2:42" ht="12.75" x14ac:dyDescent="0.2">
      <c r="B64" s="1797"/>
      <c r="C64" s="406"/>
      <c r="D64" s="219"/>
      <c r="E64" s="706"/>
      <c r="F64" s="1567">
        <f>F63+1</f>
        <v>2</v>
      </c>
      <c r="G64" s="1986"/>
      <c r="H64" s="1973"/>
      <c r="I64" s="704"/>
      <c r="J64" s="704"/>
      <c r="K64" s="1038"/>
      <c r="L64" s="704"/>
      <c r="M64" s="1038"/>
      <c r="N64" s="1038"/>
      <c r="O64" s="1314"/>
      <c r="P64" s="1809"/>
      <c r="AB64" s="708" t="e">
        <f>TRIM(MID(G64,1,SEARCH("-",G64)-1))</f>
        <v>#VALUE!</v>
      </c>
      <c r="AC64" s="711">
        <f>H64</f>
        <v>0</v>
      </c>
      <c r="AD64" s="740" t="str">
        <f>IF(ISERROR(VLOOKUP(G64,OS_PTI_LookUp1,2,FALSE)),"",VLOOKUP(G64,OS_PTI_LookUp1,2,FALSE))</f>
        <v/>
      </c>
    </row>
    <row r="65" spans="2:53" ht="12.75" x14ac:dyDescent="0.2">
      <c r="B65" s="1797"/>
      <c r="C65" s="406"/>
      <c r="D65" s="219"/>
      <c r="E65" s="706"/>
      <c r="F65" s="1567">
        <f>F64+1</f>
        <v>3</v>
      </c>
      <c r="G65" s="1986"/>
      <c r="H65" s="1973"/>
      <c r="I65" s="704"/>
      <c r="J65" s="704"/>
      <c r="K65" s="1038"/>
      <c r="L65" s="704"/>
      <c r="M65" s="1038"/>
      <c r="N65" s="1038"/>
      <c r="O65" s="1314"/>
      <c r="P65" s="1809"/>
      <c r="AB65" s="708" t="e">
        <f>TRIM(MID(G65,1,SEARCH("-",G65)-1))</f>
        <v>#VALUE!</v>
      </c>
      <c r="AC65" s="711">
        <f>H65</f>
        <v>0</v>
      </c>
      <c r="AD65" s="740" t="str">
        <f>IF(ISERROR(VLOOKUP(G65,OS_PTI_LookUp1,2,FALSE)),"",VLOOKUP(G65,OS_PTI_LookUp1,2,FALSE))</f>
        <v/>
      </c>
    </row>
    <row r="66" spans="2:53" ht="12.75" x14ac:dyDescent="0.2">
      <c r="B66" s="1797"/>
      <c r="C66" s="406"/>
      <c r="D66" s="219"/>
      <c r="E66" s="706"/>
      <c r="F66" s="705">
        <f>F65+1</f>
        <v>4</v>
      </c>
      <c r="G66" s="1986"/>
      <c r="H66" s="1500"/>
      <c r="I66" s="704"/>
      <c r="J66" s="704"/>
      <c r="K66" s="1038"/>
      <c r="L66" s="704"/>
      <c r="M66" s="1038"/>
      <c r="N66" s="1038"/>
      <c r="O66" s="1314"/>
      <c r="P66" s="1809"/>
      <c r="AB66" s="708" t="e">
        <f>TRIM(MID(G66,1,SEARCH("-",G66)-1))</f>
        <v>#VALUE!</v>
      </c>
      <c r="AC66" s="711">
        <f>H66</f>
        <v>0</v>
      </c>
      <c r="AD66" s="740" t="str">
        <f>IF(ISERROR(VLOOKUP(G66,OS_PTI_LookUp1,2,FALSE)),"",VLOOKUP(G66,OS_PTI_LookUp1,2,FALSE))</f>
        <v/>
      </c>
    </row>
    <row r="67" spans="2:53" ht="29.25" customHeight="1" x14ac:dyDescent="0.2">
      <c r="B67" s="1797"/>
      <c r="C67" s="406"/>
      <c r="D67" s="219"/>
      <c r="E67" s="706"/>
      <c r="F67" s="3687"/>
      <c r="G67" s="3688"/>
      <c r="H67" s="3688"/>
      <c r="I67" s="3689"/>
      <c r="J67" s="704"/>
      <c r="K67" s="1038"/>
      <c r="L67" s="704"/>
      <c r="M67" s="1038"/>
      <c r="N67" s="1038"/>
      <c r="O67" s="1314"/>
      <c r="P67" s="1809"/>
      <c r="AB67" s="714"/>
      <c r="AC67" s="715"/>
    </row>
    <row r="68" spans="2:53" ht="14.25" customHeight="1" x14ac:dyDescent="0.25">
      <c r="B68" s="1797"/>
      <c r="C68" s="406"/>
      <c r="D68" s="702"/>
      <c r="E68" s="201" t="s">
        <v>40</v>
      </c>
      <c r="F68" s="3717" t="s">
        <v>9492</v>
      </c>
      <c r="G68" s="3717"/>
      <c r="H68" s="3717"/>
      <c r="I68" s="3717"/>
      <c r="J68" s="3068"/>
      <c r="K68" s="3068"/>
      <c r="L68" s="3068"/>
      <c r="M68" s="3068"/>
      <c r="N68" s="3695">
        <f>IF(Residentialstatuscheck="NRI",SUMIF(os.TRC,"Yes",os.Amount_income),SUM(os.Amount_income))</f>
        <v>0</v>
      </c>
      <c r="O68" s="3696"/>
      <c r="P68" s="1809"/>
      <c r="AC68" s="3384" t="s">
        <v>7200</v>
      </c>
      <c r="AD68" s="3384"/>
      <c r="AE68" s="3384"/>
      <c r="AF68" s="3384"/>
    </row>
    <row r="69" spans="2:53" ht="57.75" customHeight="1" x14ac:dyDescent="0.25">
      <c r="B69" s="1797"/>
      <c r="C69" s="406"/>
      <c r="D69" s="219"/>
      <c r="E69" s="239"/>
      <c r="F69" s="2068" t="s">
        <v>8331</v>
      </c>
      <c r="G69" s="2068" t="s">
        <v>6801</v>
      </c>
      <c r="H69" s="2068" t="s">
        <v>13113</v>
      </c>
      <c r="I69" s="387" t="s">
        <v>6799</v>
      </c>
      <c r="J69" s="387" t="s">
        <v>6800</v>
      </c>
      <c r="K69" s="2004" t="s">
        <v>9634</v>
      </c>
      <c r="L69" s="1071" t="s">
        <v>9635</v>
      </c>
      <c r="M69" s="2004" t="s">
        <v>8361</v>
      </c>
      <c r="N69" s="1071" t="s">
        <v>8362</v>
      </c>
      <c r="O69" s="2073" t="s">
        <v>8363</v>
      </c>
      <c r="P69" s="1836"/>
      <c r="Q69" s="124"/>
      <c r="R69" s="124"/>
      <c r="S69" s="124"/>
      <c r="T69" s="124"/>
      <c r="U69" s="124"/>
      <c r="V69" s="124"/>
      <c r="W69" s="124"/>
      <c r="X69" s="124"/>
      <c r="Y69" s="124"/>
      <c r="AA69" s="719" t="s">
        <v>42</v>
      </c>
      <c r="AB69" s="720" t="s">
        <v>7201</v>
      </c>
      <c r="AC69" s="720" t="s">
        <v>7202</v>
      </c>
      <c r="AD69" s="720" t="s">
        <v>7203</v>
      </c>
      <c r="AE69" s="720" t="s">
        <v>7395</v>
      </c>
      <c r="AF69" s="405" t="s">
        <v>7267</v>
      </c>
      <c r="AK69" s="1042" t="s">
        <v>8366</v>
      </c>
      <c r="AL69" s="1042"/>
      <c r="AM69" s="1042" t="str">
        <f>IF(MID(sheet1.ResidentialStatus1,1,3)="RES","RES","NRI")</f>
        <v>NRI</v>
      </c>
      <c r="AN69" s="1321" t="s">
        <v>1183</v>
      </c>
      <c r="AO69" s="1829">
        <f>IF(MID(sheet1.ResidentialStatus1,1,3)="NRI",SUMIFS(os.DTAA_AmtChk,os.TRC,"=Yes",OS_DTAASectionCode,"=5A1aiia"),SUMIF(OS_DTAASectionCode,"=5A1aiia",os.DTAA_AmtChk))</f>
        <v>0</v>
      </c>
      <c r="AP69" s="1321"/>
      <c r="AQ69" s="1829"/>
      <c r="AR69" s="1833" t="s">
        <v>1188</v>
      </c>
      <c r="AS69" s="1829">
        <f>IF(MID(sheet1.ResidentialStatus1,1,3)="NRI",SUMIFS(os.DTAA_AmtChk,os.TRC,"=Yes",OS_DTAASectionCode,"=5A1b"),SUMIF(OS_DTAASectionCode,"=5A1b",os.DTAA_AmtChk))</f>
        <v>0</v>
      </c>
      <c r="AT69" s="1833" t="s">
        <v>1194</v>
      </c>
      <c r="AU69" s="1829">
        <f>IF(MID(sheet1.ResidentialStatus1,1,3)="NRI",SUMIFS(os.DTAA_AmtChk,os.TRC,"=Yes",OS_DTAASectionCode,"=5BBA"),SUMIF(OS_DTAASectionCode,"=5BBA",os.DTAA_AmtChk))</f>
        <v>0</v>
      </c>
      <c r="AV69" s="1834"/>
      <c r="AW69" s="1834"/>
    </row>
    <row r="70" spans="2:53" ht="15" x14ac:dyDescent="0.25">
      <c r="B70" s="1797"/>
      <c r="C70" s="406"/>
      <c r="D70" s="219"/>
      <c r="E70" s="434"/>
      <c r="F70" s="721">
        <v>1</v>
      </c>
      <c r="G70" s="806"/>
      <c r="H70" s="1313"/>
      <c r="I70" s="1986"/>
      <c r="J70" s="2626"/>
      <c r="K70" s="1482"/>
      <c r="L70" s="2650"/>
      <c r="M70" s="1481"/>
      <c r="N70" s="1482"/>
      <c r="O70" s="2628">
        <v>0</v>
      </c>
      <c r="P70" s="1836"/>
      <c r="Q70" s="124"/>
      <c r="R70" s="124"/>
      <c r="S70" s="124"/>
      <c r="T70" s="124"/>
      <c r="U70" s="124"/>
      <c r="V70" s="124"/>
      <c r="W70" s="124"/>
      <c r="X70" s="124"/>
      <c r="Y70" s="124"/>
      <c r="Z70" s="2522" t="str">
        <f>IF(ISERROR(VLOOKUP(M70,OS_DTAA_lookup,2,FALSE)),"",VLOOKUP(M70,OS_DTAA_lookup,2,FALSE))</f>
        <v/>
      </c>
      <c r="AA70" s="708">
        <f>IF(ISERROR(IF(TRIM(MID(M70,1,SEARCH("-",M70)-1))="56(2)(i)","56i",IF(TRIM(MID(M70,1,SEARCH("-",M70)-1))="56(2)","56",TRIM(MID(M70,1,SEARCH("-",M70)-1))))),0,IF(TRIM(MID(M70,1,SEARCH("-",M70)-1))="56(2)(i)","56i",IF(TRIM(MID(M70,1,SEARCH("-",M70)-1))="56(2)","56",TRIM(MID(M70,1,SEARCH("-",M70)-1)))))</f>
        <v>0</v>
      </c>
      <c r="AB70" s="589">
        <f>G70</f>
        <v>0</v>
      </c>
      <c r="AC70" s="589">
        <f>IF(AA70="56i",Os.1a,IF(AA70="56",Os.1b,SUMIF(os.check,AA70,SRCamt)))</f>
        <v>0</v>
      </c>
      <c r="AD70" s="740">
        <f>IF(AA70="56i",IF(Os.1a&gt;=0,1,0),IF(AA70="56",IF(Os.1b&gt;=0,1,0), COUNTIF(os.check,AA70)))</f>
        <v>0</v>
      </c>
      <c r="AE70" s="1678">
        <f>IF(AC70&lt;AB70,0,1)</f>
        <v>1</v>
      </c>
      <c r="AF70" s="740">
        <f>IF(OR(NOT(isdropdownblank(I70)),J70&lt;&gt;"",K70&lt;&gt;"",L70&lt;&gt;"",NOT(isdropdownblank(M70)),G70&lt;&gt;""),1,0)</f>
        <v>0</v>
      </c>
      <c r="AK70" s="1079" t="s">
        <v>8787</v>
      </c>
      <c r="AL70" s="1042">
        <f>SUMIF(OS_DTAASectionCode,"=5BB",os.Amount_income)</f>
        <v>0</v>
      </c>
      <c r="AN70" s="1321" t="s">
        <v>1182</v>
      </c>
      <c r="AO70" s="1829">
        <f>IF(MID(sheet1.ResidentialStatus1,1,3)="NRI",SUMIFS(os.DTAA_AmtChk,os.TRC,"=Yes",OS_DTAASectionCode,"=5A1aii"),SUMIF(OS_DTAASectionCode,"=5A1aii",os.DTAA_AmtChk))</f>
        <v>0</v>
      </c>
      <c r="AP70" s="1321" t="s">
        <v>330</v>
      </c>
      <c r="AQ70" s="1829">
        <f>IF(MID(sheet1.ResidentialStatus1,1,3)="NRI",SUMIFS(os.DTAA_AmtChk,os.TRC,"=Yes",OS_DTAASectionCode,"=56"),SUMIF(OS_DTAASectionCode,"=56",os.DTAA_AmtChk))</f>
        <v>0</v>
      </c>
      <c r="AR70" s="1833" t="s">
        <v>1186</v>
      </c>
      <c r="AS70" s="1829">
        <f>IF(MID(sheet1.ResidentialStatus1,1,3)="NRI",SUMIFS(os.DTAA_AmtChk,os.TRC,"=Yes",OS_DTAASectionCode,"=5A1aiii"),SUMIF(OS_DTAASectionCode,"=5A1aiii",os.DTAA_AmtChk))</f>
        <v>0</v>
      </c>
      <c r="AT70" s="1833" t="s">
        <v>8759</v>
      </c>
      <c r="AU70" s="1829">
        <f>IF(MID(sheet1.ResidentialStatus1,1,3)="NRI",SUMIFS(os.DTAA_AmtChk,os.TRC,"=Yes",OS_DTAASectionCode,"=5AD1ip"),SUMIF(OS_DTAASectionCode,"=5AD1ip",os.DTAA_AmtChk))</f>
        <v>0</v>
      </c>
      <c r="AV70" s="1834"/>
      <c r="AW70" s="1834"/>
    </row>
    <row r="71" spans="2:53" ht="15" x14ac:dyDescent="0.25">
      <c r="B71" s="1797"/>
      <c r="C71" s="406"/>
      <c r="D71" s="219"/>
      <c r="E71" s="434"/>
      <c r="F71" s="722">
        <f>F70+1</f>
        <v>2</v>
      </c>
      <c r="G71" s="806"/>
      <c r="H71" s="1313"/>
      <c r="I71" s="1986"/>
      <c r="J71" s="2626"/>
      <c r="K71" s="1482"/>
      <c r="L71" s="2650"/>
      <c r="M71" s="1481"/>
      <c r="N71" s="1482"/>
      <c r="O71" s="2628">
        <v>0</v>
      </c>
      <c r="P71" s="1836"/>
      <c r="Q71" s="124"/>
      <c r="R71" s="124"/>
      <c r="S71" s="124"/>
      <c r="T71" s="124"/>
      <c r="U71" s="124"/>
      <c r="V71" s="124"/>
      <c r="W71" s="124"/>
      <c r="X71" s="124"/>
      <c r="Y71" s="124"/>
      <c r="Z71" s="708" t="str">
        <f>IF(ISERROR(VLOOKUP(M71,OS_DTAA_lookup,2,FALSE)),"",VLOOKUP(M71,OS_DTAA_lookup,2,FALSE))</f>
        <v/>
      </c>
      <c r="AA71" s="708">
        <f>IF(ISERROR(IF(TRIM(MID(M71,1,SEARCH("-",M71)-1))="56(2)(i)","56i",IF(TRIM(MID(M71,1,SEARCH("-",M71)-1))="56(2)","56",TRIM(MID(M71,1,SEARCH("-",M71)-1))))),0,IF(TRIM(MID(M71,1,SEARCH("-",M71)-1))="56(2)(i)","56i",IF(TRIM(MID(M71,1,SEARCH("-",M71)-1))="56(2)","56",TRIM(MID(M71,1,SEARCH("-",M71)-1)))))</f>
        <v>0</v>
      </c>
      <c r="AB71" s="589">
        <f>G71</f>
        <v>0</v>
      </c>
      <c r="AC71" s="589">
        <f>IF(AA71="56i",Os.1a,IF(AA71="56",Os.1b,SUMIF(os.check,AA71,SRCamt)))</f>
        <v>0</v>
      </c>
      <c r="AD71" s="740">
        <f>IF(AA71="56i",IF(Os.1a&gt;=0,1,0),IF(AA71="56",IF(Os.1b&gt;=0,1,0), COUNTIF(os.check,AA71)))</f>
        <v>0</v>
      </c>
      <c r="AE71" s="1678">
        <f>IF(AC71&lt;AB71,0,1)</f>
        <v>1</v>
      </c>
      <c r="AF71" s="740">
        <f>IF(OR(NOT(isdropdownblank(I71)),J71&lt;&gt;"",K71&lt;&gt;"",L71&lt;&gt;"",NOT(isdropdownblank(M71)),G71&lt;&gt;""),1,0)</f>
        <v>0</v>
      </c>
      <c r="AK71" s="1042" t="s">
        <v>8370</v>
      </c>
      <c r="AL71" s="1042">
        <f>SUMIF(OS_DTAASectionCode,"=5BBDA",os.Amount_income)</f>
        <v>0</v>
      </c>
      <c r="AN71" s="1321" t="s">
        <v>1181</v>
      </c>
      <c r="AO71" s="1829">
        <f>IF(MID(sheet1.ResidentialStatus1,1,3)="NRI",SUMIFS(os.DTAA_AmtChk,os.TRC,"=Yes",OS_DTAASectionCode,"=5A1ai"),SUMIF(OS_DTAASectionCode,"=5A1ai",os.DTAA_AmtChk))</f>
        <v>0</v>
      </c>
      <c r="AP71" s="1321" t="s">
        <v>328</v>
      </c>
      <c r="AQ71" s="1829">
        <f>IF(MID(sheet1.ResidentialStatus1,1,3)="NRI",SUMIFS(os.DTAA_AmtChk,os.TRC,"=Yes",OS_DTAASectionCode,"=56i"),SUMIF(OS_DTAASectionCode,"=56i",os.DTAA_AmtChk))</f>
        <v>0</v>
      </c>
      <c r="AR71" s="1833" t="s">
        <v>7176</v>
      </c>
      <c r="AS71" s="1829">
        <f>IF(MID(sheet1.ResidentialStatus1,1,3)="NRI",SUMIFS(os.DTAA_AmtChk,os.TRC,"=Yes",OS_DTAASectionCode,"=5A1aiiac"),SUMIF(OS_DTAASectionCode,"=5A1aiiac",os.DTAA_AmtChk))</f>
        <v>0</v>
      </c>
      <c r="AT71" s="1833" t="s">
        <v>1191</v>
      </c>
      <c r="AU71" s="1829">
        <f>IF(MID(sheet1.ResidentialStatus1,1,3)="NRI",SUMIFS(os.DTAA_AmtChk,os.TRC,"=Yes",OS_DTAASectionCode,"=5AD1i"),SUMIF(OS_DTAASectionCode,"=5AD1i",os.DTAA_AmtChk))</f>
        <v>0</v>
      </c>
      <c r="AV71" s="1834"/>
      <c r="AW71" s="1834"/>
    </row>
    <row r="72" spans="2:53" ht="15" x14ac:dyDescent="0.25">
      <c r="B72" s="1797"/>
      <c r="C72" s="406"/>
      <c r="D72" s="219"/>
      <c r="E72" s="434"/>
      <c r="F72" s="722">
        <f>F71+1</f>
        <v>3</v>
      </c>
      <c r="G72" s="806"/>
      <c r="H72" s="1313"/>
      <c r="I72" s="1986"/>
      <c r="J72" s="2626"/>
      <c r="K72" s="1482"/>
      <c r="L72" s="2650"/>
      <c r="M72" s="1481"/>
      <c r="N72" s="1482"/>
      <c r="O72" s="2628">
        <v>0</v>
      </c>
      <c r="P72" s="1836"/>
      <c r="Q72" s="124"/>
      <c r="R72" s="124"/>
      <c r="S72" s="124"/>
      <c r="T72" s="124"/>
      <c r="U72" s="124"/>
      <c r="V72" s="124"/>
      <c r="W72" s="124"/>
      <c r="X72" s="124" t="s">
        <v>1323</v>
      </c>
      <c r="Y72" s="124"/>
      <c r="Z72" s="708" t="str">
        <f>IF(ISERROR(VLOOKUP(M72,OS_DTAA_lookup,2,FALSE)),"",VLOOKUP(M72,OS_DTAA_lookup,2,FALSE))</f>
        <v/>
      </c>
      <c r="AA72" s="708">
        <f>IF(ISERROR(IF(TRIM(MID(M72,1,SEARCH("-",M72)-1))="56(2)(i)","56i",IF(TRIM(MID(M72,1,SEARCH("-",M72)-1))="56(2)","56",TRIM(MID(M72,1,SEARCH("-",M72)-1))))),0,IF(TRIM(MID(M72,1,SEARCH("-",M72)-1))="56(2)(i)","56i",IF(TRIM(MID(M72,1,SEARCH("-",M72)-1))="56(2)","56",TRIM(MID(M72,1,SEARCH("-",M72)-1)))))</f>
        <v>0</v>
      </c>
      <c r="AB72" s="589">
        <f>G72</f>
        <v>0</v>
      </c>
      <c r="AC72" s="589">
        <f>IF(AA72="56i",Os.1a,IF(AA72="56",Os.1b,SUMIF(os.check,AA72,SRCamt)))</f>
        <v>0</v>
      </c>
      <c r="AD72" s="740">
        <f>IF(AA72="56i",IF(Os.1a&gt;=0,1,0),IF(AA72="56",IF(Os.1b&gt;=0,1,0), COUNTIF(os.check,AA72)))</f>
        <v>0</v>
      </c>
      <c r="AE72" s="1678">
        <f>IF(AC72&lt;AB72,0,1)</f>
        <v>1</v>
      </c>
      <c r="AF72" s="740">
        <f>IF(OR(NOT(isdropdownblank(I72)),J72&lt;&gt;"",K72&lt;&gt;"",L72&lt;&gt;"",NOT(isdropdownblank(M72)),G72&lt;&gt;""),1,0)</f>
        <v>0</v>
      </c>
      <c r="AK72" s="1042" t="s">
        <v>8369</v>
      </c>
      <c r="AL72" s="1042">
        <f>SUMIF(OS_DTAASectionCode,"=5BBE",os.Amount_income)</f>
        <v>0</v>
      </c>
      <c r="AN72" s="1835">
        <v>111</v>
      </c>
      <c r="AO72" s="1829">
        <f>IF(MID(sheet1.ResidentialStatus1,1,3)="NRI",SUMIFS(os.DTAA_AmtChk,os.TRC,"=Yes",OS_DTAASectionCode,"=1"),SUMIF(OS_DTAASectionCode,"=1",os.DTAA_AmtChk))</f>
        <v>0</v>
      </c>
      <c r="AR72" s="1833" t="s">
        <v>8760</v>
      </c>
      <c r="AS72" s="1829">
        <f>IF(MID(sheet1.ResidentialStatus1,1,3)="NRI",SUMIFS(os.DTAA_AmtChk,os.TRC,"=Yes",OS_DTAASectionCode,"=5ACA1a"),SUMIF(OS_DTAASectionCode,"=5ACA1a",os.DTAA_AmtChk))</f>
        <v>0</v>
      </c>
      <c r="AT72" s="1833" t="s">
        <v>1195</v>
      </c>
      <c r="AU72" s="1829">
        <f>IF(MID(sheet1.ResidentialStatus1,1,3)="NRI",SUMIFS(os.DTAA_AmtChk,os.TRC,"=Yes",OS_DTAASectionCode,"=5BBC"),SUMIF(OS_DTAASectionCode,"=5BBC",os.DTAA_AmtChk))</f>
        <v>0</v>
      </c>
      <c r="AV72" s="1833" t="s">
        <v>1185</v>
      </c>
      <c r="AW72" s="1829">
        <f>IF(MID(sheet1.ResidentialStatus1,1,3)="NRI",SUMIFS(os.DTAA_AmtChk,os.TRC,"=Yes",OS_DTAASectionCode,"=5A1aiiab"),SUMIF(OS_DTAASectionCode,"=5A1aiiab",os.DTAA_AmtChk))</f>
        <v>0</v>
      </c>
      <c r="AX72" s="1833" t="s">
        <v>13263</v>
      </c>
      <c r="AY72" s="1829">
        <f>IF(MID(sheet1.ResidentialStatus1,1,3)="NRI",SUMIFS(os.DTAA_AmtChk,os.TRC,"=Yes",OS_DTAASectionCode,"=5AC1a"),SUMIF(OS_DTAASectionCode,"=5AC1a",os.DTAA_AmtChk))</f>
        <v>0</v>
      </c>
      <c r="AZ72" s="1833" t="s">
        <v>749</v>
      </c>
      <c r="BA72" s="1829">
        <f>SUM(AO69:AO73,AS69:AS73,AU69:AU73,DTAA_5Ea_OS)</f>
        <v>0</v>
      </c>
    </row>
    <row r="73" spans="2:53" ht="15" x14ac:dyDescent="0.25">
      <c r="B73" s="1797"/>
      <c r="C73" s="406"/>
      <c r="D73" s="219"/>
      <c r="E73" s="434"/>
      <c r="F73" s="722">
        <f>F72+1</f>
        <v>4</v>
      </c>
      <c r="G73" s="806"/>
      <c r="H73" s="1313"/>
      <c r="I73" s="1986"/>
      <c r="J73" s="2626"/>
      <c r="K73" s="1482"/>
      <c r="L73" s="2650"/>
      <c r="M73" s="1481"/>
      <c r="N73" s="1482"/>
      <c r="O73" s="2628">
        <v>0</v>
      </c>
      <c r="P73" s="1836"/>
      <c r="Q73" s="124"/>
      <c r="R73" s="124"/>
      <c r="S73" s="124"/>
      <c r="T73" s="124"/>
      <c r="U73" s="124"/>
      <c r="V73" s="124"/>
      <c r="W73" s="124"/>
      <c r="X73" s="124"/>
      <c r="Y73" s="124"/>
      <c r="Z73" s="708" t="str">
        <f>IF(ISERROR(VLOOKUP(M73,OS_DTAA_lookup,2,FALSE)),"",VLOOKUP(M73,OS_DTAA_lookup,2,FALSE))</f>
        <v/>
      </c>
      <c r="AA73" s="708">
        <f>IF(ISERROR(IF(TRIM(MID(M73,1,SEARCH("-",M73)-1))="56(2)(i)","56i",IF(TRIM(MID(M73,1,SEARCH("-",M73)-1))="56(2)","56",TRIM(MID(M73,1,SEARCH("-",M73)-1))))),0,IF(TRIM(MID(M73,1,SEARCH("-",M73)-1))="56(2)(i)","56i",IF(TRIM(MID(M73,1,SEARCH("-",M73)-1))="56(2)","56",TRIM(MID(M73,1,SEARCH("-",M73)-1)))))</f>
        <v>0</v>
      </c>
      <c r="AB73" s="589">
        <f>G73</f>
        <v>0</v>
      </c>
      <c r="AC73" s="589">
        <f>IF(AA73="56i",Os.1a,IF(AA73="56",Os.1b,SUMIF(os.check,AA73,SRCamt)))</f>
        <v>0</v>
      </c>
      <c r="AD73" s="740">
        <f>IF(AA73="56i",IF(Os.1a&gt;=0,1,0),IF(AA73="56",IF(Os.1b&gt;=0,1,0), COUNTIF(os.check,AA73)))</f>
        <v>0</v>
      </c>
      <c r="AE73" s="1678">
        <f>IF(AC73&lt;AB73,0,1)</f>
        <v>1</v>
      </c>
      <c r="AF73" s="740">
        <f>IF(OR(NOT(isdropdownblank(I73)),J73&lt;&gt;"",K73&lt;&gt;"",L73&lt;&gt;"",NOT(isdropdownblank(M73)),G73&lt;&gt;""),1,0)</f>
        <v>0</v>
      </c>
      <c r="AK73" s="1042" t="s">
        <v>8368</v>
      </c>
      <c r="AL73" s="1042">
        <f>SUMIF(OS_DTAASectionCode,"=5BBF",os.Amount_income)</f>
        <v>0</v>
      </c>
      <c r="AN73" s="1321" t="s">
        <v>7669</v>
      </c>
      <c r="AO73" s="1829">
        <f>IF(MID(sheet1.ResidentialStatus1,1,3)="NRI",SUMIFS(os.DTAA_AmtChk,os.TRC,"=Yes",OS_DTAASectionCode,"=5BBF"),SUMIF(OS_DTAASectionCode,"=5BBF",os.DTAA_AmtChk))</f>
        <v>0</v>
      </c>
      <c r="AR73" s="1833" t="s">
        <v>8173</v>
      </c>
      <c r="AS73" s="1829">
        <f>IF(MID(sheet1.ResidentialStatus1,1,3)="NRI",SUMIFS(os.DTAA_AmtChk,os.TRC,"=Yes",OS_DTAASectionCode,"=5BBG"),SUMIF(OS_DTAASectionCode,"=5BBG",os.DTAA_AmtChk))</f>
        <v>0</v>
      </c>
      <c r="AT73" s="1833" t="s">
        <v>7668</v>
      </c>
      <c r="AU73" s="1829">
        <f>IF(MID(sheet1.ResidentialStatus1,1,3)="NRI",SUMIFS(os.DTAA_AmtChk,os.TRC,"=Yes",OS_DTAASectionCode,"=5BBDA"),SUMIF(OS_DTAASectionCode,"=5BBDA",os.DTAA_AmtChk))</f>
        <v>0</v>
      </c>
      <c r="AV73" s="1833" t="s">
        <v>1184</v>
      </c>
      <c r="AW73" s="1829">
        <f>IF(MID(sheet1.ResidentialStatus1,1,3)="NRI",SUMIFS(os.DTAA_AmtChk,os.TRC,"=Yes",OS_DTAASectionCode,"=5A1aiiaa"),SUMIF(OS_DTAASectionCode,"=5A1aiiaa",os.DTAA_AmtChk))</f>
        <v>0</v>
      </c>
      <c r="AX73" s="1833" t="s">
        <v>1189</v>
      </c>
      <c r="AY73" s="1829">
        <f>IF(MID(sheet1.ResidentialStatus1,1,3)="NRI",SUMIFS(os.DTAA_AmtChk,os.TRC,"=Yes",OS_DTAASectionCode,"=5A1bB"),SUMIF(OS_DTAASectionCode,"=5A1bB",os.DTAA_AmtChk))</f>
        <v>0</v>
      </c>
      <c r="AZ73" s="1833" t="s">
        <v>1197</v>
      </c>
      <c r="BA73" s="1829">
        <f>IF(MID(sheet1.ResidentialStatus1,1,3)="NRI",SUMIFS(os.DTAA_AmtChk,os.TRC,"=Yes",OS_DTAASectionCode,"=5Ea"),SUMIF(OS_DTAASectionCode,"=5Ea",os.DTAA_AmtChk))</f>
        <v>0</v>
      </c>
    </row>
    <row r="74" spans="2:53" ht="15" x14ac:dyDescent="0.25">
      <c r="B74" s="1797"/>
      <c r="C74" s="406"/>
      <c r="D74" s="219"/>
      <c r="E74" s="434"/>
      <c r="F74" s="722">
        <f>F73+1</f>
        <v>5</v>
      </c>
      <c r="G74" s="806"/>
      <c r="H74" s="1313"/>
      <c r="I74" s="1986"/>
      <c r="J74" s="2626"/>
      <c r="K74" s="1482"/>
      <c r="L74" s="2650"/>
      <c r="M74" s="1481"/>
      <c r="N74" s="1482"/>
      <c r="O74" s="2628">
        <v>0</v>
      </c>
      <c r="P74" s="1836"/>
      <c r="Q74" s="124"/>
      <c r="R74" s="124"/>
      <c r="S74" s="124"/>
      <c r="T74" s="124"/>
      <c r="U74" s="124"/>
      <c r="V74" s="124"/>
      <c r="W74" s="124"/>
      <c r="X74" s="124"/>
      <c r="Y74" s="124"/>
      <c r="Z74" s="2640" t="str">
        <f>IF(ISERROR(VLOOKUP(M74,OS_DTAA_lookup,2,FALSE)),"",VLOOKUP(M74,OS_DTAA_lookup,2,FALSE))</f>
        <v/>
      </c>
      <c r="AA74" s="2640">
        <f>IF(ISERROR(IF(TRIM(MID(M74,1,SEARCH("-",M74)-1))="56(2)(i)","56i",IF(TRIM(MID(M74,1,SEARCH("-",M74)-1))="56(2)","56",TRIM(MID(M74,1,SEARCH("-",M74)-1))))),0,IF(TRIM(MID(M74,1,SEARCH("-",M74)-1))="56(2)(i)","56i",IF(TRIM(MID(M74,1,SEARCH("-",M74)-1))="56(2)","56",TRIM(MID(M74,1,SEARCH("-",M74)-1)))))</f>
        <v>0</v>
      </c>
      <c r="AB74" s="589">
        <f>G74</f>
        <v>0</v>
      </c>
      <c r="AC74" s="589">
        <f>IF(AA74="56i",Os.1a,IF(AA74="56",Os.1b,SUMIF(os.check,AA74,SRCamt)))</f>
        <v>0</v>
      </c>
      <c r="AD74" s="740">
        <f>IF(AA74="56i",IF(Os.1a&gt;=0,1,0),IF(AA74="56",IF(Os.1b&gt;=0,1,0), COUNTIF(os.check,AA74)))</f>
        <v>0</v>
      </c>
      <c r="AE74" s="1678">
        <f>IF(AC74&lt;AB74,0,1)</f>
        <v>1</v>
      </c>
      <c r="AF74" s="740">
        <f>IF(OR(NOT(isdropdownblank(I74)),J74&lt;&gt;"",K74&lt;&gt;"",L74&lt;&gt;"",NOT(isdropdownblank(M74)),G74&lt;&gt;""),1,0)</f>
        <v>0</v>
      </c>
      <c r="AK74" s="1042"/>
      <c r="AL74" s="1042">
        <f>SUMIF(OS_DTAASectionCode,"=5BBF",os.Amount_income)</f>
        <v>0</v>
      </c>
      <c r="AN74" s="1321"/>
      <c r="AO74" s="1829">
        <f>IF(MID(sheet1.ResidentialStatus1,1,3)="NRI",SUMIFS(os.DTAA_AmtChk,os.TRC,"=Yes",OS_DTAASectionCode,"=5BBF"),SUMIF(OS_DTAASectionCode,"=5BBF",os.DTAA_AmtChk))</f>
        <v>0</v>
      </c>
      <c r="AR74" s="1833"/>
      <c r="AS74" s="1829">
        <f>IF(MID(sheet1.ResidentialStatus1,1,3)="NRI",SUMIFS(os.DTAA_AmtChk,os.TRC,"=Yes",OS_DTAASectionCode,"=5BBG"),SUMIF(OS_DTAASectionCode,"=5BBG",os.DTAA_AmtChk))</f>
        <v>0</v>
      </c>
      <c r="AT74" s="1833"/>
      <c r="AU74" s="1829">
        <f>IF(MID(sheet1.ResidentialStatus1,1,3)="NRI",SUMIFS(os.DTAA_AmtChk,os.TRC,"=Yes",OS_DTAASectionCode,"=5BBDA"),SUMIF(OS_DTAASectionCode,"=5BBDA",os.DTAA_AmtChk))</f>
        <v>0</v>
      </c>
      <c r="AV74" s="1833"/>
      <c r="AW74" s="1829">
        <f>IF(MID(sheet1.ResidentialStatus1,1,3)="NRI",SUMIFS(os.DTAA_AmtChk,os.TRC,"=Yes",OS_DTAASectionCode,"=5A1aiiaa"),SUMIF(OS_DTAASectionCode,"=5A1aiiaa",os.DTAA_AmtChk))</f>
        <v>0</v>
      </c>
      <c r="AX74" s="1833"/>
      <c r="AY74" s="1829">
        <f>IF(MID(sheet1.ResidentialStatus1,1,3)="NRI",SUMIFS(os.DTAA_AmtChk,os.TRC,"=Yes",OS_DTAASectionCode,"=5A1bB"),SUMIF(OS_DTAASectionCode,"=5A1bB",os.DTAA_AmtChk))</f>
        <v>0</v>
      </c>
      <c r="AZ74" s="1833"/>
      <c r="BA74" s="1829">
        <f>IF(MID(sheet1.ResidentialStatus1,1,3)="NRI",SUMIFS(os.DTAA_AmtChk,os.TRC,"=Yes",OS_DTAASectionCode,"=5Ea"),SUMIF(OS_DTAASectionCode,"=5Ea",os.DTAA_AmtChk))</f>
        <v>0</v>
      </c>
    </row>
    <row r="75" spans="2:53" ht="31.5" customHeight="1" x14ac:dyDescent="0.25">
      <c r="B75" s="1797"/>
      <c r="C75" s="406"/>
      <c r="D75" s="219"/>
      <c r="E75" s="434"/>
      <c r="F75" s="1133"/>
      <c r="G75" s="3712"/>
      <c r="H75" s="3713"/>
      <c r="I75" s="1837"/>
      <c r="J75" s="1837"/>
      <c r="K75" s="1837"/>
      <c r="L75" s="1837"/>
      <c r="M75" s="1837"/>
      <c r="N75" s="846"/>
      <c r="O75" s="847"/>
      <c r="P75" s="1809"/>
      <c r="AK75" s="1042" t="s">
        <v>8367</v>
      </c>
      <c r="AL75" s="1042">
        <f>SUMIF(OS_DTAASectionCode,"=5BBG",os.Amount_income)</f>
        <v>0</v>
      </c>
      <c r="AN75" s="1321" t="s">
        <v>1193</v>
      </c>
      <c r="AO75" s="1829">
        <f>IF(MID(sheet1.ResidentialStatus1,1,3)="NRI",SUMIFS(os.DTAA_AmtChk,os.TRC,"=Yes",OS_DTAASectionCode,"=5BB"),SUMIF(OS_DTAASectionCode,"=5BB",os.DTAA_AmtChk))</f>
        <v>0</v>
      </c>
      <c r="AR75" s="1833"/>
      <c r="AS75" s="1829"/>
      <c r="AT75" s="1833" t="s">
        <v>13130</v>
      </c>
      <c r="AU75" s="1829">
        <f>IF(MID(sheet1.ResidentialStatus1,1,3)="NRI",SUMIFS(os.DTAA_AmtChk,os.TRC,"=Yes",OS_DTAASectionCode,"=5AC1b"),SUMIF(OS_DTAASectionCode,"=5AC1b",os.DTAA_AmtChk))</f>
        <v>0</v>
      </c>
      <c r="AV75" s="1834"/>
      <c r="AW75" s="1834"/>
    </row>
    <row r="76" spans="2:53" ht="14.25" customHeight="1" x14ac:dyDescent="0.2">
      <c r="B76" s="1797"/>
      <c r="C76" s="406"/>
      <c r="D76" s="495">
        <v>3</v>
      </c>
      <c r="E76" s="3692" t="s">
        <v>12869</v>
      </c>
      <c r="F76" s="3714"/>
      <c r="G76" s="3715"/>
      <c r="H76" s="3715"/>
      <c r="I76" s="3715"/>
      <c r="J76" s="3716"/>
      <c r="K76" s="2054"/>
      <c r="L76" s="1038"/>
      <c r="M76" s="704"/>
      <c r="N76" s="1038"/>
      <c r="O76" s="1314"/>
      <c r="P76" s="1809"/>
      <c r="AN76" s="1321" t="s">
        <v>9578</v>
      </c>
      <c r="AO76" s="1829">
        <f>IF(MID(sheet1.ResidentialStatus1,1,3)="NRI",SUMIFS(os.DTAA_AmtChk,os.TRC,"=Yes",OS_DTAASectionCode,"=56i"),SUMIF(OS_DTAASectionCode,"=56i",os.DTAA_AmtChk))</f>
        <v>0</v>
      </c>
      <c r="AP76" s="1321" t="s">
        <v>9579</v>
      </c>
      <c r="AQ76" s="1829">
        <f>IF(MID(sheet1.ResidentialStatus1,1,3)="NRI",SUMIFS(os.DTAA_AmtChk,os.TRC,"=Yes",OS_DTAASectionCode,"=56iii"),SUMIF(OS_DTAASectionCode,"=56iii",os.DTAA_AmtChk))</f>
        <v>0</v>
      </c>
    </row>
    <row r="77" spans="2:53" ht="12.75" customHeight="1" x14ac:dyDescent="0.2">
      <c r="B77" s="1797"/>
      <c r="C77" s="406"/>
      <c r="D77" s="702"/>
      <c r="E77" s="6" t="s">
        <v>11820</v>
      </c>
      <c r="F77" s="3191" t="s">
        <v>13163</v>
      </c>
      <c r="G77" s="3192"/>
      <c r="H77" s="3657"/>
      <c r="I77" s="6" t="s">
        <v>11823</v>
      </c>
      <c r="J77" s="2088"/>
      <c r="K77" s="2054"/>
      <c r="L77" s="1038"/>
      <c r="M77" s="704"/>
      <c r="N77" s="1038"/>
      <c r="O77" s="1314"/>
      <c r="P77" s="1809"/>
      <c r="AN77" s="1321" t="s">
        <v>7392</v>
      </c>
      <c r="AO77" s="1829">
        <f>IF(MID(sheet1.ResidentialStatus1,1,3)="NRI",SUMIFS(os.DTAA_AmtChk,os.TRC,"=Yes",OS_DTAASectionCode,"=56"),SUMIF(OS_DTAASectionCode,"=56",os.DTAA_AmtChk))</f>
        <v>0</v>
      </c>
      <c r="AP77" s="1321" t="s">
        <v>9580</v>
      </c>
      <c r="AQ77" s="1829">
        <f>IF(MID(sheet1.ResidentialStatus1,1,3)="NRI",SUMIFS(os.DTAA_AmtChk,os.TRC,"=Yes",OS_DTAASectionCode,"=562x"),SUMIF(OS_DTAASectionCode,"=562x",os.DTAA_AmtChk))</f>
        <v>0</v>
      </c>
    </row>
    <row r="78" spans="2:53" ht="12.75" customHeight="1" x14ac:dyDescent="0.2">
      <c r="B78" s="1797"/>
      <c r="C78" s="406"/>
      <c r="D78" s="702"/>
      <c r="E78" s="6" t="s">
        <v>11821</v>
      </c>
      <c r="F78" s="3191" t="s">
        <v>11822</v>
      </c>
      <c r="G78" s="3192"/>
      <c r="H78" s="3657"/>
      <c r="I78" s="199" t="s">
        <v>11824</v>
      </c>
      <c r="J78" s="2088"/>
      <c r="K78" s="2054"/>
      <c r="L78" s="1038"/>
      <c r="M78" s="704"/>
      <c r="N78" s="1038"/>
      <c r="O78" s="1314"/>
      <c r="P78" s="1809"/>
      <c r="AN78" s="1666"/>
      <c r="AO78" s="1838"/>
      <c r="AP78" s="1666"/>
      <c r="AQ78" s="1838"/>
    </row>
    <row r="79" spans="2:53" ht="13.5" customHeight="1" x14ac:dyDescent="0.2">
      <c r="B79" s="1797"/>
      <c r="C79" s="406"/>
      <c r="D79" s="702"/>
      <c r="E79" s="6" t="s">
        <v>866</v>
      </c>
      <c r="F79" s="3191" t="s">
        <v>12691</v>
      </c>
      <c r="G79" s="3192"/>
      <c r="H79" s="3657"/>
      <c r="I79" s="199" t="s">
        <v>769</v>
      </c>
      <c r="J79" s="2088"/>
      <c r="K79" s="2054"/>
      <c r="L79" s="1038"/>
      <c r="M79" s="704"/>
      <c r="N79" s="1038"/>
      <c r="O79" s="1314"/>
      <c r="P79" s="1809"/>
      <c r="AN79" s="1839"/>
      <c r="AO79" s="1840"/>
    </row>
    <row r="80" spans="2:53" ht="13.5" customHeight="1" x14ac:dyDescent="0.2">
      <c r="B80" s="1797"/>
      <c r="C80" s="406"/>
      <c r="D80" s="702"/>
      <c r="E80" s="2170" t="s">
        <v>29</v>
      </c>
      <c r="F80" s="3700" t="s">
        <v>13164</v>
      </c>
      <c r="G80" s="3701"/>
      <c r="H80" s="3701"/>
      <c r="I80" s="3701"/>
      <c r="J80" s="3702"/>
      <c r="K80" s="2169"/>
      <c r="L80" s="1038"/>
      <c r="M80" s="704"/>
      <c r="N80" s="1038"/>
      <c r="O80" s="1314"/>
      <c r="P80" s="1809"/>
      <c r="AN80" s="1839"/>
      <c r="AO80" s="1840"/>
    </row>
    <row r="81" spans="2:41" ht="13.5" customHeight="1" x14ac:dyDescent="0.2">
      <c r="B81" s="1797"/>
      <c r="C81" s="406"/>
      <c r="D81" s="702"/>
      <c r="E81" s="2170"/>
      <c r="F81" s="3191" t="s">
        <v>13165</v>
      </c>
      <c r="G81" s="3192"/>
      <c r="H81" s="3657"/>
      <c r="I81" s="2171"/>
      <c r="J81" s="2088">
        <v>0</v>
      </c>
      <c r="K81" s="2169"/>
      <c r="L81" s="1038"/>
      <c r="M81" s="704"/>
      <c r="N81" s="1038"/>
      <c r="O81" s="1314"/>
      <c r="P81" s="1809"/>
      <c r="AN81" s="1839"/>
      <c r="AO81" s="1840"/>
    </row>
    <row r="82" spans="2:41" ht="13.5" customHeight="1" x14ac:dyDescent="0.2">
      <c r="B82" s="1797"/>
      <c r="C82" s="406"/>
      <c r="D82" s="702"/>
      <c r="E82" s="2170" t="s">
        <v>287</v>
      </c>
      <c r="F82" s="3191" t="s">
        <v>13114</v>
      </c>
      <c r="G82" s="3192"/>
      <c r="H82" s="3657"/>
      <c r="I82" s="2171" t="s">
        <v>378</v>
      </c>
      <c r="J82" s="1484"/>
      <c r="K82" s="2169"/>
      <c r="L82" s="1038"/>
      <c r="M82" s="704"/>
      <c r="N82" s="1038"/>
      <c r="O82" s="1314"/>
      <c r="P82" s="1809"/>
      <c r="AN82" s="1839"/>
      <c r="AO82" s="1840"/>
    </row>
    <row r="83" spans="2:41" ht="13.5" customHeight="1" x14ac:dyDescent="0.2">
      <c r="B83" s="1797"/>
      <c r="C83" s="406"/>
      <c r="D83" s="702"/>
      <c r="E83" s="6" t="s">
        <v>36</v>
      </c>
      <c r="F83" s="3723" t="s">
        <v>1048</v>
      </c>
      <c r="G83" s="3724"/>
      <c r="H83" s="3725"/>
      <c r="I83" s="10" t="s">
        <v>772</v>
      </c>
      <c r="J83" s="1483">
        <f>os.Expenses+os_Deduction57iia+os.Depreciation+os.amountinterestexpenditure</f>
        <v>0</v>
      </c>
      <c r="K83" s="2054"/>
      <c r="L83" s="1038"/>
      <c r="M83" s="704"/>
      <c r="N83" s="1038"/>
      <c r="O83" s="1314"/>
      <c r="P83" s="1809"/>
    </row>
    <row r="84" spans="2:41" ht="13.5" customHeight="1" x14ac:dyDescent="0.2">
      <c r="B84" s="1797"/>
      <c r="C84" s="406"/>
      <c r="D84" s="223">
        <v>4</v>
      </c>
      <c r="E84" s="3191" t="s">
        <v>8364</v>
      </c>
      <c r="F84" s="3192"/>
      <c r="G84" s="3192"/>
      <c r="H84" s="3657"/>
      <c r="I84" s="6">
        <v>4</v>
      </c>
      <c r="J84" s="1390"/>
      <c r="K84" s="2054"/>
      <c r="L84" s="1038"/>
      <c r="M84" s="704"/>
      <c r="N84" s="1038"/>
      <c r="O84" s="1314"/>
      <c r="P84" s="1809"/>
      <c r="U84" s="121">
        <f>(os.InterestGross+os.RentFromMachPlantBldgs+os.Totalsec56+V84)</f>
        <v>0</v>
      </c>
      <c r="V84" s="121">
        <f>SUM(os.OtherSections)</f>
        <v>0</v>
      </c>
    </row>
    <row r="85" spans="2:41" ht="13.5" customHeight="1" x14ac:dyDescent="0.2">
      <c r="B85" s="1797"/>
      <c r="C85" s="406"/>
      <c r="D85" s="223">
        <v>5</v>
      </c>
      <c r="E85" s="3191" t="s">
        <v>8365</v>
      </c>
      <c r="F85" s="3192"/>
      <c r="G85" s="3192"/>
      <c r="H85" s="3657"/>
      <c r="I85" s="199">
        <v>5</v>
      </c>
      <c r="J85" s="1390"/>
      <c r="K85" s="2049"/>
      <c r="L85" s="1041"/>
      <c r="M85" s="704"/>
      <c r="N85" s="1038"/>
      <c r="O85" s="1314"/>
      <c r="P85" s="1809"/>
      <c r="T85" s="121">
        <f>os.expenditureClaimed-MIN(os.expenditureClaimed,os.DividendGrossaii)</f>
        <v>0</v>
      </c>
      <c r="U85" s="121">
        <f>IF(os.amountinterestexpenditure="",0,os.amountinterestexpenditure-MIN(os.amountinterestexpenditure,os.DividendGrossaii))</f>
        <v>0</v>
      </c>
    </row>
    <row r="86" spans="2:41" ht="13.5" customHeight="1" x14ac:dyDescent="0.2">
      <c r="B86" s="1797"/>
      <c r="C86" s="406"/>
      <c r="D86" s="2520" t="s">
        <v>527</v>
      </c>
      <c r="E86" s="3095" t="s">
        <v>13095</v>
      </c>
      <c r="F86" s="3095"/>
      <c r="G86" s="3095"/>
      <c r="H86" s="3095"/>
      <c r="I86" s="2510" t="s">
        <v>527</v>
      </c>
      <c r="J86" s="2089"/>
      <c r="K86" s="2509"/>
      <c r="L86" s="1041"/>
      <c r="M86" s="704"/>
      <c r="N86" s="1038"/>
      <c r="O86" s="1314"/>
      <c r="P86" s="1809"/>
    </row>
    <row r="87" spans="2:41" ht="26.25" customHeight="1" x14ac:dyDescent="0.2">
      <c r="B87" s="1797"/>
      <c r="C87" s="406"/>
      <c r="D87" s="2027">
        <v>6</v>
      </c>
      <c r="E87" s="3004" t="s">
        <v>13167</v>
      </c>
      <c r="F87" s="3005"/>
      <c r="G87" s="3005"/>
      <c r="H87" s="3005"/>
      <c r="I87" s="3005"/>
      <c r="J87" s="3008"/>
      <c r="K87" s="322">
        <v>6</v>
      </c>
      <c r="L87" s="1484">
        <f>(os.GrossIncomeChargeableToTax-os.TotDeductions+os.AmountnotDed58+os.Profit59-DTAA_1a_OS-DTAA_1b_OS-DTAA_1c_OS-DTAA_1d_OS-OSIncreliefus89A)</f>
        <v>0</v>
      </c>
      <c r="M87" s="2054"/>
      <c r="N87" s="1038"/>
      <c r="O87" s="1314"/>
      <c r="P87" s="1809"/>
      <c r="T87" s="121">
        <v>0</v>
      </c>
    </row>
    <row r="88" spans="2:41" ht="12.75" customHeight="1" x14ac:dyDescent="0.2">
      <c r="B88" s="1797"/>
      <c r="C88" s="406"/>
      <c r="D88" s="10">
        <v>7</v>
      </c>
      <c r="E88" s="3009" t="s">
        <v>9493</v>
      </c>
      <c r="F88" s="3010"/>
      <c r="G88" s="3010"/>
      <c r="H88" s="3010"/>
      <c r="I88" s="3010"/>
      <c r="J88" s="3011"/>
      <c r="K88" s="239">
        <v>7</v>
      </c>
      <c r="L88" s="1392">
        <f>IF(L87&lt;0,(J36),(J36+L87))</f>
        <v>0</v>
      </c>
      <c r="M88" s="2054"/>
      <c r="N88" s="1038"/>
      <c r="O88" s="1314"/>
      <c r="P88" s="1809"/>
    </row>
    <row r="89" spans="2:41" ht="14.25" customHeight="1" x14ac:dyDescent="0.2">
      <c r="B89" s="1797"/>
      <c r="C89" s="406"/>
      <c r="D89" s="6">
        <v>8</v>
      </c>
      <c r="E89" s="3691" t="s">
        <v>1050</v>
      </c>
      <c r="F89" s="3691"/>
      <c r="G89" s="3691"/>
      <c r="H89" s="3691"/>
      <c r="I89" s="3691"/>
      <c r="J89" s="3692"/>
      <c r="K89" s="2031"/>
      <c r="L89" s="1040"/>
      <c r="M89" s="704"/>
      <c r="N89" s="1038"/>
      <c r="O89" s="1314"/>
      <c r="P89" s="1809"/>
    </row>
    <row r="90" spans="2:41" ht="12.75" customHeight="1" x14ac:dyDescent="0.2">
      <c r="B90" s="1797"/>
      <c r="C90" s="406"/>
      <c r="D90" s="3693"/>
      <c r="E90" s="23" t="s">
        <v>865</v>
      </c>
      <c r="F90" s="3068" t="s">
        <v>1051</v>
      </c>
      <c r="G90" s="3068"/>
      <c r="H90" s="3068"/>
      <c r="I90" s="6" t="s">
        <v>723</v>
      </c>
      <c r="J90" s="1390"/>
      <c r="K90" s="2054"/>
      <c r="L90" s="1038"/>
      <c r="M90" s="704"/>
      <c r="N90" s="1038"/>
      <c r="O90" s="1314"/>
      <c r="P90" s="1809"/>
      <c r="T90" s="121">
        <f>IF(os.PassThroughIncome&lt;0,0,SUMIF(os.NatureOfIncome,"1b",os.Amount_income))</f>
        <v>0</v>
      </c>
    </row>
    <row r="91" spans="2:41" ht="13.5" customHeight="1" x14ac:dyDescent="0.2">
      <c r="B91" s="1797"/>
      <c r="C91" s="406"/>
      <c r="D91" s="3693"/>
      <c r="E91" s="23" t="s">
        <v>866</v>
      </c>
      <c r="F91" s="3068" t="s">
        <v>9494</v>
      </c>
      <c r="G91" s="3068"/>
      <c r="H91" s="3068"/>
      <c r="I91" s="6" t="s">
        <v>724</v>
      </c>
      <c r="J91" s="1390"/>
      <c r="K91" s="2054"/>
      <c r="L91" s="1038"/>
      <c r="M91" s="704"/>
      <c r="N91" s="1038"/>
      <c r="O91" s="1314"/>
      <c r="P91" s="1809"/>
      <c r="T91" s="121">
        <f>SUMIF(os.NatureOfIncome,"1c",os.Amount_income)</f>
        <v>0</v>
      </c>
      <c r="U91" s="121">
        <f>IF(MID(sheet1.ResidentialStatus1,1,3)="NRI",SUMIFS(os.Amount_income,os.TRC,"=Yes",os.SectionAct,"5AC1a - 115AC(1)(a) - Income by way of interest  on bonds purchased in foreign currency"),SUMIF(os.SectionAct,"5AC1a - 115AC(1)(a) - Income by way of interest  on bonds purchased in foreign currency",os.Amount_income))</f>
        <v>0</v>
      </c>
      <c r="V91" s="121">
        <f>IF(MID(sheet1.ResidentialStatus1,1,3)="NRI",SUMIFS(os.Amount_income,os.TRC,"=Yes",os.SectionAct,"PTI_115AC(1)(a)-Income by way of interest on bonds purchased in foreign currency - non-resident"),SUMIF(os.SectionAct,"PTI_115AC(1)(a)-Income by way of interest on bonds purchased in foreign currency - non-resident",os.Amount_income))</f>
        <v>0</v>
      </c>
      <c r="W91" s="121">
        <f>IF(MID(sheet1.ResidentialStatus1,1,3)="NRI",SUMIFS(os.Amount_income,os.TRC,"=Yes",os.SectionAct,"5AC1b - 115AC1b - Income by way of Dividend on GDRs purchased in foreign currency - non-resident"),SUMIF(os.SectionAct,"5AC1b - 115AC1b - Income by way of Dividend on GDRs purchased in foreign currency - non-resident",os.Amount_income))</f>
        <v>0</v>
      </c>
      <c r="X91" s="121">
        <f>IF(MID(sheet1.ResidentialStatus1,1,3)="NRI",SUMIFS(os.Amount_income,os.TRC,"=Yes",os.SectionAct,"PTI_5AC1b-PTI -Income by way of Dividend on GDRs purchased in foreign currency - non-resident"),SUMIF(os.SectionAct,"PTI_5AC1b-PTI -Income by way of Dividend on GDRs purchased in foreign currency - non-resident",os.Amount_income))</f>
        <v>0</v>
      </c>
      <c r="Y91" s="121">
        <f>DTAA_5AC1a+DTAA_5AC1aPTI+DTAA_5AC1b+DTAA_5AC1bPTI</f>
        <v>0</v>
      </c>
    </row>
    <row r="92" spans="2:41" ht="13.5" customHeight="1" x14ac:dyDescent="0.2">
      <c r="B92" s="1797"/>
      <c r="C92" s="406"/>
      <c r="D92" s="3693"/>
      <c r="E92" s="23" t="s">
        <v>29</v>
      </c>
      <c r="F92" s="3063" t="s">
        <v>8364</v>
      </c>
      <c r="G92" s="3091"/>
      <c r="H92" s="3092"/>
      <c r="I92" s="6" t="s">
        <v>725</v>
      </c>
      <c r="J92" s="1390"/>
      <c r="K92" s="2054"/>
      <c r="L92" s="1038"/>
      <c r="M92" s="704"/>
      <c r="N92" s="1038"/>
      <c r="O92" s="1314"/>
      <c r="P92" s="1809"/>
      <c r="T92" s="121">
        <f>SUMIF(os.NatureOfIncome,"1d",os.Amount_income)</f>
        <v>0</v>
      </c>
      <c r="U92" s="121">
        <f>IF(MID(sheet1.ResidentialStatus1,1,3)="NRI",SUMIFS(os.Amount_income,os.TRC,"=Yes",os.SectionAct,"5A1ai - 115A(1)(a)(i) - Dividends in the case of non-residents"),SUMIF(os.SectionAct,"5A1ai - 115A(1)(a)(i) - Dividends in the case of non-residents",os.Amount_income))</f>
        <v>0</v>
      </c>
      <c r="V92" s="121">
        <f>IF(MID(sheet1.ResidentialStatus1,1,3)="NRI",SUMIFS(os.Amount_income,os.TRC,"=Yes",os.SectionAct,"PTI_115A(1)(a)(i)-Dividends interest and income from units purchase in foreign currency"),SUMIF(os.SectionAct,"PTI_115A(1)(a)(i)-Dividends interest and income from units purchase in foreign currency",os.Amount_income))</f>
        <v>0</v>
      </c>
      <c r="W92" s="121">
        <f>DTAA_5A1ai+DTAA_5A1aiPTI</f>
        <v>0</v>
      </c>
    </row>
    <row r="93" spans="2:41" ht="13.5" customHeight="1" x14ac:dyDescent="0.2">
      <c r="B93" s="1797"/>
      <c r="C93" s="406"/>
      <c r="D93" s="3693"/>
      <c r="E93" s="23" t="s">
        <v>36</v>
      </c>
      <c r="F93" s="3063" t="s">
        <v>8365</v>
      </c>
      <c r="G93" s="3091"/>
      <c r="H93" s="3092"/>
      <c r="I93" s="6" t="s">
        <v>726</v>
      </c>
      <c r="J93" s="1390"/>
      <c r="K93" s="2049"/>
      <c r="L93" s="1041"/>
      <c r="M93" s="704"/>
      <c r="N93" s="1038"/>
      <c r="O93" s="1314"/>
      <c r="P93" s="1809"/>
      <c r="T93" s="1823">
        <f>SUM(H106:L106)</f>
        <v>0</v>
      </c>
      <c r="U93" s="121">
        <f>IF(MID(sheet1.ResidentialStatus1,1,3)="NRI",SUMIFS(os.Amount_income,os.TRC,"=Yes",os.SectionAct,"5AD1iDiv-Income (being dividend) received by an FII in respect of securities (other than units referred to in section 115AB) - chargeable u/s 115AD(1)(i)"),SUMIF(os.SectionAct,"5AD1iDiv-Income (being dividend) received by an FII in respect of securities (other than units referred to in section 115AB) - chargeable u/s 115AD(1)(i)",os.Amount_income))</f>
        <v>0</v>
      </c>
      <c r="V93" s="121">
        <f>IF(MID(sheet1.ResidentialStatus1,1,3)="NRI",SUMIFS(os.Amount_income,os.TRC,"=Yes",os.SectionAct,"PTI_5AD1iDiv-PTI-Income (being dividend) received by an FII in respect of securities (other than units referred to in section 115AB) - chargeable u/s 115AD(1)(i)"),SUMIF(os.SectionAct,"PTI_5AD1iDiv-PTI-Income (being dividend) received by an FII in respect of securities (other than units referred to in section 115AB) - chargeable u/s 115AD(1)(i)",os.Amount_income))</f>
        <v>0</v>
      </c>
      <c r="W93" s="121">
        <f>DTAA_5AD1i+DTAA_5AD1iPTI</f>
        <v>0</v>
      </c>
    </row>
    <row r="94" spans="2:41" ht="14.25" customHeight="1" x14ac:dyDescent="0.2">
      <c r="B94" s="1797"/>
      <c r="C94" s="3710"/>
      <c r="D94" s="3693"/>
      <c r="E94" s="10" t="s">
        <v>38</v>
      </c>
      <c r="F94" s="3172" t="s">
        <v>13166</v>
      </c>
      <c r="G94" s="3172"/>
      <c r="H94" s="3172"/>
      <c r="I94" s="14"/>
      <c r="J94" s="14"/>
      <c r="K94" s="229" t="s">
        <v>8169</v>
      </c>
      <c r="L94" s="1484">
        <f>os.Receipts-os.DeductSec57+os.notDeductSec58+os.ProfitSec59</f>
        <v>0</v>
      </c>
      <c r="M94" s="2054"/>
      <c r="N94" s="1038"/>
      <c r="O94" s="1314"/>
      <c r="P94" s="1809"/>
      <c r="T94" s="121">
        <f>IF(MID(sheet1.ResidentialStatus1,1,3)="NRI",SUMIFS(os.Amount_income,os.TRC,"=Yes",os.NatureOfIncome,"1ai"),SUMIF(os.NatureOfIncome,"1ai",os.Amount_income))</f>
        <v>0</v>
      </c>
      <c r="U94" s="121">
        <f>IF(MID(sheet1.ResidentialStatus1,1,3)="NRI",SUMIFS(os.Amount_income,os.TRC,"=Yes",os.SectionAct,"5ACA1a - 115ACA(1)(a) -  Income from GDR purchased in foreign currency  - resident"),SUMIF(os.SectionAct,"5ACA1a - 115ACA(1)(a) -  Income from GDR purchased in foreign currency  - resident",os.Amount_income))</f>
        <v>0</v>
      </c>
      <c r="V94" s="121">
        <f>IF(MID(sheet1.ResidentialStatus1,1,3)="NRI",SUMIFS(os.Amount_income,os.TRC,"=Yes",os.SectionAct,"PTI_115ACA(1)(a)-Income from GDR purchased in foreign currency -resident"),SUMIF(os.SectionAct,"PTI_115ACA(1)(a)-Income from GDR purchased in foreign currency -resident",os.Amount_income))</f>
        <v>0</v>
      </c>
      <c r="W94" s="121">
        <f>DTAA_5ACA1a+DTAA_5ACA1aPTI</f>
        <v>0</v>
      </c>
    </row>
    <row r="95" spans="2:41" ht="12" customHeight="1" x14ac:dyDescent="0.2">
      <c r="B95" s="1797"/>
      <c r="C95" s="3710"/>
      <c r="D95" s="30">
        <v>9</v>
      </c>
      <c r="E95" s="3004" t="s">
        <v>9495</v>
      </c>
      <c r="F95" s="3005"/>
      <c r="G95" s="3005"/>
      <c r="H95" s="3005"/>
      <c r="I95" s="3005"/>
      <c r="J95" s="3008"/>
      <c r="K95" s="10">
        <v>9</v>
      </c>
      <c r="L95" s="2029">
        <f>SUM(os.TotOthSrcNoRaceHorse,MAX(0,os.BalanceOwnRaceHorse))</f>
        <v>0</v>
      </c>
      <c r="M95" s="2054"/>
      <c r="N95" s="1038"/>
      <c r="O95" s="1314"/>
      <c r="P95" s="1809"/>
      <c r="T95" s="121">
        <f>SUMIF(os.NatureOfIncome,"2e",os.Amount_income)</f>
        <v>0</v>
      </c>
    </row>
    <row r="96" spans="2:41" ht="18" customHeight="1" x14ac:dyDescent="0.2">
      <c r="B96" s="1797"/>
      <c r="C96" s="3710"/>
      <c r="D96" s="2985">
        <v>10</v>
      </c>
      <c r="E96" s="3091" t="s">
        <v>8965</v>
      </c>
      <c r="F96" s="3091"/>
      <c r="G96" s="3091"/>
      <c r="H96" s="3091"/>
      <c r="I96" s="3091"/>
      <c r="J96" s="3091"/>
      <c r="K96" s="3091"/>
      <c r="L96" s="3092"/>
      <c r="M96" s="2054"/>
      <c r="N96" s="1038"/>
      <c r="O96" s="1314"/>
      <c r="P96" s="1809"/>
      <c r="T96" s="121">
        <f>SUMIF(os.NatureOfIncome,"2d",os.Amount_income)</f>
        <v>0</v>
      </c>
    </row>
    <row r="97" spans="2:20" ht="44.25" customHeight="1" x14ac:dyDescent="0.2">
      <c r="B97" s="1797"/>
      <c r="C97" s="3710"/>
      <c r="D97" s="2985"/>
      <c r="E97" s="1998" t="s">
        <v>7563</v>
      </c>
      <c r="F97" s="3356" t="s">
        <v>8966</v>
      </c>
      <c r="G97" s="3114"/>
      <c r="H97" s="2077" t="s">
        <v>8967</v>
      </c>
      <c r="I97" s="315" t="s">
        <v>8971</v>
      </c>
      <c r="J97" s="315" t="s">
        <v>8970</v>
      </c>
      <c r="K97" s="315" t="s">
        <v>8969</v>
      </c>
      <c r="L97" s="315" t="s">
        <v>8968</v>
      </c>
      <c r="M97" s="2054"/>
      <c r="N97" s="1038"/>
      <c r="O97" s="1314"/>
      <c r="P97" s="1809"/>
      <c r="T97" s="121">
        <f>IF(MID(sheet1.ResidentialStatus1,1,3)="NRI",SUMIFS(os.Amount_income,os.TRC,"=Yes",os.NatureOfIncome,"2a"),SUMIF(os.NatureOfIncome,"2a",os.Amount_income))</f>
        <v>0</v>
      </c>
    </row>
    <row r="98" spans="2:20" ht="54.75" customHeight="1" x14ac:dyDescent="0.2">
      <c r="B98" s="1797"/>
      <c r="C98" s="3710"/>
      <c r="D98" s="2985"/>
      <c r="E98" s="1998">
        <v>1</v>
      </c>
      <c r="F98" s="3694" t="s">
        <v>9678</v>
      </c>
      <c r="G98" s="3694"/>
      <c r="H98" s="1390">
        <v>0</v>
      </c>
      <c r="I98" s="1390">
        <v>0</v>
      </c>
      <c r="J98" s="1390">
        <v>0</v>
      </c>
      <c r="K98" s="1973">
        <v>0</v>
      </c>
      <c r="L98" s="1390">
        <v>0</v>
      </c>
      <c r="M98" s="2054"/>
      <c r="N98" s="1038"/>
      <c r="O98" s="1314"/>
      <c r="P98" s="1809"/>
      <c r="R98" s="848"/>
      <c r="S98" s="848"/>
      <c r="T98" s="2521">
        <f>SUM(H98:L98)</f>
        <v>0</v>
      </c>
    </row>
    <row r="99" spans="2:20" ht="12.75" x14ac:dyDescent="0.2">
      <c r="B99" s="1797"/>
      <c r="C99" s="3711"/>
      <c r="D99" s="2985"/>
      <c r="E99" s="1998">
        <v>2</v>
      </c>
      <c r="F99" s="3694" t="s">
        <v>13107</v>
      </c>
      <c r="G99" s="3694"/>
      <c r="H99" s="1390">
        <v>0</v>
      </c>
      <c r="I99" s="1390">
        <v>0</v>
      </c>
      <c r="J99" s="1390">
        <v>0</v>
      </c>
      <c r="K99" s="1973">
        <v>0</v>
      </c>
      <c r="L99" s="1390">
        <v>0</v>
      </c>
      <c r="M99" s="2054"/>
      <c r="N99" s="1038"/>
      <c r="O99" s="1314"/>
      <c r="P99" s="1809"/>
      <c r="R99" s="848"/>
      <c r="S99" s="848"/>
      <c r="T99" s="2521">
        <f>SUM(H99:L99)</f>
        <v>0</v>
      </c>
    </row>
    <row r="100" spans="2:20" ht="27.75" customHeight="1" x14ac:dyDescent="0.2">
      <c r="B100" s="1797"/>
      <c r="C100" s="2503"/>
      <c r="D100" s="2495"/>
      <c r="E100" s="2494">
        <v>3</v>
      </c>
      <c r="F100" s="3694" t="s">
        <v>13108</v>
      </c>
      <c r="G100" s="3694"/>
      <c r="H100" s="1390">
        <v>0</v>
      </c>
      <c r="I100" s="1390">
        <v>0</v>
      </c>
      <c r="J100" s="1390">
        <v>0</v>
      </c>
      <c r="K100" s="1973">
        <v>0</v>
      </c>
      <c r="L100" s="1390">
        <v>0</v>
      </c>
      <c r="M100" s="2497"/>
      <c r="N100" s="1038"/>
      <c r="O100" s="1314"/>
      <c r="P100" s="1809"/>
      <c r="R100" s="848"/>
      <c r="S100" s="848"/>
      <c r="T100" s="2521">
        <f t="shared" ref="T100:T106" si="3">SUM(H100:L100)</f>
        <v>0</v>
      </c>
    </row>
    <row r="101" spans="2:20" ht="12.75" x14ac:dyDescent="0.2">
      <c r="B101" s="1797"/>
      <c r="C101" s="2503"/>
      <c r="D101" s="2495"/>
      <c r="E101" s="2494">
        <v>4</v>
      </c>
      <c r="F101" s="3694" t="s">
        <v>13109</v>
      </c>
      <c r="G101" s="3694"/>
      <c r="H101" s="1390">
        <v>0</v>
      </c>
      <c r="I101" s="1390">
        <v>0</v>
      </c>
      <c r="J101" s="1390">
        <v>0</v>
      </c>
      <c r="K101" s="1973">
        <v>0</v>
      </c>
      <c r="L101" s="1390">
        <v>0</v>
      </c>
      <c r="M101" s="2497"/>
      <c r="N101" s="1038"/>
      <c r="O101" s="1314"/>
      <c r="P101" s="1809"/>
      <c r="T101" s="2521">
        <f t="shared" si="3"/>
        <v>0</v>
      </c>
    </row>
    <row r="102" spans="2:20" ht="33" customHeight="1" x14ac:dyDescent="0.2">
      <c r="B102" s="1797"/>
      <c r="C102" s="2503"/>
      <c r="D102" s="2495"/>
      <c r="E102" s="2494">
        <v>5</v>
      </c>
      <c r="F102" s="3694" t="s">
        <v>13110</v>
      </c>
      <c r="G102" s="3694"/>
      <c r="H102" s="1390">
        <v>0</v>
      </c>
      <c r="I102" s="1390">
        <v>0</v>
      </c>
      <c r="J102" s="1390">
        <v>0</v>
      </c>
      <c r="K102" s="1973">
        <v>0</v>
      </c>
      <c r="L102" s="1390">
        <v>0</v>
      </c>
      <c r="M102" s="2497"/>
      <c r="N102" s="1038"/>
      <c r="O102" s="1314"/>
      <c r="P102" s="1809"/>
      <c r="T102" s="2521">
        <f t="shared" si="3"/>
        <v>0</v>
      </c>
    </row>
    <row r="103" spans="2:20" ht="39.75" hidden="1" customHeight="1" x14ac:dyDescent="0.2">
      <c r="B103" s="1797"/>
      <c r="C103" s="2503"/>
      <c r="D103" s="2495"/>
      <c r="E103" s="2494">
        <v>6</v>
      </c>
      <c r="F103" s="3694" t="s">
        <v>13111</v>
      </c>
      <c r="G103" s="3694"/>
      <c r="H103" s="1390"/>
      <c r="I103" s="1390"/>
      <c r="J103" s="1390"/>
      <c r="K103" s="1973"/>
      <c r="L103" s="1390"/>
      <c r="M103" s="2497"/>
      <c r="N103" s="1038"/>
      <c r="O103" s="1314"/>
      <c r="P103" s="1809"/>
      <c r="T103" s="2521">
        <f t="shared" si="3"/>
        <v>0</v>
      </c>
    </row>
    <row r="104" spans="2:20" ht="30.75" customHeight="1" x14ac:dyDescent="0.2">
      <c r="B104" s="1797"/>
      <c r="C104" s="2503"/>
      <c r="D104" s="2495"/>
      <c r="E104" s="2494">
        <v>6</v>
      </c>
      <c r="F104" s="3694" t="s">
        <v>13112</v>
      </c>
      <c r="G104" s="3694"/>
      <c r="H104" s="1390">
        <v>0</v>
      </c>
      <c r="I104" s="1390">
        <v>0</v>
      </c>
      <c r="J104" s="1390">
        <v>0</v>
      </c>
      <c r="K104" s="1973">
        <v>0</v>
      </c>
      <c r="L104" s="1390">
        <v>0</v>
      </c>
      <c r="M104" s="2497"/>
      <c r="N104" s="1038"/>
      <c r="O104" s="1314"/>
      <c r="P104" s="1809"/>
      <c r="T104" s="2521">
        <f t="shared" si="3"/>
        <v>0</v>
      </c>
    </row>
    <row r="105" spans="2:20" ht="39.75" customHeight="1" x14ac:dyDescent="0.2">
      <c r="B105" s="1797"/>
      <c r="C105" s="2503"/>
      <c r="D105" s="2495"/>
      <c r="E105" s="2494">
        <v>7</v>
      </c>
      <c r="F105" s="3694" t="s">
        <v>13240</v>
      </c>
      <c r="G105" s="3694"/>
      <c r="H105" s="1390">
        <v>0</v>
      </c>
      <c r="I105" s="1390">
        <v>0</v>
      </c>
      <c r="J105" s="1390">
        <v>0</v>
      </c>
      <c r="K105" s="1973">
        <v>0</v>
      </c>
      <c r="L105" s="1390">
        <v>0</v>
      </c>
      <c r="M105" s="2497"/>
      <c r="N105" s="1038"/>
      <c r="O105" s="1314"/>
      <c r="P105" s="1809"/>
      <c r="T105" s="2521">
        <f t="shared" si="3"/>
        <v>0</v>
      </c>
    </row>
    <row r="106" spans="2:20" ht="12.75" x14ac:dyDescent="0.2">
      <c r="B106" s="1797"/>
      <c r="C106" s="2164"/>
      <c r="D106" s="2165"/>
      <c r="E106" s="2160">
        <v>8</v>
      </c>
      <c r="F106" s="3694" t="s">
        <v>12773</v>
      </c>
      <c r="G106" s="3694"/>
      <c r="H106" s="1390">
        <v>0</v>
      </c>
      <c r="I106" s="1390">
        <v>0</v>
      </c>
      <c r="J106" s="1390">
        <v>0</v>
      </c>
      <c r="K106" s="1973">
        <v>0</v>
      </c>
      <c r="L106" s="1390">
        <v>0</v>
      </c>
      <c r="M106" s="2162"/>
      <c r="N106" s="1038"/>
      <c r="O106" s="1314"/>
      <c r="P106" s="1809"/>
      <c r="T106" s="2521">
        <f t="shared" si="3"/>
        <v>0</v>
      </c>
    </row>
    <row r="107" spans="2:20" ht="12.75" customHeight="1" x14ac:dyDescent="0.2">
      <c r="B107" s="1797"/>
      <c r="C107" s="1617" t="s">
        <v>1052</v>
      </c>
      <c r="D107" s="3111" t="s">
        <v>9724</v>
      </c>
      <c r="E107" s="3111"/>
      <c r="F107" s="3111"/>
      <c r="G107" s="3111"/>
      <c r="H107" s="3111"/>
      <c r="I107" s="3111"/>
      <c r="J107" s="3111"/>
      <c r="K107" s="3111"/>
      <c r="L107" s="3111"/>
      <c r="M107" s="2049"/>
      <c r="N107" s="1041"/>
      <c r="O107" s="1315"/>
      <c r="P107" s="1809"/>
    </row>
    <row r="108" spans="2:20" ht="15" customHeight="1" thickBot="1" x14ac:dyDescent="0.25">
      <c r="B108" s="1824"/>
      <c r="C108" s="1825"/>
      <c r="D108" s="1825"/>
      <c r="E108" s="1825"/>
      <c r="F108" s="1825"/>
      <c r="G108" s="1825"/>
      <c r="H108" s="1825"/>
      <c r="I108" s="1825"/>
      <c r="J108" s="1825"/>
      <c r="K108" s="1825"/>
      <c r="L108" s="1825"/>
      <c r="M108" s="1841"/>
      <c r="N108" s="1825"/>
      <c r="O108" s="1825"/>
      <c r="P108" s="1842"/>
    </row>
    <row r="109" spans="2:20" ht="12.75" x14ac:dyDescent="0.2"/>
    <row r="110" spans="2:20" ht="12.75" x14ac:dyDescent="0.2"/>
    <row r="111" spans="2:20" ht="12.75" customHeight="1" x14ac:dyDescent="0.2"/>
    <row r="112" spans="2:20" ht="12.75" customHeight="1" x14ac:dyDescent="0.2"/>
    <row r="113" ht="12.75"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s="1769" customFormat="1" ht="15" hidden="1" x14ac:dyDescent="0.25"/>
    <row r="293" s="1769" customFormat="1" ht="15" hidden="1" x14ac:dyDescent="0.25"/>
    <row r="294" s="1769" customFormat="1" ht="15" hidden="1" x14ac:dyDescent="0.25"/>
    <row r="295" s="1769" customFormat="1" ht="15" hidden="1" x14ac:dyDescent="0.25"/>
    <row r="296" s="1769" customFormat="1" ht="15" hidden="1" x14ac:dyDescent="0.25"/>
    <row r="297" s="1769" customFormat="1" ht="15" hidden="1" x14ac:dyDescent="0.25"/>
    <row r="298" s="1769" customFormat="1" ht="15" hidden="1" x14ac:dyDescent="0.25"/>
    <row r="299" s="1769" customFormat="1" ht="15" hidden="1" x14ac:dyDescent="0.25"/>
    <row r="300" s="1769" customFormat="1" ht="15" hidden="1" x14ac:dyDescent="0.25"/>
    <row r="301" s="1769" customFormat="1" ht="15" hidden="1" x14ac:dyDescent="0.25"/>
    <row r="302" s="1769" customFormat="1" ht="15" hidden="1" x14ac:dyDescent="0.25"/>
    <row r="303" s="1769" customFormat="1" ht="15" hidden="1" x14ac:dyDescent="0.25"/>
    <row r="304" s="1769" customFormat="1" ht="15" hidden="1" x14ac:dyDescent="0.25"/>
    <row r="305" s="1769" customFormat="1" ht="15" hidden="1" x14ac:dyDescent="0.25"/>
    <row r="306" s="1769" customFormat="1" ht="15" hidden="1" x14ac:dyDescent="0.25"/>
    <row r="307" s="1769" customFormat="1" ht="15" hidden="1" x14ac:dyDescent="0.25"/>
    <row r="308" s="1769" customFormat="1" ht="15" hidden="1" x14ac:dyDescent="0.25"/>
    <row r="309" s="1769" customFormat="1" ht="15" hidden="1" x14ac:dyDescent="0.25"/>
    <row r="310" s="1769" customFormat="1" ht="15" hidden="1" x14ac:dyDescent="0.25"/>
    <row r="311" s="1769" customFormat="1" ht="15" hidden="1" x14ac:dyDescent="0.25"/>
    <row r="312" s="1769" customFormat="1" ht="15" hidden="1" x14ac:dyDescent="0.25"/>
    <row r="313" s="1769" customFormat="1" ht="15" hidden="1" x14ac:dyDescent="0.25"/>
    <row r="314" s="1769" customFormat="1" ht="15" hidden="1" x14ac:dyDescent="0.25"/>
    <row r="315" s="1769" customFormat="1" ht="15" hidden="1" x14ac:dyDescent="0.25"/>
    <row r="316" s="1769" customFormat="1" ht="15" hidden="1" x14ac:dyDescent="0.25"/>
    <row r="317" s="1769" customFormat="1" ht="15" hidden="1" x14ac:dyDescent="0.25"/>
    <row r="318" s="1769" customFormat="1" ht="15" hidden="1" x14ac:dyDescent="0.25"/>
    <row r="319" s="1769" customFormat="1" ht="15" hidden="1" x14ac:dyDescent="0.25"/>
    <row r="320" s="1769" customFormat="1" ht="15" hidden="1" x14ac:dyDescent="0.25"/>
    <row r="321" s="1769" customFormat="1" ht="15" hidden="1" x14ac:dyDescent="0.25"/>
    <row r="322" s="1769" customFormat="1" ht="15" hidden="1" x14ac:dyDescent="0.25"/>
    <row r="323" s="1769" customFormat="1" ht="15" hidden="1" x14ac:dyDescent="0.25"/>
    <row r="324" s="1769" customFormat="1" ht="15" hidden="1" x14ac:dyDescent="0.25"/>
    <row r="325" s="1769" customFormat="1" ht="15" hidden="1" x14ac:dyDescent="0.25"/>
    <row r="326" s="1769" customFormat="1" ht="15" hidden="1" x14ac:dyDescent="0.25"/>
    <row r="327" s="1769" customFormat="1" ht="15" hidden="1" x14ac:dyDescent="0.25"/>
    <row r="328" s="1769" customFormat="1" ht="15" hidden="1" x14ac:dyDescent="0.25"/>
    <row r="329" s="1769" customFormat="1" ht="15" hidden="1" x14ac:dyDescent="0.25"/>
    <row r="330" s="1769" customFormat="1" ht="15" hidden="1" x14ac:dyDescent="0.25"/>
    <row r="331" s="1769" customFormat="1" ht="15" hidden="1" x14ac:dyDescent="0.25"/>
    <row r="332" s="1769" customFormat="1" ht="15" hidden="1" x14ac:dyDescent="0.25"/>
    <row r="333" s="1769" customFormat="1" ht="15" hidden="1" x14ac:dyDescent="0.25"/>
    <row r="334" s="1769" customFormat="1" ht="15" hidden="1" x14ac:dyDescent="0.25"/>
    <row r="335" s="1769" customFormat="1" ht="15" hidden="1" x14ac:dyDescent="0.25"/>
    <row r="336" s="1769" customFormat="1" ht="15" hidden="1" x14ac:dyDescent="0.25"/>
    <row r="337" s="1769" customFormat="1" ht="15" hidden="1" x14ac:dyDescent="0.25"/>
    <row r="338" s="1769" customFormat="1" ht="15" hidden="1" x14ac:dyDescent="0.25"/>
    <row r="339" s="1769" customFormat="1" ht="15" hidden="1" x14ac:dyDescent="0.25"/>
    <row r="340" s="1769" customFormat="1" ht="15" hidden="1" x14ac:dyDescent="0.25"/>
    <row r="341" s="1769" customFormat="1" ht="15" hidden="1" x14ac:dyDescent="0.25"/>
    <row r="342" s="1769" customFormat="1" ht="15" hidden="1" x14ac:dyDescent="0.25"/>
    <row r="343" s="1769" customFormat="1" ht="15" hidden="1" x14ac:dyDescent="0.25"/>
    <row r="344" s="1769" customFormat="1" ht="15" hidden="1" x14ac:dyDescent="0.25"/>
    <row r="345" s="1769" customFormat="1" ht="15" hidden="1" x14ac:dyDescent="0.25"/>
    <row r="346" s="1769" customFormat="1" ht="15" hidden="1" x14ac:dyDescent="0.25"/>
    <row r="347" s="1769" customFormat="1" ht="15" hidden="1" x14ac:dyDescent="0.25"/>
    <row r="348" s="1769" customFormat="1" ht="15" hidden="1" x14ac:dyDescent="0.25"/>
    <row r="349" s="1769" customFormat="1" ht="15" hidden="1" x14ac:dyDescent="0.25"/>
    <row r="350" s="1769" customFormat="1" ht="15" hidden="1" x14ac:dyDescent="0.25"/>
    <row r="351" s="1769" customFormat="1" ht="15" hidden="1" x14ac:dyDescent="0.25"/>
    <row r="352" s="1769" customFormat="1" ht="15" hidden="1" x14ac:dyDescent="0.25"/>
    <row r="353" s="1769" customFormat="1" ht="15" hidden="1" x14ac:dyDescent="0.25"/>
    <row r="354" s="1769" customFormat="1" ht="15" hidden="1" x14ac:dyDescent="0.25"/>
    <row r="355" s="1769" customFormat="1" ht="15" hidden="1" x14ac:dyDescent="0.25"/>
    <row r="356" s="1769" customFormat="1" ht="15" hidden="1" x14ac:dyDescent="0.25"/>
    <row r="357" s="1769" customFormat="1" ht="15" hidden="1" x14ac:dyDescent="0.25"/>
    <row r="358" s="1769" customFormat="1" ht="15" hidden="1" x14ac:dyDescent="0.25"/>
    <row r="359" s="1769" customFormat="1" ht="15" hidden="1" x14ac:dyDescent="0.25"/>
    <row r="360" s="1769" customFormat="1" ht="15" hidden="1" x14ac:dyDescent="0.25"/>
    <row r="361" s="1769" customFormat="1" ht="15" hidden="1" x14ac:dyDescent="0.25"/>
    <row r="362" s="1769" customFormat="1" ht="15" hidden="1" x14ac:dyDescent="0.25"/>
    <row r="363" s="1769" customFormat="1" ht="15" hidden="1" x14ac:dyDescent="0.25"/>
    <row r="364" s="1769" customFormat="1" ht="15" hidden="1" x14ac:dyDescent="0.25"/>
    <row r="365" s="1769" customFormat="1" ht="15" hidden="1" x14ac:dyDescent="0.25"/>
    <row r="366" s="1769" customFormat="1" ht="15" hidden="1" x14ac:dyDescent="0.25"/>
    <row r="367" s="1769" customFormat="1" ht="15" hidden="1" x14ac:dyDescent="0.25"/>
    <row r="368" s="1769" customFormat="1" ht="15" hidden="1" x14ac:dyDescent="0.25"/>
    <row r="369" s="1769" customFormat="1" ht="15" hidden="1" x14ac:dyDescent="0.25"/>
    <row r="370" s="1769" customFormat="1" ht="15" hidden="1" x14ac:dyDescent="0.25"/>
    <row r="371" s="1769" customFormat="1" ht="15" hidden="1" x14ac:dyDescent="0.25"/>
    <row r="372" s="1769" customFormat="1" ht="15" hidden="1" x14ac:dyDescent="0.25"/>
    <row r="373" s="1769" customFormat="1" ht="15" hidden="1" x14ac:dyDescent="0.25"/>
    <row r="374" s="1769" customFormat="1" ht="15" hidden="1" x14ac:dyDescent="0.25"/>
    <row r="375" s="1769" customFormat="1" ht="15" hidden="1" x14ac:dyDescent="0.25"/>
    <row r="376" s="1769" customFormat="1" ht="15" hidden="1" x14ac:dyDescent="0.25"/>
    <row r="377" s="1769" customFormat="1" ht="15" hidden="1" x14ac:dyDescent="0.25"/>
    <row r="378" s="1769" customFormat="1" ht="15" hidden="1" x14ac:dyDescent="0.25"/>
    <row r="379" s="1769" customFormat="1" ht="15" hidden="1" x14ac:dyDescent="0.25"/>
    <row r="380" s="1769" customFormat="1" ht="15" hidden="1" x14ac:dyDescent="0.25"/>
    <row r="381" s="1769" customFormat="1" ht="15" hidden="1" x14ac:dyDescent="0.25"/>
    <row r="382" s="1769" customFormat="1" ht="15" hidden="1" x14ac:dyDescent="0.25"/>
    <row r="383" s="1769" customFormat="1" ht="15" hidden="1" x14ac:dyDescent="0.25"/>
    <row r="384" s="1769" customFormat="1" ht="15" hidden="1" x14ac:dyDescent="0.25"/>
    <row r="385" s="1769" customFormat="1" ht="15" hidden="1" x14ac:dyDescent="0.25"/>
    <row r="386" s="1769" customFormat="1" ht="15" hidden="1" x14ac:dyDescent="0.25"/>
    <row r="387" s="1769" customFormat="1" ht="15" hidden="1" x14ac:dyDescent="0.25"/>
    <row r="388" s="1769" customFormat="1" ht="15" hidden="1" x14ac:dyDescent="0.25"/>
    <row r="389" s="1769" customFormat="1" ht="15" hidden="1" x14ac:dyDescent="0.25"/>
    <row r="390" s="1769" customFormat="1" ht="15" hidden="1" x14ac:dyDescent="0.25"/>
    <row r="391" s="1769" customFormat="1" ht="15" hidden="1" x14ac:dyDescent="0.25"/>
    <row r="392" s="1769" customFormat="1" ht="15" hidden="1" x14ac:dyDescent="0.25"/>
    <row r="393" s="1769" customFormat="1" ht="15" hidden="1" x14ac:dyDescent="0.25"/>
    <row r="394" s="1769" customFormat="1" ht="15" hidden="1" x14ac:dyDescent="0.25"/>
    <row r="395" s="1769" customFormat="1" ht="15" hidden="1" x14ac:dyDescent="0.25"/>
    <row r="396" s="1769" customFormat="1" ht="15" hidden="1" x14ac:dyDescent="0.25"/>
    <row r="397" s="1769" customFormat="1" ht="15" hidden="1" x14ac:dyDescent="0.25"/>
    <row r="398" s="1769" customFormat="1" ht="15" hidden="1" x14ac:dyDescent="0.25"/>
    <row r="399" s="1769" customFormat="1" ht="15" hidden="1" x14ac:dyDescent="0.25"/>
    <row r="400" s="1769" customFormat="1" ht="15" hidden="1" x14ac:dyDescent="0.25"/>
    <row r="401" s="1769" customFormat="1" ht="15" hidden="1" x14ac:dyDescent="0.25"/>
    <row r="402" s="1769" customFormat="1" ht="15" hidden="1" x14ac:dyDescent="0.25"/>
    <row r="403" s="1769" customFormat="1" ht="15" hidden="1" x14ac:dyDescent="0.25"/>
    <row r="404" s="1769" customFormat="1" ht="15" hidden="1" x14ac:dyDescent="0.25"/>
    <row r="405" s="1769" customFormat="1" ht="15" hidden="1" x14ac:dyDescent="0.25"/>
    <row r="406" s="1769" customFormat="1" ht="15" hidden="1" x14ac:dyDescent="0.25"/>
    <row r="407" s="1769" customFormat="1" ht="15" hidden="1" x14ac:dyDescent="0.25"/>
    <row r="408" s="1769" customFormat="1" ht="15" hidden="1" x14ac:dyDescent="0.25"/>
    <row r="409" s="1769" customFormat="1" ht="15" hidden="1" x14ac:dyDescent="0.25"/>
    <row r="410" s="1769" customFormat="1" ht="15" hidden="1" x14ac:dyDescent="0.25"/>
    <row r="411" s="1769" customFormat="1" ht="15" hidden="1" x14ac:dyDescent="0.25"/>
    <row r="412" s="1769" customFormat="1" ht="15" hidden="1" x14ac:dyDescent="0.25"/>
    <row r="413" s="1769" customFormat="1" ht="15" hidden="1" x14ac:dyDescent="0.25"/>
    <row r="414" s="1769" customFormat="1" ht="15" hidden="1" x14ac:dyDescent="0.25"/>
    <row r="415" s="1769" customFormat="1" ht="15" hidden="1" x14ac:dyDescent="0.25"/>
    <row r="416" s="1769" customFormat="1" ht="15" hidden="1" x14ac:dyDescent="0.25"/>
    <row r="417" s="1769" customFormat="1" ht="15" hidden="1" x14ac:dyDescent="0.25"/>
    <row r="418" s="1769" customFormat="1" ht="15" hidden="1" x14ac:dyDescent="0.25"/>
    <row r="419" s="1769" customFormat="1" ht="15" hidden="1" x14ac:dyDescent="0.25"/>
    <row r="420" s="1769" customFormat="1" ht="15" hidden="1" x14ac:dyDescent="0.25"/>
    <row r="421" s="1769" customFormat="1" ht="15" hidden="1" x14ac:dyDescent="0.25"/>
    <row r="422" s="1769" customFormat="1" ht="15" hidden="1" x14ac:dyDescent="0.25"/>
    <row r="423" s="1769" customFormat="1" ht="15" hidden="1" x14ac:dyDescent="0.25"/>
    <row r="424" s="1769" customFormat="1" ht="15" hidden="1" x14ac:dyDescent="0.25"/>
    <row r="425" s="1769" customFormat="1" ht="15" hidden="1" x14ac:dyDescent="0.25"/>
    <row r="426" s="1769" customFormat="1" ht="15" hidden="1" x14ac:dyDescent="0.25"/>
    <row r="427" s="1769" customFormat="1" ht="15" hidden="1" x14ac:dyDescent="0.25"/>
    <row r="428" s="1769" customFormat="1" ht="15" hidden="1" x14ac:dyDescent="0.25"/>
    <row r="429" s="1769" customFormat="1" ht="15" hidden="1" x14ac:dyDescent="0.25"/>
    <row r="430" s="1769" customFormat="1" ht="15" hidden="1" x14ac:dyDescent="0.25"/>
    <row r="431" s="1769" customFormat="1" ht="15" hidden="1" x14ac:dyDescent="0.25"/>
    <row r="432" s="1769" customFormat="1" ht="15" hidden="1" x14ac:dyDescent="0.25"/>
    <row r="433" s="1769" customFormat="1" ht="15" hidden="1" x14ac:dyDescent="0.25"/>
    <row r="434" s="1769" customFormat="1" ht="15" hidden="1" x14ac:dyDescent="0.25"/>
    <row r="435" s="1769" customFormat="1" ht="15" hidden="1" x14ac:dyDescent="0.25"/>
    <row r="436" s="1769" customFormat="1" ht="15" hidden="1" x14ac:dyDescent="0.25"/>
    <row r="437" s="1769" customFormat="1" ht="15" hidden="1" x14ac:dyDescent="0.25"/>
    <row r="438" s="1769" customFormat="1" ht="15" hidden="1" x14ac:dyDescent="0.25"/>
    <row r="439" s="1769" customFormat="1" ht="15" hidden="1" x14ac:dyDescent="0.25"/>
    <row r="440" s="1769" customFormat="1" ht="15" hidden="1" x14ac:dyDescent="0.25"/>
    <row r="441" s="1769" customFormat="1" ht="15" hidden="1" x14ac:dyDescent="0.25"/>
    <row r="442" s="1769" customFormat="1" ht="15" hidden="1" x14ac:dyDescent="0.25"/>
    <row r="443" s="1769" customFormat="1" ht="15" hidden="1" x14ac:dyDescent="0.25"/>
    <row r="444" s="1769" customFormat="1" ht="15" hidden="1" x14ac:dyDescent="0.25"/>
    <row r="445" s="1769" customFormat="1" ht="15" hidden="1" x14ac:dyDescent="0.25"/>
    <row r="446" s="1769" customFormat="1" ht="15" hidden="1" x14ac:dyDescent="0.25"/>
    <row r="447" s="1769" customFormat="1" ht="15" hidden="1" x14ac:dyDescent="0.25"/>
    <row r="448" s="1769" customFormat="1" ht="15" hidden="1" x14ac:dyDescent="0.25"/>
    <row r="449" s="1769" customFormat="1" ht="15" hidden="1" x14ac:dyDescent="0.25"/>
    <row r="450" s="1769" customFormat="1" ht="15" hidden="1" x14ac:dyDescent="0.25"/>
    <row r="451" s="1769" customFormat="1" ht="15" hidden="1" x14ac:dyDescent="0.25"/>
    <row r="452" s="1769" customFormat="1" ht="15" hidden="1" x14ac:dyDescent="0.25"/>
    <row r="453" s="1769" customFormat="1" ht="15" hidden="1" x14ac:dyDescent="0.25"/>
    <row r="454" s="1769" customFormat="1" ht="15" hidden="1" x14ac:dyDescent="0.25"/>
    <row r="455" s="1769" customFormat="1" ht="15" hidden="1" x14ac:dyDescent="0.25"/>
    <row r="456" s="1769" customFormat="1" ht="15" hidden="1" x14ac:dyDescent="0.25"/>
    <row r="457" s="1769" customFormat="1" ht="15" hidden="1" x14ac:dyDescent="0.25"/>
    <row r="458" s="1769" customFormat="1" ht="15" hidden="1" x14ac:dyDescent="0.25"/>
    <row r="459" s="1769" customFormat="1" ht="15" hidden="1" x14ac:dyDescent="0.25"/>
    <row r="460" s="1769" customFormat="1" ht="15" hidden="1" x14ac:dyDescent="0.25"/>
    <row r="461" s="1769" customFormat="1" ht="15" hidden="1" x14ac:dyDescent="0.25"/>
    <row r="462" s="1769" customFormat="1" ht="15" hidden="1" x14ac:dyDescent="0.25"/>
    <row r="463" s="1769" customFormat="1" ht="15" hidden="1" x14ac:dyDescent="0.25"/>
    <row r="464" s="1769" customFormat="1" ht="15" hidden="1" x14ac:dyDescent="0.25"/>
    <row r="465" s="1769" customFormat="1" ht="15" hidden="1" x14ac:dyDescent="0.25"/>
    <row r="466" s="1769" customFormat="1" ht="15" hidden="1" x14ac:dyDescent="0.25"/>
    <row r="467" s="1769" customFormat="1" ht="15" hidden="1" x14ac:dyDescent="0.25"/>
    <row r="468" s="1769" customFormat="1" ht="15" hidden="1" x14ac:dyDescent="0.25"/>
    <row r="469" s="1769" customFormat="1" ht="15" hidden="1" x14ac:dyDescent="0.25"/>
    <row r="470" s="1769" customFormat="1" ht="15" hidden="1" x14ac:dyDescent="0.25"/>
    <row r="471" s="1769" customFormat="1" ht="15" hidden="1" x14ac:dyDescent="0.25"/>
    <row r="472" s="1769" customFormat="1" ht="15" hidden="1" x14ac:dyDescent="0.25"/>
    <row r="473" s="1769" customFormat="1" ht="15" hidden="1" x14ac:dyDescent="0.25"/>
    <row r="474" s="1769" customFormat="1" ht="15" hidden="1" x14ac:dyDescent="0.25"/>
    <row r="475" s="1769" customFormat="1" ht="15" hidden="1" x14ac:dyDescent="0.25"/>
    <row r="476" s="1769" customFormat="1" ht="15" hidden="1" x14ac:dyDescent="0.25"/>
    <row r="477" s="1769" customFormat="1" ht="15" hidden="1" x14ac:dyDescent="0.25"/>
    <row r="478" s="1769" customFormat="1" ht="15" hidden="1" x14ac:dyDescent="0.25"/>
    <row r="479" s="1769" customFormat="1" ht="15" hidden="1" x14ac:dyDescent="0.25"/>
    <row r="480" s="1769" customFormat="1" ht="15" hidden="1" x14ac:dyDescent="0.25"/>
    <row r="481" s="1769" customFormat="1" ht="15" hidden="1" x14ac:dyDescent="0.25"/>
    <row r="482" s="1769" customFormat="1" ht="15" hidden="1" x14ac:dyDescent="0.25"/>
    <row r="483" s="1769" customFormat="1" ht="15" hidden="1" x14ac:dyDescent="0.25"/>
    <row r="484" s="1769" customFormat="1" ht="15" hidden="1" x14ac:dyDescent="0.25"/>
    <row r="485" s="1769" customFormat="1" ht="15" hidden="1" x14ac:dyDescent="0.25"/>
    <row r="486" s="1769" customFormat="1" ht="15" hidden="1" x14ac:dyDescent="0.25"/>
    <row r="487" s="1769" customFormat="1" ht="15" hidden="1" x14ac:dyDescent="0.25"/>
    <row r="488" s="1769" customFormat="1" ht="15" hidden="1" x14ac:dyDescent="0.25"/>
    <row r="489" s="1769" customFormat="1" ht="15" hidden="1" x14ac:dyDescent="0.25"/>
    <row r="490" s="1769" customFormat="1" ht="15" hidden="1" x14ac:dyDescent="0.25"/>
    <row r="491" s="1769" customFormat="1" ht="15" hidden="1" x14ac:dyDescent="0.25"/>
    <row r="492" s="1769" customFormat="1" ht="15" hidden="1" x14ac:dyDescent="0.25"/>
    <row r="493" s="1769" customFormat="1" ht="15" hidden="1" x14ac:dyDescent="0.25"/>
    <row r="494" s="1769" customFormat="1" ht="15" hidden="1" x14ac:dyDescent="0.25"/>
    <row r="495" s="1769" customFormat="1" ht="15" hidden="1" x14ac:dyDescent="0.25"/>
    <row r="496" s="1769" customFormat="1" ht="15" hidden="1" x14ac:dyDescent="0.25"/>
    <row r="497" s="1769" customFormat="1" ht="15" hidden="1" x14ac:dyDescent="0.25"/>
    <row r="498" s="1769" customFormat="1" ht="15" hidden="1" x14ac:dyDescent="0.25"/>
    <row r="499" s="1769" customFormat="1" ht="15" hidden="1" x14ac:dyDescent="0.25"/>
    <row r="500" s="1769" customFormat="1" ht="15" hidden="1" x14ac:dyDescent="0.25"/>
    <row r="501" s="1769" customFormat="1" ht="15" hidden="1" x14ac:dyDescent="0.25"/>
    <row r="502" s="1769" customFormat="1" ht="15" hidden="1" x14ac:dyDescent="0.25"/>
    <row r="503" s="1769" customFormat="1" ht="15" hidden="1" x14ac:dyDescent="0.25"/>
    <row r="504" s="1769" customFormat="1" ht="15" hidden="1" x14ac:dyDescent="0.25"/>
    <row r="505" s="1769" customFormat="1" ht="15" hidden="1" x14ac:dyDescent="0.25"/>
    <row r="506" s="1769" customFormat="1" ht="15" hidden="1" x14ac:dyDescent="0.25"/>
    <row r="507" s="1769" customFormat="1" ht="15" hidden="1" x14ac:dyDescent="0.25"/>
    <row r="508" s="1769" customFormat="1" ht="15" hidden="1" x14ac:dyDescent="0.25"/>
    <row r="509" s="1769" customFormat="1" ht="15" hidden="1" x14ac:dyDescent="0.25"/>
    <row r="510" s="1769" customFormat="1" ht="15" hidden="1" x14ac:dyDescent="0.25"/>
    <row r="511" s="1769" customFormat="1" ht="15" hidden="1" x14ac:dyDescent="0.25"/>
    <row r="512" s="1769" customFormat="1" ht="15" hidden="1" x14ac:dyDescent="0.25"/>
    <row r="513" s="1769" customFormat="1" ht="15" hidden="1" x14ac:dyDescent="0.25"/>
    <row r="514" s="1769" customFormat="1" ht="15" hidden="1" x14ac:dyDescent="0.25"/>
    <row r="515" s="1769" customFormat="1" ht="15" hidden="1" x14ac:dyDescent="0.25"/>
    <row r="516" s="1769" customFormat="1" ht="15" hidden="1" x14ac:dyDescent="0.25"/>
    <row r="517" s="1769" customFormat="1" ht="15" hidden="1" x14ac:dyDescent="0.25"/>
    <row r="518" s="1769" customFormat="1" ht="15" hidden="1" x14ac:dyDescent="0.25"/>
    <row r="519" s="1769" customFormat="1" ht="15" hidden="1" x14ac:dyDescent="0.25"/>
    <row r="520" s="1769" customFormat="1" ht="15" hidden="1" x14ac:dyDescent="0.25"/>
    <row r="521" s="1769" customFormat="1" ht="15" hidden="1" x14ac:dyDescent="0.25"/>
    <row r="522" s="1769" customFormat="1" ht="15" hidden="1" x14ac:dyDescent="0.25"/>
    <row r="523" s="1769" customFormat="1" ht="15" hidden="1" x14ac:dyDescent="0.25"/>
    <row r="524" s="1769" customFormat="1" ht="15" hidden="1" x14ac:dyDescent="0.25"/>
    <row r="525" s="1769" customFormat="1" ht="15" hidden="1" x14ac:dyDescent="0.25"/>
    <row r="526" s="1769" customFormat="1" ht="15" hidden="1" x14ac:dyDescent="0.25"/>
    <row r="527" s="1769" customFormat="1" ht="15" hidden="1" x14ac:dyDescent="0.25"/>
    <row r="528" s="1769" customFormat="1" ht="15" hidden="1" x14ac:dyDescent="0.25"/>
    <row r="529" s="1769" customFormat="1" ht="15" hidden="1" x14ac:dyDescent="0.25"/>
    <row r="530" s="1769" customFormat="1" ht="15" hidden="1" x14ac:dyDescent="0.25"/>
    <row r="531" s="1769" customFormat="1" ht="15" hidden="1" x14ac:dyDescent="0.25"/>
    <row r="532" s="1769" customFormat="1" ht="15" hidden="1" x14ac:dyDescent="0.25"/>
    <row r="533" s="1769" customFormat="1" ht="15" hidden="1" x14ac:dyDescent="0.25"/>
    <row r="534" s="1769" customFormat="1" ht="15" hidden="1" x14ac:dyDescent="0.25"/>
    <row r="535" s="1769" customFormat="1" ht="15" hidden="1" x14ac:dyDescent="0.25"/>
    <row r="536" s="1769" customFormat="1" ht="15" hidden="1" x14ac:dyDescent="0.25"/>
    <row r="537" s="1769" customFormat="1" ht="15" hidden="1" x14ac:dyDescent="0.25"/>
    <row r="538" s="1769" customFormat="1" ht="15" hidden="1" x14ac:dyDescent="0.25"/>
    <row r="539" s="1769" customFormat="1" ht="15" hidden="1" x14ac:dyDescent="0.25"/>
    <row r="540" s="1769" customFormat="1" ht="15" hidden="1" x14ac:dyDescent="0.25"/>
    <row r="541" s="1769" customFormat="1" ht="15" hidden="1" x14ac:dyDescent="0.25"/>
    <row r="542" s="1769" customFormat="1" ht="15" hidden="1" x14ac:dyDescent="0.25"/>
    <row r="543" s="1769" customFormat="1" ht="15" hidden="1" x14ac:dyDescent="0.25"/>
    <row r="544" s="1769" customFormat="1" ht="15" hidden="1" x14ac:dyDescent="0.25"/>
    <row r="545" s="1769" customFormat="1" ht="15" hidden="1" x14ac:dyDescent="0.25"/>
    <row r="546" s="1769" customFormat="1" ht="15" hidden="1" x14ac:dyDescent="0.25"/>
    <row r="547" s="1769" customFormat="1" ht="15" hidden="1" x14ac:dyDescent="0.25"/>
    <row r="548" s="1769" customFormat="1" ht="15" hidden="1" x14ac:dyDescent="0.25"/>
    <row r="549" s="1769" customFormat="1" ht="15" hidden="1" x14ac:dyDescent="0.25"/>
    <row r="550" s="1769" customFormat="1" ht="15" hidden="1" x14ac:dyDescent="0.25"/>
    <row r="551" s="1769" customFormat="1" ht="15" hidden="1" x14ac:dyDescent="0.25"/>
    <row r="552" s="1769" customFormat="1" ht="15" hidden="1" x14ac:dyDescent="0.25"/>
    <row r="553" s="1769" customFormat="1" ht="15" hidden="1" x14ac:dyDescent="0.25"/>
    <row r="554" s="1769" customFormat="1" ht="15" hidden="1" x14ac:dyDescent="0.25"/>
    <row r="555" s="1769" customFormat="1" ht="15" hidden="1" x14ac:dyDescent="0.25"/>
    <row r="556" s="1769" customFormat="1" ht="15" hidden="1" x14ac:dyDescent="0.25"/>
    <row r="557" s="1769" customFormat="1" ht="15" hidden="1" x14ac:dyDescent="0.25"/>
    <row r="558" s="1769" customFormat="1" ht="15" hidden="1" x14ac:dyDescent="0.25"/>
    <row r="559" s="1769" customFormat="1" ht="15" hidden="1" x14ac:dyDescent="0.25"/>
    <row r="560" s="1769" customFormat="1" ht="15" hidden="1" x14ac:dyDescent="0.25"/>
    <row r="561" s="1769" customFormat="1" ht="15" hidden="1" x14ac:dyDescent="0.25"/>
    <row r="562" s="1769" customFormat="1" ht="15" hidden="1" x14ac:dyDescent="0.25"/>
    <row r="563" s="1769" customFormat="1" ht="15" hidden="1" x14ac:dyDescent="0.25"/>
    <row r="564" s="1769" customFormat="1" ht="15" hidden="1" x14ac:dyDescent="0.25"/>
    <row r="565" s="1769" customFormat="1" ht="15" hidden="1" x14ac:dyDescent="0.25"/>
    <row r="566" s="1769" customFormat="1" ht="15" hidden="1" x14ac:dyDescent="0.25"/>
    <row r="567" s="1769" customFormat="1" ht="15" hidden="1" x14ac:dyDescent="0.25"/>
    <row r="568" s="1769" customFormat="1" ht="15" hidden="1" x14ac:dyDescent="0.25"/>
    <row r="569" s="1769" customFormat="1" ht="15" hidden="1" x14ac:dyDescent="0.25"/>
    <row r="570" s="1769" customFormat="1" ht="15" hidden="1" x14ac:dyDescent="0.25"/>
    <row r="571" s="1769" customFormat="1" ht="15" hidden="1" x14ac:dyDescent="0.25"/>
    <row r="572" s="1769" customFormat="1" ht="15" hidden="1" x14ac:dyDescent="0.25"/>
    <row r="573" s="1769" customFormat="1" ht="15" hidden="1" x14ac:dyDescent="0.25"/>
    <row r="574" s="1769" customFormat="1" ht="15" hidden="1" x14ac:dyDescent="0.25"/>
    <row r="575" s="1769" customFormat="1" ht="15" hidden="1" x14ac:dyDescent="0.25"/>
    <row r="576" s="1769" customFormat="1" ht="15" hidden="1" x14ac:dyDescent="0.25"/>
    <row r="577" s="1769" customFormat="1" ht="15" hidden="1" x14ac:dyDescent="0.25"/>
    <row r="578" s="1769" customFormat="1" ht="15" hidden="1" x14ac:dyDescent="0.25"/>
    <row r="579" s="1769" customFormat="1" ht="15" hidden="1" x14ac:dyDescent="0.25"/>
    <row r="580" s="1769" customFormat="1" ht="15" hidden="1" x14ac:dyDescent="0.25"/>
    <row r="581" s="1769" customFormat="1" ht="15" hidden="1" x14ac:dyDescent="0.25"/>
    <row r="582" s="1769" customFormat="1" ht="15" hidden="1" x14ac:dyDescent="0.25"/>
    <row r="583" s="1769" customFormat="1" ht="15" hidden="1" x14ac:dyDescent="0.25"/>
    <row r="584" s="1769" customFormat="1" ht="15" hidden="1" x14ac:dyDescent="0.25"/>
    <row r="585" s="1769" customFormat="1" ht="15" hidden="1" x14ac:dyDescent="0.25"/>
    <row r="586" s="1769" customFormat="1" ht="15" hidden="1" x14ac:dyDescent="0.25"/>
    <row r="587" s="1769" customFormat="1" ht="15" hidden="1" x14ac:dyDescent="0.25"/>
    <row r="588" s="1769" customFormat="1" ht="15" hidden="1" x14ac:dyDescent="0.25"/>
    <row r="589" s="1769" customFormat="1" ht="15" hidden="1" x14ac:dyDescent="0.25"/>
    <row r="590" s="1769" customFormat="1" ht="15" hidden="1" x14ac:dyDescent="0.25"/>
    <row r="591" s="1769" customFormat="1" ht="15" hidden="1" x14ac:dyDescent="0.25"/>
    <row r="592" s="1769" customFormat="1" ht="15" hidden="1" x14ac:dyDescent="0.25"/>
    <row r="593" s="1769" customFormat="1" ht="15" hidden="1" x14ac:dyDescent="0.25"/>
    <row r="594" s="1769" customFormat="1" ht="15" hidden="1" x14ac:dyDescent="0.25"/>
    <row r="595" s="1769" customFormat="1" ht="15" hidden="1" x14ac:dyDescent="0.25"/>
    <row r="596" s="1769" customFormat="1" ht="15" hidden="1" x14ac:dyDescent="0.25"/>
    <row r="597" s="1769" customFormat="1" ht="15" hidden="1" x14ac:dyDescent="0.25"/>
    <row r="598" s="1769" customFormat="1" ht="15" hidden="1" x14ac:dyDescent="0.25"/>
    <row r="599" s="1769" customFormat="1" ht="15" hidden="1" x14ac:dyDescent="0.25"/>
    <row r="600" s="1769" customFormat="1" ht="15" hidden="1" x14ac:dyDescent="0.25"/>
    <row r="601" s="1769" customFormat="1" ht="15" hidden="1" x14ac:dyDescent="0.25"/>
    <row r="602" s="1769" customFormat="1" ht="15" hidden="1" x14ac:dyDescent="0.25"/>
    <row r="603" s="1769" customFormat="1" ht="15" hidden="1" x14ac:dyDescent="0.25"/>
    <row r="604" s="1769" customFormat="1" ht="15" hidden="1" x14ac:dyDescent="0.25"/>
    <row r="605" s="1769" customFormat="1" ht="15" hidden="1" x14ac:dyDescent="0.25"/>
    <row r="606" s="1769" customFormat="1" ht="15" hidden="1" x14ac:dyDescent="0.25"/>
    <row r="607" s="1769" customFormat="1" ht="15" hidden="1" x14ac:dyDescent="0.25"/>
    <row r="608" s="1769" customFormat="1" ht="15" hidden="1" x14ac:dyDescent="0.25"/>
    <row r="609" s="1769" customFormat="1" ht="15" hidden="1" x14ac:dyDescent="0.25"/>
    <row r="610" s="1769" customFormat="1" ht="15" hidden="1" x14ac:dyDescent="0.25"/>
    <row r="611" s="1769" customFormat="1" ht="15" hidden="1" x14ac:dyDescent="0.25"/>
    <row r="612" s="1769" customFormat="1" ht="15" hidden="1" x14ac:dyDescent="0.25"/>
    <row r="613" s="1769" customFormat="1" ht="15" hidden="1" x14ac:dyDescent="0.25"/>
    <row r="614" s="1769" customFormat="1" ht="15" hidden="1" x14ac:dyDescent="0.25"/>
    <row r="615" s="1769" customFormat="1" ht="15" hidden="1" x14ac:dyDescent="0.25"/>
    <row r="616" s="1769" customFormat="1" ht="15" hidden="1" x14ac:dyDescent="0.25"/>
    <row r="617" s="1769" customFormat="1" ht="15" hidden="1" x14ac:dyDescent="0.25"/>
    <row r="618" s="1769" customFormat="1" ht="15" hidden="1" x14ac:dyDescent="0.25"/>
    <row r="619" s="1769" customFormat="1" ht="15" hidden="1" x14ac:dyDescent="0.25"/>
    <row r="620" s="1769" customFormat="1" ht="15" hidden="1" x14ac:dyDescent="0.25"/>
    <row r="621" s="1769" customFormat="1" ht="15" hidden="1" x14ac:dyDescent="0.25"/>
    <row r="622" s="1769" customFormat="1" ht="15" hidden="1" x14ac:dyDescent="0.25"/>
    <row r="623" s="1769" customFormat="1" ht="15" hidden="1" x14ac:dyDescent="0.25"/>
    <row r="624" s="1769" customFormat="1" ht="15" hidden="1" x14ac:dyDescent="0.25"/>
    <row r="625" s="1769" customFormat="1" ht="15" hidden="1" x14ac:dyDescent="0.25"/>
    <row r="626" s="1769" customFormat="1" ht="15" hidden="1" x14ac:dyDescent="0.25"/>
    <row r="627" s="1769" customFormat="1" ht="15" hidden="1" x14ac:dyDescent="0.25"/>
    <row r="628" s="1769" customFormat="1" ht="15" hidden="1" x14ac:dyDescent="0.25"/>
    <row r="629" s="1769" customFormat="1" ht="15" hidden="1" x14ac:dyDescent="0.25"/>
    <row r="630" s="1769" customFormat="1" ht="15" hidden="1" x14ac:dyDescent="0.25"/>
    <row r="631" s="1769" customFormat="1" ht="15" hidden="1" x14ac:dyDescent="0.25"/>
    <row r="632" s="1769" customFormat="1" ht="15" hidden="1" x14ac:dyDescent="0.25"/>
    <row r="633" s="1769" customFormat="1" ht="15" hidden="1" x14ac:dyDescent="0.25"/>
    <row r="634" s="1769" customFormat="1" ht="15" hidden="1" x14ac:dyDescent="0.25"/>
    <row r="635" s="1769" customFormat="1" ht="15" hidden="1" x14ac:dyDescent="0.25"/>
    <row r="636" s="1769" customFormat="1" ht="15" hidden="1" x14ac:dyDescent="0.25"/>
    <row r="637" s="1769" customFormat="1" ht="15" hidden="1" x14ac:dyDescent="0.25"/>
    <row r="638" s="1769" customFormat="1" ht="15" hidden="1" x14ac:dyDescent="0.25"/>
    <row r="639" s="1769" customFormat="1" ht="15" hidden="1" x14ac:dyDescent="0.25"/>
    <row r="640" s="1769" customFormat="1" ht="15" hidden="1" x14ac:dyDescent="0.25"/>
    <row r="641" s="1769" customFormat="1" ht="15" hidden="1" x14ac:dyDescent="0.25"/>
    <row r="642" s="1769" customFormat="1" ht="15" hidden="1" x14ac:dyDescent="0.25"/>
    <row r="643" s="1769" customFormat="1" ht="15" hidden="1" x14ac:dyDescent="0.25"/>
    <row r="644" s="1769" customFormat="1" ht="15" hidden="1" x14ac:dyDescent="0.25"/>
    <row r="645" s="1769" customFormat="1" ht="15" hidden="1" x14ac:dyDescent="0.25"/>
    <row r="646" s="1769" customFormat="1" ht="15" hidden="1" x14ac:dyDescent="0.25"/>
    <row r="647" s="1769" customFormat="1" ht="15" hidden="1" x14ac:dyDescent="0.25"/>
    <row r="648" s="1769" customFormat="1" ht="15" hidden="1" x14ac:dyDescent="0.25"/>
    <row r="649" s="1769" customFormat="1" ht="15" hidden="1" x14ac:dyDescent="0.25"/>
    <row r="650" s="1769" customFormat="1" ht="15" hidden="1" x14ac:dyDescent="0.25"/>
    <row r="651" s="1769" customFormat="1" ht="15" hidden="1" x14ac:dyDescent="0.25"/>
    <row r="652" s="1769" customFormat="1" ht="15" hidden="1" x14ac:dyDescent="0.25"/>
    <row r="653" s="1769" customFormat="1" ht="15" hidden="1" x14ac:dyDescent="0.25"/>
    <row r="654" s="1769" customFormat="1" ht="15" hidden="1" x14ac:dyDescent="0.25"/>
    <row r="655" s="1769" customFormat="1" ht="15" hidden="1" x14ac:dyDescent="0.25"/>
    <row r="656" s="1769" customFormat="1" ht="15" hidden="1" x14ac:dyDescent="0.25"/>
    <row r="657" s="1769" customFormat="1" ht="15" hidden="1" x14ac:dyDescent="0.25"/>
    <row r="658" s="1769" customFormat="1" ht="15" hidden="1" x14ac:dyDescent="0.25"/>
    <row r="659" s="1769" customFormat="1" ht="15" hidden="1" x14ac:dyDescent="0.25"/>
    <row r="660" s="1769" customFormat="1" ht="15" hidden="1" x14ac:dyDescent="0.25"/>
    <row r="661" s="1769" customFormat="1" ht="15" hidden="1" x14ac:dyDescent="0.25"/>
    <row r="662" s="1769" customFormat="1" ht="15" hidden="1" x14ac:dyDescent="0.25"/>
    <row r="663" s="1769" customFormat="1" ht="15" hidden="1" x14ac:dyDescent="0.25"/>
    <row r="664" s="1769" customFormat="1" ht="15" hidden="1" x14ac:dyDescent="0.25"/>
    <row r="665" s="1769" customFormat="1" ht="15" hidden="1" x14ac:dyDescent="0.25"/>
    <row r="666" s="1769" customFormat="1" ht="15" hidden="1" x14ac:dyDescent="0.25"/>
    <row r="667" s="1769" customFormat="1" ht="15" hidden="1" x14ac:dyDescent="0.25"/>
    <row r="668" s="1769" customFormat="1" ht="15" hidden="1" x14ac:dyDescent="0.25"/>
    <row r="669" s="1769" customFormat="1" ht="15" hidden="1" x14ac:dyDescent="0.25"/>
    <row r="670" s="1769" customFormat="1" ht="15" hidden="1" x14ac:dyDescent="0.25"/>
    <row r="671" s="1769" customFormat="1" ht="15" hidden="1" x14ac:dyDescent="0.25"/>
    <row r="672" s="1769" customFormat="1" ht="15" hidden="1" x14ac:dyDescent="0.25"/>
    <row r="673" s="1769" customFormat="1" ht="15" hidden="1" x14ac:dyDescent="0.25"/>
    <row r="674" s="1769" customFormat="1" ht="15" hidden="1" x14ac:dyDescent="0.25"/>
    <row r="675" s="1769" customFormat="1" ht="15" hidden="1" x14ac:dyDescent="0.25"/>
    <row r="676" s="1769" customFormat="1" ht="15" hidden="1" x14ac:dyDescent="0.25"/>
    <row r="677" s="1769" customFormat="1" ht="15" hidden="1" x14ac:dyDescent="0.25"/>
    <row r="678" s="1769" customFormat="1" ht="15" hidden="1" x14ac:dyDescent="0.25"/>
    <row r="679" s="1769" customFormat="1" ht="15" hidden="1" x14ac:dyDescent="0.25"/>
    <row r="680" s="1769" customFormat="1" ht="15" hidden="1" x14ac:dyDescent="0.25"/>
    <row r="681" s="1769" customFormat="1" ht="15" hidden="1" x14ac:dyDescent="0.25"/>
    <row r="682" s="1769" customFormat="1" ht="15" hidden="1" x14ac:dyDescent="0.25"/>
    <row r="683" s="1769" customFormat="1" ht="15" hidden="1" x14ac:dyDescent="0.25"/>
    <row r="684" s="1769" customFormat="1" ht="15" hidden="1" x14ac:dyDescent="0.25"/>
    <row r="685" s="1769" customFormat="1" ht="15" hidden="1" x14ac:dyDescent="0.25"/>
    <row r="686" s="1769" customFormat="1" ht="15" hidden="1" x14ac:dyDescent="0.25"/>
    <row r="687" s="1769" customFormat="1" ht="15" hidden="1" x14ac:dyDescent="0.25"/>
    <row r="688" s="1769" customFormat="1" ht="15" hidden="1" x14ac:dyDescent="0.25"/>
    <row r="689" s="1769" customFormat="1" ht="15" hidden="1" x14ac:dyDescent="0.25"/>
    <row r="690" s="1769" customFormat="1" ht="15" hidden="1" x14ac:dyDescent="0.25"/>
    <row r="691" s="1769" customFormat="1" ht="15" hidden="1" x14ac:dyDescent="0.25"/>
    <row r="692" s="1769" customFormat="1" ht="15" hidden="1" x14ac:dyDescent="0.25"/>
    <row r="693" s="1769" customFormat="1" ht="15" hidden="1" x14ac:dyDescent="0.25"/>
    <row r="694" s="1769" customFormat="1" ht="15" hidden="1" x14ac:dyDescent="0.25"/>
    <row r="695" s="1769" customFormat="1" ht="15" hidden="1" x14ac:dyDescent="0.25"/>
    <row r="696" s="1769" customFormat="1" ht="15" hidden="1" x14ac:dyDescent="0.25"/>
    <row r="697" s="1769" customFormat="1" ht="15" hidden="1" x14ac:dyDescent="0.25"/>
    <row r="698" s="1769" customFormat="1" ht="15" hidden="1" x14ac:dyDescent="0.25"/>
    <row r="699" s="1769" customFormat="1" ht="15" hidden="1" x14ac:dyDescent="0.25"/>
    <row r="700" s="1769" customFormat="1" ht="15" hidden="1" x14ac:dyDescent="0.25"/>
    <row r="701" s="1769" customFormat="1" ht="15" hidden="1" x14ac:dyDescent="0.25"/>
    <row r="702" s="1769" customFormat="1" ht="15" hidden="1" x14ac:dyDescent="0.25"/>
    <row r="703" s="1769" customFormat="1" ht="15" hidden="1" x14ac:dyDescent="0.25"/>
    <row r="704" s="1769" customFormat="1" ht="15" hidden="1" x14ac:dyDescent="0.25"/>
    <row r="705" s="1769" customFormat="1" ht="15" hidden="1" x14ac:dyDescent="0.25"/>
    <row r="706" s="1769" customFormat="1" ht="15" hidden="1" x14ac:dyDescent="0.25"/>
    <row r="707" s="1769" customFormat="1" ht="15" hidden="1" x14ac:dyDescent="0.25"/>
    <row r="708" s="1769" customFormat="1" ht="15" hidden="1" x14ac:dyDescent="0.25"/>
    <row r="709" s="1769" customFormat="1" ht="15" hidden="1" x14ac:dyDescent="0.25"/>
    <row r="710" s="1769" customFormat="1" ht="15" hidden="1" x14ac:dyDescent="0.25"/>
    <row r="711" s="1769" customFormat="1" ht="15" hidden="1" x14ac:dyDescent="0.25"/>
    <row r="712" s="1769" customFormat="1" ht="15" hidden="1" x14ac:dyDescent="0.25"/>
    <row r="713" s="1769" customFormat="1" ht="15" hidden="1" x14ac:dyDescent="0.25"/>
    <row r="714" s="1769" customFormat="1" ht="15" hidden="1" x14ac:dyDescent="0.25"/>
    <row r="715" s="1769" customFormat="1" ht="15" hidden="1" x14ac:dyDescent="0.25"/>
    <row r="716" s="1769" customFormat="1" ht="15" hidden="1" x14ac:dyDescent="0.25"/>
    <row r="717" s="1769" customFormat="1" ht="15" hidden="1" x14ac:dyDescent="0.25"/>
    <row r="718" s="1769" customFormat="1" ht="15" hidden="1" x14ac:dyDescent="0.25"/>
    <row r="719" s="1769" customFormat="1" ht="15" hidden="1" x14ac:dyDescent="0.25"/>
    <row r="720" s="1769" customFormat="1" ht="15" hidden="1" x14ac:dyDescent="0.25"/>
    <row r="721" s="1769" customFormat="1" ht="15" hidden="1" x14ac:dyDescent="0.25"/>
    <row r="722" s="1769" customFormat="1" ht="15" hidden="1" x14ac:dyDescent="0.25"/>
    <row r="723" s="1769" customFormat="1" ht="15" hidden="1" x14ac:dyDescent="0.25"/>
    <row r="724" s="1769" customFormat="1" ht="15" hidden="1" x14ac:dyDescent="0.25"/>
    <row r="725" s="1769" customFormat="1" ht="15" hidden="1" x14ac:dyDescent="0.25"/>
    <row r="726" s="1769" customFormat="1" ht="15" hidden="1" x14ac:dyDescent="0.25"/>
    <row r="727" s="1769" customFormat="1" ht="15" hidden="1" x14ac:dyDescent="0.25"/>
    <row r="728" s="1769" customFormat="1" ht="15" hidden="1" x14ac:dyDescent="0.25"/>
    <row r="729" s="1769" customFormat="1" ht="15" hidden="1" x14ac:dyDescent="0.25"/>
    <row r="730" s="1769" customFormat="1" ht="15" hidden="1" x14ac:dyDescent="0.25"/>
    <row r="731" s="1769" customFormat="1" ht="15" hidden="1" x14ac:dyDescent="0.25"/>
    <row r="732" s="1769" customFormat="1" ht="15" hidden="1" x14ac:dyDescent="0.25"/>
    <row r="733" s="1769" customFormat="1" ht="15" hidden="1" x14ac:dyDescent="0.25"/>
    <row r="734" s="1769" customFormat="1" ht="15" hidden="1" x14ac:dyDescent="0.25"/>
    <row r="735" s="1769" customFormat="1" ht="15" hidden="1" x14ac:dyDescent="0.25"/>
    <row r="736" s="1769" customFormat="1" ht="15" hidden="1" x14ac:dyDescent="0.25"/>
    <row r="737" s="1769" customFormat="1" ht="15" hidden="1" x14ac:dyDescent="0.25"/>
    <row r="738" s="1769" customFormat="1" ht="15" hidden="1" x14ac:dyDescent="0.25"/>
    <row r="739" s="1769" customFormat="1" ht="15" hidden="1" x14ac:dyDescent="0.25"/>
    <row r="740" s="1769" customFormat="1" ht="15" hidden="1" x14ac:dyDescent="0.25"/>
    <row r="741" s="1769" customFormat="1" ht="15" hidden="1" x14ac:dyDescent="0.25"/>
    <row r="742" s="1769" customFormat="1" ht="15" hidden="1" x14ac:dyDescent="0.25"/>
    <row r="743" s="1769" customFormat="1" ht="15" hidden="1" x14ac:dyDescent="0.25"/>
    <row r="744" s="1769" customFormat="1" ht="15" hidden="1" x14ac:dyDescent="0.25"/>
    <row r="745" s="1769" customFormat="1" ht="15" hidden="1" x14ac:dyDescent="0.25"/>
    <row r="746" s="1769" customFormat="1" ht="15" hidden="1" x14ac:dyDescent="0.25"/>
    <row r="747" s="1769" customFormat="1" ht="15" hidden="1" x14ac:dyDescent="0.25"/>
    <row r="748" s="1769" customFormat="1" ht="15" hidden="1" x14ac:dyDescent="0.25"/>
    <row r="749" s="1769" customFormat="1" ht="15" hidden="1" x14ac:dyDescent="0.25"/>
    <row r="750" s="1769" customFormat="1" ht="15" hidden="1" x14ac:dyDescent="0.25"/>
    <row r="751" s="1769" customFormat="1" ht="15" hidden="1" x14ac:dyDescent="0.25"/>
    <row r="752" s="1769" customFormat="1" ht="15" hidden="1" x14ac:dyDescent="0.25"/>
    <row r="753" s="1769" customFormat="1" ht="15" hidden="1" x14ac:dyDescent="0.25"/>
    <row r="754" s="1769" customFormat="1" ht="15" hidden="1" x14ac:dyDescent="0.25"/>
    <row r="755" s="1769" customFormat="1" ht="15" hidden="1" x14ac:dyDescent="0.25"/>
    <row r="756" s="1769" customFormat="1" ht="15" hidden="1" x14ac:dyDescent="0.25"/>
    <row r="757" s="1769" customFormat="1" ht="15" hidden="1" x14ac:dyDescent="0.25"/>
    <row r="758" s="1769" customFormat="1" ht="15" hidden="1" x14ac:dyDescent="0.25"/>
    <row r="759" s="1769" customFormat="1" ht="15" hidden="1" x14ac:dyDescent="0.25"/>
    <row r="760" s="1769" customFormat="1" ht="15" hidden="1" x14ac:dyDescent="0.25"/>
    <row r="761" s="1769" customFormat="1" ht="15" hidden="1" x14ac:dyDescent="0.25"/>
    <row r="762" s="1769" customFormat="1" ht="15" hidden="1" x14ac:dyDescent="0.25"/>
    <row r="763" s="1769" customFormat="1" ht="15" hidden="1" x14ac:dyDescent="0.25"/>
    <row r="764" s="1769" customFormat="1" ht="15" hidden="1" x14ac:dyDescent="0.25"/>
    <row r="765" s="1769" customFormat="1" ht="15" hidden="1" x14ac:dyDescent="0.25"/>
    <row r="766" s="1769" customFormat="1" ht="15" hidden="1" x14ac:dyDescent="0.25"/>
    <row r="767" s="1769" customFormat="1" ht="15" hidden="1" x14ac:dyDescent="0.25"/>
    <row r="768" s="1769" customFormat="1" ht="15" hidden="1" x14ac:dyDescent="0.25"/>
    <row r="769" s="1769" customFormat="1" ht="15" hidden="1" x14ac:dyDescent="0.25"/>
    <row r="770" s="1769" customFormat="1" ht="15" hidden="1" x14ac:dyDescent="0.25"/>
    <row r="771" s="1769" customFormat="1" ht="15" hidden="1" x14ac:dyDescent="0.25"/>
    <row r="772" s="1769" customFormat="1" ht="15" hidden="1" x14ac:dyDescent="0.25"/>
    <row r="773" s="1769" customFormat="1" ht="15" hidden="1" x14ac:dyDescent="0.25"/>
    <row r="774" s="1769" customFormat="1" ht="15" hidden="1" x14ac:dyDescent="0.25"/>
    <row r="775" s="1769" customFormat="1" ht="15" hidden="1" x14ac:dyDescent="0.25"/>
    <row r="776" s="1769" customFormat="1" ht="15" hidden="1" x14ac:dyDescent="0.25"/>
    <row r="777" s="1769" customFormat="1" ht="15" hidden="1" x14ac:dyDescent="0.25"/>
    <row r="778" s="1769" customFormat="1" ht="15" hidden="1" x14ac:dyDescent="0.25"/>
    <row r="779" s="1769" customFormat="1" ht="15" hidden="1" x14ac:dyDescent="0.25"/>
    <row r="780" s="1769" customFormat="1" ht="15" hidden="1" x14ac:dyDescent="0.25"/>
    <row r="781" s="1769" customFormat="1" ht="15" hidden="1" x14ac:dyDescent="0.25"/>
    <row r="782" s="1769" customFormat="1" ht="15" hidden="1" x14ac:dyDescent="0.25"/>
    <row r="783" s="1769" customFormat="1" ht="15" hidden="1" x14ac:dyDescent="0.25"/>
    <row r="784" s="1769" customFormat="1" ht="15" hidden="1" x14ac:dyDescent="0.25"/>
    <row r="785" s="1769" customFormat="1" ht="15" hidden="1" x14ac:dyDescent="0.25"/>
    <row r="786" s="1769" customFormat="1" ht="15" hidden="1" x14ac:dyDescent="0.25"/>
    <row r="787" s="1769" customFormat="1" ht="15" hidden="1" x14ac:dyDescent="0.25"/>
    <row r="788" s="1769" customFormat="1" ht="15" hidden="1" x14ac:dyDescent="0.25"/>
    <row r="789" s="1769" customFormat="1" ht="15" hidden="1" x14ac:dyDescent="0.25"/>
    <row r="790" s="1769" customFormat="1" ht="15" hidden="1" x14ac:dyDescent="0.25"/>
    <row r="791" s="1769" customFormat="1" ht="15" hidden="1" x14ac:dyDescent="0.25"/>
    <row r="792" s="1769" customFormat="1" ht="15" hidden="1" x14ac:dyDescent="0.25"/>
    <row r="793" s="1769" customFormat="1" ht="15" hidden="1" x14ac:dyDescent="0.25"/>
    <row r="794" s="1769" customFormat="1" ht="15" hidden="1" x14ac:dyDescent="0.25"/>
    <row r="795" s="1769" customFormat="1" ht="15" hidden="1" x14ac:dyDescent="0.25"/>
    <row r="796" s="1769" customFormat="1" ht="15" hidden="1" x14ac:dyDescent="0.25"/>
    <row r="797" s="1769" customFormat="1" ht="15" hidden="1" x14ac:dyDescent="0.25"/>
    <row r="798" s="1769" customFormat="1" ht="15" hidden="1" x14ac:dyDescent="0.25"/>
    <row r="799" s="1769" customFormat="1" ht="15" hidden="1" x14ac:dyDescent="0.25"/>
    <row r="800" s="1769" customFormat="1" ht="15" hidden="1" x14ac:dyDescent="0.25"/>
    <row r="801" s="1769" customFormat="1" ht="15" hidden="1" x14ac:dyDescent="0.25"/>
    <row r="802" s="1769" customFormat="1" ht="15" hidden="1" x14ac:dyDescent="0.25"/>
    <row r="803" s="1769" customFormat="1" ht="15" hidden="1" x14ac:dyDescent="0.25"/>
    <row r="804" s="1769" customFormat="1" ht="15" hidden="1" x14ac:dyDescent="0.25"/>
    <row r="805" s="1769" customFormat="1" ht="15" hidden="1" x14ac:dyDescent="0.25"/>
    <row r="806" s="1769" customFormat="1" ht="15" hidden="1" x14ac:dyDescent="0.25"/>
    <row r="807" s="1769" customFormat="1" ht="15" hidden="1" x14ac:dyDescent="0.25"/>
    <row r="808" s="1769" customFormat="1" ht="15" hidden="1" x14ac:dyDescent="0.25"/>
    <row r="809" s="1769" customFormat="1" ht="15" hidden="1" x14ac:dyDescent="0.25"/>
    <row r="810" s="1769" customFormat="1" ht="15" hidden="1" x14ac:dyDescent="0.25"/>
    <row r="811" s="1769" customFormat="1" ht="15" hidden="1" x14ac:dyDescent="0.25"/>
    <row r="812" s="1769" customFormat="1" ht="15" hidden="1" x14ac:dyDescent="0.25"/>
    <row r="813" s="1769" customFormat="1" ht="15" hidden="1" x14ac:dyDescent="0.25"/>
    <row r="814" s="1769" customFormat="1" ht="15" hidden="1" x14ac:dyDescent="0.25"/>
    <row r="815" s="1769" customFormat="1" ht="15" hidden="1" x14ac:dyDescent="0.25"/>
    <row r="816" s="1769" customFormat="1" ht="15" hidden="1" x14ac:dyDescent="0.25"/>
    <row r="817" s="1769" customFormat="1" ht="15" hidden="1" x14ac:dyDescent="0.25"/>
    <row r="818" s="1769" customFormat="1" ht="15" hidden="1" x14ac:dyDescent="0.25"/>
    <row r="819" s="1769" customFormat="1" ht="15" hidden="1" x14ac:dyDescent="0.25"/>
    <row r="820" s="1769" customFormat="1" ht="15" hidden="1" x14ac:dyDescent="0.25"/>
    <row r="821" s="1769" customFormat="1" ht="15" hidden="1" x14ac:dyDescent="0.25"/>
    <row r="822" s="1769" customFormat="1" ht="15" hidden="1" x14ac:dyDescent="0.25"/>
    <row r="823" s="1769" customFormat="1" ht="15" hidden="1" x14ac:dyDescent="0.25"/>
    <row r="824" s="1769" customFormat="1" ht="15" hidden="1" x14ac:dyDescent="0.25"/>
    <row r="825" s="1769" customFormat="1" ht="15" hidden="1" x14ac:dyDescent="0.25"/>
    <row r="826" s="1769" customFormat="1" ht="15" hidden="1" x14ac:dyDescent="0.25"/>
    <row r="827" s="1769" customFormat="1" ht="15" hidden="1" x14ac:dyDescent="0.25"/>
    <row r="828" s="1769" customFormat="1" ht="15" hidden="1" x14ac:dyDescent="0.25"/>
    <row r="829" s="1769" customFormat="1" ht="15" hidden="1" x14ac:dyDescent="0.25"/>
    <row r="830" s="1769" customFormat="1" ht="15" hidden="1" x14ac:dyDescent="0.25"/>
    <row r="831" s="1769" customFormat="1" ht="15" hidden="1" x14ac:dyDescent="0.25"/>
    <row r="832" s="1769" customFormat="1" ht="15" hidden="1" x14ac:dyDescent="0.25"/>
    <row r="833" s="1769" customFormat="1" ht="15" hidden="1" x14ac:dyDescent="0.25"/>
    <row r="834" s="1769" customFormat="1" ht="15" hidden="1" x14ac:dyDescent="0.25"/>
    <row r="835" s="1769" customFormat="1" ht="15" hidden="1" x14ac:dyDescent="0.25"/>
    <row r="836" s="1769" customFormat="1" ht="15" hidden="1" x14ac:dyDescent="0.25"/>
    <row r="837" s="1769" customFormat="1" ht="15" hidden="1" x14ac:dyDescent="0.25"/>
    <row r="838" s="1769" customFormat="1" ht="15" hidden="1" x14ac:dyDescent="0.25"/>
    <row r="839" s="1769" customFormat="1" ht="15" hidden="1" x14ac:dyDescent="0.25"/>
    <row r="840" s="1769" customFormat="1" ht="15" hidden="1" x14ac:dyDescent="0.25"/>
    <row r="841" s="1769" customFormat="1" ht="15" hidden="1" x14ac:dyDescent="0.25"/>
    <row r="842" s="1769" customFormat="1" ht="15" hidden="1" x14ac:dyDescent="0.25"/>
    <row r="843" s="1769" customFormat="1" ht="15" hidden="1" x14ac:dyDescent="0.25"/>
    <row r="844" s="1769" customFormat="1" ht="15" hidden="1" x14ac:dyDescent="0.25"/>
    <row r="845" s="1769" customFormat="1" ht="15" hidden="1" x14ac:dyDescent="0.25"/>
    <row r="846" s="1769" customFormat="1" ht="15" hidden="1" x14ac:dyDescent="0.25"/>
    <row r="847" s="1769" customFormat="1" ht="15" hidden="1" x14ac:dyDescent="0.25"/>
    <row r="848" s="1769" customFormat="1" ht="15" hidden="1" x14ac:dyDescent="0.25"/>
    <row r="849" s="1769" customFormat="1" ht="15" hidden="1" x14ac:dyDescent="0.25"/>
    <row r="850" s="1769" customFormat="1" ht="15" hidden="1" x14ac:dyDescent="0.25"/>
    <row r="851" s="1769" customFormat="1" ht="15" hidden="1" x14ac:dyDescent="0.25"/>
    <row r="852" s="1769" customFormat="1" ht="15" hidden="1" x14ac:dyDescent="0.25"/>
    <row r="853" s="1769" customFormat="1" ht="15" hidden="1" x14ac:dyDescent="0.25"/>
    <row r="854" s="1769" customFormat="1" ht="15" hidden="1" x14ac:dyDescent="0.25"/>
    <row r="855" s="1769" customFormat="1" ht="15" hidden="1" x14ac:dyDescent="0.25"/>
    <row r="856" s="1769" customFormat="1" ht="15" hidden="1" x14ac:dyDescent="0.25"/>
    <row r="857" s="1769" customFormat="1" ht="15" hidden="1" x14ac:dyDescent="0.25"/>
    <row r="858" s="1769" customFormat="1" ht="15" hidden="1" x14ac:dyDescent="0.25"/>
    <row r="859" s="1769" customFormat="1" ht="15" hidden="1" x14ac:dyDescent="0.25"/>
    <row r="860" s="1769" customFormat="1" ht="15" hidden="1" x14ac:dyDescent="0.25"/>
    <row r="861" s="1769" customFormat="1" ht="15" hidden="1" x14ac:dyDescent="0.25"/>
    <row r="862" s="1769" customFormat="1" ht="15" hidden="1" x14ac:dyDescent="0.25"/>
    <row r="863" s="1769" customFormat="1" ht="15" hidden="1" x14ac:dyDescent="0.25"/>
    <row r="864" s="1769" customFormat="1" ht="15" hidden="1" x14ac:dyDescent="0.25"/>
    <row r="865" s="1769" customFormat="1" ht="15" hidden="1" x14ac:dyDescent="0.25"/>
    <row r="866" s="1769" customFormat="1" ht="15" hidden="1" x14ac:dyDescent="0.25"/>
    <row r="867" s="1769" customFormat="1" ht="15" hidden="1" x14ac:dyDescent="0.25"/>
    <row r="868" s="1769" customFormat="1" ht="15" hidden="1" x14ac:dyDescent="0.25"/>
    <row r="869" s="1769" customFormat="1" ht="15" hidden="1" x14ac:dyDescent="0.25"/>
    <row r="870" s="1769" customFormat="1" ht="15" hidden="1" x14ac:dyDescent="0.25"/>
    <row r="871" s="1769" customFormat="1" ht="15" hidden="1" x14ac:dyDescent="0.25"/>
    <row r="872" s="1769" customFormat="1" ht="15" hidden="1" x14ac:dyDescent="0.25"/>
    <row r="873" s="1769" customFormat="1" ht="15" hidden="1" x14ac:dyDescent="0.25"/>
    <row r="874" s="1769" customFormat="1" ht="15" hidden="1" x14ac:dyDescent="0.25"/>
    <row r="875" s="1769" customFormat="1" ht="15" hidden="1" x14ac:dyDescent="0.25"/>
    <row r="876" s="1769" customFormat="1" ht="15" hidden="1" x14ac:dyDescent="0.25"/>
    <row r="877" s="1769" customFormat="1" ht="15" hidden="1" x14ac:dyDescent="0.25"/>
    <row r="878" s="1769" customFormat="1" ht="15" hidden="1" x14ac:dyDescent="0.25"/>
    <row r="879" s="1769" customFormat="1" ht="15" hidden="1" x14ac:dyDescent="0.25"/>
    <row r="880" s="1769" customFormat="1" ht="15" hidden="1" x14ac:dyDescent="0.25"/>
    <row r="881" s="1769" customFormat="1" ht="15" hidden="1" x14ac:dyDescent="0.25"/>
    <row r="882" s="1769" customFormat="1" ht="15" hidden="1" x14ac:dyDescent="0.25"/>
    <row r="883" s="1769" customFormat="1" ht="15" hidden="1" x14ac:dyDescent="0.25"/>
    <row r="884" s="1769" customFormat="1" ht="15" hidden="1" x14ac:dyDescent="0.25"/>
    <row r="885" s="1769" customFormat="1" ht="15" hidden="1" x14ac:dyDescent="0.25"/>
    <row r="886" s="1769" customFormat="1" ht="15" hidden="1" x14ac:dyDescent="0.25"/>
    <row r="887" s="1769" customFormat="1" ht="15" hidden="1" x14ac:dyDescent="0.25"/>
    <row r="888" s="1769" customFormat="1" ht="15" hidden="1" x14ac:dyDescent="0.25"/>
    <row r="889" s="1769" customFormat="1" ht="15" hidden="1" x14ac:dyDescent="0.25"/>
    <row r="890" s="1769" customFormat="1" ht="15" hidden="1" x14ac:dyDescent="0.25"/>
    <row r="891" s="1769" customFormat="1" ht="15" hidden="1" x14ac:dyDescent="0.25"/>
    <row r="892" s="1769" customFormat="1" ht="15" hidden="1" x14ac:dyDescent="0.25"/>
    <row r="893" s="1769" customFormat="1" ht="15" hidden="1" x14ac:dyDescent="0.25"/>
    <row r="894" s="1769" customFormat="1" ht="15" hidden="1" x14ac:dyDescent="0.25"/>
    <row r="895" s="1769" customFormat="1" ht="15" hidden="1" x14ac:dyDescent="0.25"/>
    <row r="896" s="1769" customFormat="1" ht="15" hidden="1" x14ac:dyDescent="0.25"/>
    <row r="897" s="1769" customFormat="1" ht="15" hidden="1" x14ac:dyDescent="0.25"/>
    <row r="898" s="1769" customFormat="1" ht="15" hidden="1" x14ac:dyDescent="0.25"/>
    <row r="899" s="1769" customFormat="1" ht="15" hidden="1" x14ac:dyDescent="0.25"/>
    <row r="900" s="1769" customFormat="1" ht="15" hidden="1" x14ac:dyDescent="0.25"/>
    <row r="901" s="1769" customFormat="1" ht="15" hidden="1" x14ac:dyDescent="0.25"/>
    <row r="902" s="1769" customFormat="1" ht="15" hidden="1" x14ac:dyDescent="0.25"/>
    <row r="903" s="1769" customFormat="1" ht="15" hidden="1" x14ac:dyDescent="0.25"/>
    <row r="904" s="1769" customFormat="1" ht="15" hidden="1" x14ac:dyDescent="0.25"/>
    <row r="905" s="1769" customFormat="1" ht="15" hidden="1" x14ac:dyDescent="0.25"/>
    <row r="906" s="1769" customFormat="1" ht="15" hidden="1" x14ac:dyDescent="0.25"/>
    <row r="907" s="1769" customFormat="1" ht="15" hidden="1" x14ac:dyDescent="0.25"/>
    <row r="908" s="1769" customFormat="1" ht="15" hidden="1" x14ac:dyDescent="0.25"/>
    <row r="909" s="1769" customFormat="1" ht="15" hidden="1" x14ac:dyDescent="0.25"/>
    <row r="910" s="1769" customFormat="1" ht="15" hidden="1" x14ac:dyDescent="0.25"/>
    <row r="911" s="1769" customFormat="1" ht="15" hidden="1" x14ac:dyDescent="0.25"/>
    <row r="912" s="1769" customFormat="1" ht="15" hidden="1" x14ac:dyDescent="0.25"/>
    <row r="913" s="1769" customFormat="1" ht="15" hidden="1" x14ac:dyDescent="0.25"/>
    <row r="914" s="1769" customFormat="1" ht="15" hidden="1" x14ac:dyDescent="0.25"/>
    <row r="915" s="1769" customFormat="1" ht="15" hidden="1" x14ac:dyDescent="0.25"/>
    <row r="916" s="1769" customFormat="1" ht="15" hidden="1" x14ac:dyDescent="0.25"/>
    <row r="917" s="1769" customFormat="1" ht="15" hidden="1" x14ac:dyDescent="0.25"/>
    <row r="918" s="1769" customFormat="1" ht="15" hidden="1" x14ac:dyDescent="0.25"/>
    <row r="919" s="1769" customFormat="1" ht="15" hidden="1" x14ac:dyDescent="0.25"/>
    <row r="920" s="1769" customFormat="1" ht="15" hidden="1" x14ac:dyDescent="0.25"/>
    <row r="921" s="1769" customFormat="1" ht="15" hidden="1" x14ac:dyDescent="0.25"/>
    <row r="922" s="1769" customFormat="1" ht="15" hidden="1" x14ac:dyDescent="0.25"/>
    <row r="923" s="1769" customFormat="1" ht="15" hidden="1" x14ac:dyDescent="0.25"/>
    <row r="924" s="1769" customFormat="1" ht="15" hidden="1" x14ac:dyDescent="0.25"/>
    <row r="925" s="1769" customFormat="1" ht="15" hidden="1" x14ac:dyDescent="0.25"/>
    <row r="926" s="1769" customFormat="1" ht="15" hidden="1" x14ac:dyDescent="0.25"/>
    <row r="927" s="1769" customFormat="1" ht="15" hidden="1" x14ac:dyDescent="0.25"/>
    <row r="928" s="1769" customFormat="1" ht="15" hidden="1" x14ac:dyDescent="0.25"/>
    <row r="929" s="1769" customFormat="1" ht="15" hidden="1" x14ac:dyDescent="0.25"/>
    <row r="930" s="1769" customFormat="1" ht="15" hidden="1" x14ac:dyDescent="0.25"/>
    <row r="931" s="1769" customFormat="1" ht="15" hidden="1" x14ac:dyDescent="0.25"/>
    <row r="932" s="1769" customFormat="1" ht="15" hidden="1" x14ac:dyDescent="0.25"/>
    <row r="933" s="1769" customFormat="1" ht="15" hidden="1" x14ac:dyDescent="0.25"/>
    <row r="934" s="1769" customFormat="1" ht="15" hidden="1" x14ac:dyDescent="0.25"/>
    <row r="935" s="1769" customFormat="1" ht="15" hidden="1" x14ac:dyDescent="0.25"/>
    <row r="936" s="1769" customFormat="1" ht="15" hidden="1" x14ac:dyDescent="0.25"/>
    <row r="937" s="1769" customFormat="1" ht="15" hidden="1" x14ac:dyDescent="0.25"/>
    <row r="938" s="1769" customFormat="1" ht="15" hidden="1" x14ac:dyDescent="0.25"/>
    <row r="939" s="1769" customFormat="1" ht="15" hidden="1" x14ac:dyDescent="0.25"/>
    <row r="940" s="1769" customFormat="1" ht="15" hidden="1" x14ac:dyDescent="0.25"/>
    <row r="941" s="1769" customFormat="1" ht="15" hidden="1" x14ac:dyDescent="0.25"/>
    <row r="942" s="1769" customFormat="1" ht="15" hidden="1" x14ac:dyDescent="0.25"/>
    <row r="943" s="1769" customFormat="1" ht="15" hidden="1" x14ac:dyDescent="0.25"/>
    <row r="944" s="1769" customFormat="1" ht="15" hidden="1" x14ac:dyDescent="0.25"/>
    <row r="945" s="1769" customFormat="1" ht="15" hidden="1" x14ac:dyDescent="0.25"/>
    <row r="946" s="1769" customFormat="1" ht="15" hidden="1" x14ac:dyDescent="0.25"/>
    <row r="947" s="1769" customFormat="1" ht="15" hidden="1" x14ac:dyDescent="0.25"/>
    <row r="948" s="1769" customFormat="1" ht="15" hidden="1" x14ac:dyDescent="0.25"/>
    <row r="949" s="1769" customFormat="1" ht="15" hidden="1" x14ac:dyDescent="0.25"/>
    <row r="950" s="1769" customFormat="1" ht="15" hidden="1" x14ac:dyDescent="0.25"/>
    <row r="951" s="1769" customFormat="1" ht="15" hidden="1" x14ac:dyDescent="0.25"/>
    <row r="952" s="1769" customFormat="1" ht="15" hidden="1" x14ac:dyDescent="0.25"/>
    <row r="953" s="1769" customFormat="1" ht="15" hidden="1" x14ac:dyDescent="0.25"/>
    <row r="954" s="1769" customFormat="1" ht="15" hidden="1" x14ac:dyDescent="0.25"/>
    <row r="955" s="1769" customFormat="1" ht="15" hidden="1" x14ac:dyDescent="0.25"/>
    <row r="956" s="1769" customFormat="1" ht="15" hidden="1" x14ac:dyDescent="0.25"/>
    <row r="957" s="1769" customFormat="1" ht="15" hidden="1" x14ac:dyDescent="0.25"/>
    <row r="958" s="1769" customFormat="1" ht="15" hidden="1" x14ac:dyDescent="0.25"/>
    <row r="959" s="1769" customFormat="1" ht="15" hidden="1" x14ac:dyDescent="0.25"/>
    <row r="960" s="1769" customFormat="1" ht="15" hidden="1" x14ac:dyDescent="0.25"/>
    <row r="961" s="1769" customFormat="1" ht="15" hidden="1" x14ac:dyDescent="0.25"/>
    <row r="962" s="1769" customFormat="1" ht="15" hidden="1" x14ac:dyDescent="0.25"/>
    <row r="963" s="1769" customFormat="1" ht="15" hidden="1" x14ac:dyDescent="0.25"/>
    <row r="964" s="1769" customFormat="1" ht="15" hidden="1" x14ac:dyDescent="0.25"/>
    <row r="965" s="1769" customFormat="1" ht="15" hidden="1" x14ac:dyDescent="0.25"/>
    <row r="966" s="1769" customFormat="1" ht="15" hidden="1" x14ac:dyDescent="0.25"/>
    <row r="967" s="1769" customFormat="1" ht="15" hidden="1" x14ac:dyDescent="0.25"/>
    <row r="968" s="1769" customFormat="1" ht="15" hidden="1" x14ac:dyDescent="0.25"/>
    <row r="969" s="1769" customFormat="1" ht="15" hidden="1" x14ac:dyDescent="0.25"/>
    <row r="970" s="1769" customFormat="1" ht="15" hidden="1" x14ac:dyDescent="0.25"/>
    <row r="971" s="1769" customFormat="1" ht="15" hidden="1" x14ac:dyDescent="0.25"/>
    <row r="972" s="1769" customFormat="1" ht="15" hidden="1" x14ac:dyDescent="0.25"/>
    <row r="973" s="1769" customFormat="1" ht="15" hidden="1" x14ac:dyDescent="0.25"/>
    <row r="974" s="1769" customFormat="1" ht="15" hidden="1" x14ac:dyDescent="0.25"/>
    <row r="975" s="1769" customFormat="1" ht="15" hidden="1" x14ac:dyDescent="0.25"/>
    <row r="976" s="1769" customFormat="1" ht="15" hidden="1" x14ac:dyDescent="0.25"/>
    <row r="977" s="1769" customFormat="1" ht="15" hidden="1" x14ac:dyDescent="0.25"/>
    <row r="978" s="1769" customFormat="1" ht="15" hidden="1" x14ac:dyDescent="0.25"/>
    <row r="979" s="1769" customFormat="1" ht="15" hidden="1" x14ac:dyDescent="0.25"/>
    <row r="980" s="1769" customFormat="1" ht="15" hidden="1" x14ac:dyDescent="0.25"/>
    <row r="981" s="1769" customFormat="1" ht="15" hidden="1" x14ac:dyDescent="0.25"/>
    <row r="982" s="1769" customFormat="1" ht="15" hidden="1" x14ac:dyDescent="0.25"/>
    <row r="983" s="1769" customFormat="1" ht="15" hidden="1" x14ac:dyDescent="0.25"/>
    <row r="984" s="1769" customFormat="1" ht="15" hidden="1" x14ac:dyDescent="0.25"/>
    <row r="985" s="1769" customFormat="1" ht="15" hidden="1" x14ac:dyDescent="0.25"/>
    <row r="986" s="1769" customFormat="1" ht="15" hidden="1" x14ac:dyDescent="0.25"/>
    <row r="987" s="1769" customFormat="1" ht="15" hidden="1" x14ac:dyDescent="0.25"/>
    <row r="988" s="1769" customFormat="1" ht="15" hidden="1" x14ac:dyDescent="0.25"/>
    <row r="989" s="1769" customFormat="1" ht="15" hidden="1" x14ac:dyDescent="0.25"/>
    <row r="990" s="1769" customFormat="1" ht="15" hidden="1" x14ac:dyDescent="0.25"/>
    <row r="991" s="1769" customFormat="1" ht="15" hidden="1" x14ac:dyDescent="0.25"/>
    <row r="992" s="1769" customFormat="1" ht="15" hidden="1" x14ac:dyDescent="0.25"/>
    <row r="993" s="1769" customFormat="1" ht="15" hidden="1" x14ac:dyDescent="0.25"/>
    <row r="994" s="1769" customFormat="1" ht="15" hidden="1" x14ac:dyDescent="0.25"/>
    <row r="995" s="1769" customFormat="1" ht="15" hidden="1" x14ac:dyDescent="0.25"/>
    <row r="996" s="1769" customFormat="1" ht="15" hidden="1" x14ac:dyDescent="0.25"/>
    <row r="997" s="1769" customFormat="1" ht="15" hidden="1" x14ac:dyDescent="0.25"/>
    <row r="998" s="1769" customFormat="1" ht="15" hidden="1" x14ac:dyDescent="0.25"/>
    <row r="999" s="1769" customFormat="1" ht="15" hidden="1" x14ac:dyDescent="0.25"/>
    <row r="1000" s="1769" customFormat="1" ht="15" hidden="1" x14ac:dyDescent="0.25"/>
    <row r="1001" s="1769" customFormat="1" ht="15" hidden="1" x14ac:dyDescent="0.25"/>
    <row r="1002" s="1769" customFormat="1" ht="15" hidden="1" x14ac:dyDescent="0.25"/>
  </sheetData>
  <sheetProtection algorithmName="SHA-512" hashValue="LGvCMfiM8wnv3zs/ubSVN/SSLKfxNGpgkbFiQrTVbr8ycqzr+LONTADf0iEpAXP5p+pM6Wyxwu4HrQSP1ATzxw==" saltValue="vF17pKBKPUAO1hf+C7q5sw==" spinCount="100000" sheet="1" objects="1" scenarios="1"/>
  <mergeCells count="93">
    <mergeCell ref="F105:G105"/>
    <mergeCell ref="G28:I28"/>
    <mergeCell ref="G29:I29"/>
    <mergeCell ref="G30:I30"/>
    <mergeCell ref="G31:I31"/>
    <mergeCell ref="G32:I32"/>
    <mergeCell ref="E87:J87"/>
    <mergeCell ref="E85:H85"/>
    <mergeCell ref="F81:H81"/>
    <mergeCell ref="F82:H82"/>
    <mergeCell ref="F83:H83"/>
    <mergeCell ref="E84:H84"/>
    <mergeCell ref="G34:H34"/>
    <mergeCell ref="G33:H33"/>
    <mergeCell ref="G42:H42"/>
    <mergeCell ref="E86:H86"/>
    <mergeCell ref="AR1:BC2"/>
    <mergeCell ref="G27:H27"/>
    <mergeCell ref="G22:H22"/>
    <mergeCell ref="G9:H9"/>
    <mergeCell ref="E3:O3"/>
    <mergeCell ref="G26:H26"/>
    <mergeCell ref="G10:H10"/>
    <mergeCell ref="G11:H11"/>
    <mergeCell ref="F25:H25"/>
    <mergeCell ref="G12:H12"/>
    <mergeCell ref="G17:H17"/>
    <mergeCell ref="G24:H24"/>
    <mergeCell ref="G23:H23"/>
    <mergeCell ref="G20:H20"/>
    <mergeCell ref="F19:H19"/>
    <mergeCell ref="G21:H21"/>
    <mergeCell ref="AB36:AC36"/>
    <mergeCell ref="G35:J35"/>
    <mergeCell ref="F61:H61"/>
    <mergeCell ref="F60:H60"/>
    <mergeCell ref="C94:C99"/>
    <mergeCell ref="E96:L96"/>
    <mergeCell ref="D96:D99"/>
    <mergeCell ref="F98:G98"/>
    <mergeCell ref="F99:G99"/>
    <mergeCell ref="E95:J95"/>
    <mergeCell ref="G40:H40"/>
    <mergeCell ref="G75:H75"/>
    <mergeCell ref="E76:J76"/>
    <mergeCell ref="G39:H39"/>
    <mergeCell ref="AC68:AF68"/>
    <mergeCell ref="F68:M68"/>
    <mergeCell ref="F80:J80"/>
    <mergeCell ref="C3:D3"/>
    <mergeCell ref="F5:H5"/>
    <mergeCell ref="F8:H8"/>
    <mergeCell ref="F18:H18"/>
    <mergeCell ref="E19:E24"/>
    <mergeCell ref="C17:C27"/>
    <mergeCell ref="E4:H4"/>
    <mergeCell ref="F7:H7"/>
    <mergeCell ref="F6:H6"/>
    <mergeCell ref="G13:H13"/>
    <mergeCell ref="G14:H14"/>
    <mergeCell ref="G15:H15"/>
    <mergeCell ref="G16:H16"/>
    <mergeCell ref="E36:H36"/>
    <mergeCell ref="F38:H38"/>
    <mergeCell ref="N68:O68"/>
    <mergeCell ref="F51:H51"/>
    <mergeCell ref="F52:H52"/>
    <mergeCell ref="F78:H78"/>
    <mergeCell ref="F79:H79"/>
    <mergeCell ref="F77:H77"/>
    <mergeCell ref="D107:L107"/>
    <mergeCell ref="E88:J88"/>
    <mergeCell ref="E89:J89"/>
    <mergeCell ref="D90:D94"/>
    <mergeCell ref="F90:H90"/>
    <mergeCell ref="F93:H93"/>
    <mergeCell ref="F94:H94"/>
    <mergeCell ref="F97:G97"/>
    <mergeCell ref="F92:H92"/>
    <mergeCell ref="F91:H91"/>
    <mergeCell ref="F106:G106"/>
    <mergeCell ref="F100:G100"/>
    <mergeCell ref="F101:G101"/>
    <mergeCell ref="F102:G102"/>
    <mergeCell ref="F103:G103"/>
    <mergeCell ref="F104:G104"/>
    <mergeCell ref="F37:H37"/>
    <mergeCell ref="G44:H44"/>
    <mergeCell ref="G41:H41"/>
    <mergeCell ref="G43:H43"/>
    <mergeCell ref="F67:I67"/>
    <mergeCell ref="F45:H45"/>
    <mergeCell ref="F50:J50"/>
  </mergeCells>
  <dataValidations count="30">
    <dataValidation type="whole" allowBlank="1" showErrorMessage="1" error="  Non negative, no decimal, upto 99,999,999,999,999" sqref="J83 J27:J34 J38 J18:J19 H63:H66 J51 J5:J7 H54:H58">
      <formula1>0</formula1>
      <formula2>99999999999999</formula2>
    </dataValidation>
    <dataValidation operator="lessThanOrEqual" allowBlank="1" showInputMessage="1" showErrorMessage="1" errorTitle="Source Description" error="Source description should be Upto 50 characters only" sqref="G39:G44"/>
    <dataValidation type="textLength" operator="lessThanOrEqual" allowBlank="1" showInputMessage="1" showErrorMessage="1" errorTitle="Others Description" error="Do not exceed 50 characters" sqref="F50 H46:I46 G27 G33:G35 G29 G31">
      <formula1>50</formula1>
    </dataValidation>
    <dataValidation type="whole" allowBlank="1" showErrorMessage="1" error="  No decimal, upto 99,999,999,999,999 " sqref="L94:L95 L88">
      <formula1>-99999999999999</formula1>
      <formula2>99999999999999</formula2>
    </dataValidation>
    <dataValidation type="textLength" operator="lessThanOrEqual" allowBlank="1" showInputMessage="1" showErrorMessage="1" error="Upto 50 characters only" sqref="I51:I53 I39:I44 J45 H59">
      <formula1>50</formula1>
    </dataValidation>
    <dataValidation type="list" allowBlank="1" showErrorMessage="1" errorTitle="CountryCode" error="  Please select from list" sqref="I70:I74">
      <formula1>FSI_newcountrycod</formula1>
    </dataValidation>
    <dataValidation type="list" allowBlank="1" showInputMessage="1" showErrorMessage="1" error="Please select from list" sqref="L70:L74">
      <formula1>"(Select),Yes,No"</formula1>
    </dataValidation>
    <dataValidation type="whole" allowBlank="1" showInputMessage="1" showErrorMessage="1" error="Non negative, no decimal, upto 99,999,999,999,999" sqref="G70:G74">
      <formula1>0</formula1>
      <formula2>99999999999999</formula2>
    </dataValidation>
    <dataValidation type="decimal" allowBlank="1" showInputMessage="1" showErrorMessage="1" errorTitle="Rate of Tax Under DTAA" error="Minimum value cannot be less than 0 and Maximum value cannot be greater than 100" sqref="K70:K74">
      <formula1>0</formula1>
      <formula2>100</formula2>
    </dataValidation>
    <dataValidation type="textLength" allowBlank="1" showInputMessage="1" showErrorMessage="1" error="Article of DTAA cannot be greater than 16 charachters" sqref="J70:J74">
      <formula1>0</formula1>
      <formula2>16</formula2>
    </dataValidation>
    <dataValidation type="list" allowBlank="1" showInputMessage="1" showErrorMessage="1" sqref="M72 G54:G58 M70">
      <formula1>INDIRECT(IF(MID(Sheet1.115H,1,1)="Y","OS_ALL",IF(MID(sheet1.ResidentialStatus1,1,3)&lt;&gt;"NRI","OS_RESandNOR","OS_NRI")))</formula1>
    </dataValidation>
    <dataValidation type="whole" allowBlank="1" showErrorMessage="1" errorTitle="Amount" error="Amount entered should be Numeric,  Non negative, no decimal, upto 99,999,999,999,999" sqref="J39:J44 J37 J20:J22 J24">
      <formula1>0</formula1>
      <formula2>99999999999999</formula2>
    </dataValidation>
    <dataValidation type="decimal" allowBlank="1" showInputMessage="1" showErrorMessage="1" errorTitle="Rate as per I.T. Act" error="Minimum value cannot be less than 0 and Maximum value cannot be greater than 100" sqref="N70:N74">
      <formula1>0</formula1>
      <formula2>100</formula2>
    </dataValidation>
    <dataValidation type="whole" allowBlank="1" showErrorMessage="1" error="Amount entered Should be Numeric, Non negative, no decimal, upto 99,999,999,999,999" sqref="J81:J82 J84:J86 J90:J93 J77 J79 H98:L99">
      <formula1>0</formula1>
      <formula2>99999999999999</formula2>
    </dataValidation>
    <dataValidation type="whole" allowBlank="1" showErrorMessage="1" error="Amount entered should be Numeric,Non-negative,Nodecimal upto 14 digits" sqref="J9:J11 J17">
      <formula1>0</formula1>
      <formula2>99999999999999</formula2>
    </dataValidation>
    <dataValidation type="list" allowBlank="1" showInputMessage="1" showErrorMessage="1" error="Please select from the Dropdown" sqref="G47:G49">
      <formula1>"(Select),2000-01,2001-02,2002-03,2003-04,2004-05,2005-06,2006-07,2007-08,2008-09,2009-10,2010-11,2011-12,2012-13,2013-14,2014-15,2015-16,2016-17,2017-18,2018-19,2019-20,2020-21,2021-22"</formula1>
    </dataValidation>
    <dataValidation type="whole" allowBlank="1" showInputMessage="1" showErrorMessage="1" errorTitle="Income Benefit" error="Amount entered should be Numeric,Non-negative and no decimal upto 14 digits" sqref="H47:I49">
      <formula1>0</formula1>
      <formula2>99999999999999</formula2>
    </dataValidation>
    <dataValidation type="whole" allowBlank="1" showErrorMessage="1" error="Amount entered should be Numeric, Non negative, no decimal, upto 14 digits" sqref="J47:J49">
      <formula1>0</formula1>
      <formula2>99999999999999</formula2>
    </dataValidation>
    <dataValidation allowBlank="1" showErrorMessage="1" sqref="L97 J26"/>
    <dataValidation type="list" allowBlank="1" showInputMessage="1" showErrorMessage="1" sqref="G63:G66 M71 M73:M74">
      <formula1>INDIRECT(IF(MID(Sheet1.115H,1,1)="Y","OS_PTI_115H",IF(MID(sheet1.ResidentialStatus1,1,3)&lt;&gt;"NRI","OS_PTI_RES","OS_PTI_NRI")))</formula1>
    </dataValidation>
    <dataValidation type="list" allowBlank="1" showInputMessage="1" showErrorMessage="1" error="Non negative, no decimal, upto 99,999,999,999,999" sqref="H70:H74">
      <formula1>"(Select),1ai,1b,1c,1d,2a,2d,2e"</formula1>
    </dataValidation>
    <dataValidation type="whole" allowBlank="1" showErrorMessage="1" error=" Non negative, No decimal, upto 99,999,999,999,999 " sqref="L87">
      <formula1>0</formula1>
      <formula2>99999999999999</formula2>
    </dataValidation>
    <dataValidation type="whole" allowBlank="1" showErrorMessage="1" errorTitle="Deduction u/s 579(iia)" error="Deduction u/s 579(iia) Should be Numeric, Non negative, no decimal up to 15000" sqref="J78">
      <formula1>0</formula1>
      <formula2>15000</formula2>
    </dataValidation>
    <dataValidation type="whole" allowBlank="1" showErrorMessage="1" errorTitle="Amount" error="Amount entered should be Numeric , Non negative , No decimal, upto 99,999,999,999,999" sqref="J23">
      <formula1>0</formula1>
      <formula2>99999999999999</formula2>
    </dataValidation>
    <dataValidation type="whole" allowBlank="1" showErrorMessage="1" error="Amount entered should be Numeric,No decimal upto 14 digits" sqref="J12">
      <formula1>-9999999999999</formula1>
      <formula2>99999999999999</formula2>
    </dataValidation>
    <dataValidation type="whole" allowBlank="1" showErrorMessage="1" error="  Non negative, no decimal, upto 99,999,999,999,999" sqref="J8">
      <formula1>-99999999999999</formula1>
      <formula2>99999999999999</formula2>
    </dataValidation>
    <dataValidation operator="lessThanOrEqual" allowBlank="1" showInputMessage="1" showErrorMessage="1" errorTitle="Others Description" error="Do not exceed 50 characters" sqref="G28 G32:I32"/>
    <dataValidation type="whole" allowBlank="1" showErrorMessage="1" error="Amount entered Should be Numeric, Non negative, no decimal up to 14 digit " sqref="H100:L106">
      <formula1>0</formula1>
      <formula2>99999999999999</formula2>
    </dataValidation>
    <dataValidation type="whole" allowBlank="1" showErrorMessage="1" error="Amount entered should be Numeric,  Non negative, no decimal, upto 99,999,999,999,999" sqref="J13:J16">
      <formula1>0</formula1>
      <formula2>99999999999999</formula2>
    </dataValidation>
    <dataValidation type="textLength" operator="lessThanOrEqual" allowBlank="1" showInputMessage="1" showErrorMessage="1" errorTitle="Others Description" error="Do not exceed 50 characters" sqref="G30:I30">
      <formula1>70</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487" r:id="rId5" name="Button 7">
              <controlPr defaultSize="0" print="0" autoFill="0" autoPict="0" macro="[0]!AddRows_os">
                <anchor moveWithCells="1">
                  <from>
                    <xdr:col>5</xdr:col>
                    <xdr:colOff>28575</xdr:colOff>
                    <xdr:row>59</xdr:row>
                    <xdr:rowOff>28575</xdr:rowOff>
                  </from>
                  <to>
                    <xdr:col>6</xdr:col>
                    <xdr:colOff>1019175</xdr:colOff>
                    <xdr:row>59</xdr:row>
                    <xdr:rowOff>295275</xdr:rowOff>
                  </to>
                </anchor>
              </controlPr>
            </control>
          </mc:Choice>
        </mc:AlternateContent>
        <mc:AlternateContent xmlns:mc="http://schemas.openxmlformats.org/markup-compatibility/2006">
          <mc:Choice Requires="x14">
            <control shapeId="20494" r:id="rId6" name="Button 14">
              <controlPr defaultSize="0" print="0" autoFill="0" autoPict="0" macro="[0]!ValidateOSClick">
                <anchor>
                  <from>
                    <xdr:col>16</xdr:col>
                    <xdr:colOff>38100</xdr:colOff>
                    <xdr:row>6</xdr:row>
                    <xdr:rowOff>0</xdr:rowOff>
                  </from>
                  <to>
                    <xdr:col>18</xdr:col>
                    <xdr:colOff>561975</xdr:colOff>
                    <xdr:row>7</xdr:row>
                    <xdr:rowOff>133350</xdr:rowOff>
                  </to>
                </anchor>
              </controlPr>
            </control>
          </mc:Choice>
        </mc:AlternateContent>
        <mc:AlternateContent xmlns:mc="http://schemas.openxmlformats.org/markup-compatibility/2006">
          <mc:Choice Requires="x14">
            <control shapeId="20498" r:id="rId7" name="Button 18">
              <controlPr defaultSize="0" print="0" autoFill="0" autoPict="0" macro="[0]!Prev_Sheet">
                <anchor>
                  <from>
                    <xdr:col>16</xdr:col>
                    <xdr:colOff>38100</xdr:colOff>
                    <xdr:row>9</xdr:row>
                    <xdr:rowOff>104775</xdr:rowOff>
                  </from>
                  <to>
                    <xdr:col>18</xdr:col>
                    <xdr:colOff>561975</xdr:colOff>
                    <xdr:row>11</xdr:row>
                    <xdr:rowOff>57150</xdr:rowOff>
                  </to>
                </anchor>
              </controlPr>
            </control>
          </mc:Choice>
        </mc:AlternateContent>
        <mc:AlternateContent xmlns:mc="http://schemas.openxmlformats.org/markup-compatibility/2006">
          <mc:Choice Requires="x14">
            <control shapeId="20499" r:id="rId8" name="Button 19">
              <controlPr defaultSize="0" print="0" autoFill="0" autoPict="0" macro="[0]!Img_Home_Click">
                <anchor>
                  <from>
                    <xdr:col>16</xdr:col>
                    <xdr:colOff>38100</xdr:colOff>
                    <xdr:row>4</xdr:row>
                    <xdr:rowOff>38100</xdr:rowOff>
                  </from>
                  <to>
                    <xdr:col>18</xdr:col>
                    <xdr:colOff>561975</xdr:colOff>
                    <xdr:row>5</xdr:row>
                    <xdr:rowOff>152400</xdr:rowOff>
                  </to>
                </anchor>
              </controlPr>
            </control>
          </mc:Choice>
        </mc:AlternateContent>
        <mc:AlternateContent xmlns:mc="http://schemas.openxmlformats.org/markup-compatibility/2006">
          <mc:Choice Requires="x14">
            <control shapeId="20501" r:id="rId9" name="Button 21">
              <controlPr defaultSize="0" print="0" autoFill="0" autoPict="0" macro="[0]!Next_Sheet">
                <anchor>
                  <from>
                    <xdr:col>16</xdr:col>
                    <xdr:colOff>38100</xdr:colOff>
                    <xdr:row>7</xdr:row>
                    <xdr:rowOff>152400</xdr:rowOff>
                  </from>
                  <to>
                    <xdr:col>18</xdr:col>
                    <xdr:colOff>561975</xdr:colOff>
                    <xdr:row>9</xdr:row>
                    <xdr:rowOff>76200</xdr:rowOff>
                  </to>
                </anchor>
              </controlPr>
            </control>
          </mc:Choice>
        </mc:AlternateContent>
        <mc:AlternateContent xmlns:mc="http://schemas.openxmlformats.org/markup-compatibility/2006">
          <mc:Choice Requires="x14">
            <control shapeId="20502" r:id="rId10" name="Button 22">
              <controlPr defaultSize="0" print="0" autoFill="0" autoPict="0" macro="[0]!Instruction_Sheet">
                <anchor>
                  <from>
                    <xdr:col>16</xdr:col>
                    <xdr:colOff>38100</xdr:colOff>
                    <xdr:row>13</xdr:row>
                    <xdr:rowOff>171450</xdr:rowOff>
                  </from>
                  <to>
                    <xdr:col>18</xdr:col>
                    <xdr:colOff>561975</xdr:colOff>
                    <xdr:row>14</xdr:row>
                    <xdr:rowOff>114300</xdr:rowOff>
                  </to>
                </anchor>
              </controlPr>
            </control>
          </mc:Choice>
        </mc:AlternateContent>
        <mc:AlternateContent xmlns:mc="http://schemas.openxmlformats.org/markup-compatibility/2006">
          <mc:Choice Requires="x14">
            <control shapeId="20503" r:id="rId11" name="Button 23">
              <controlPr defaultSize="0" print="0" autoFill="0" autoPict="0" macro="[0]!WorksheetsPrint">
                <anchor>
                  <from>
                    <xdr:col>16</xdr:col>
                    <xdr:colOff>38100</xdr:colOff>
                    <xdr:row>12</xdr:row>
                    <xdr:rowOff>219075</xdr:rowOff>
                  </from>
                  <to>
                    <xdr:col>18</xdr:col>
                    <xdr:colOff>561975</xdr:colOff>
                    <xdr:row>13</xdr:row>
                    <xdr:rowOff>152400</xdr:rowOff>
                  </to>
                </anchor>
              </controlPr>
            </control>
          </mc:Choice>
        </mc:AlternateContent>
        <mc:AlternateContent xmlns:mc="http://schemas.openxmlformats.org/markup-compatibility/2006">
          <mc:Choice Requires="x14">
            <control shapeId="20504" r:id="rId12" name="Button 24">
              <controlPr defaultSize="0" print="0" autoFill="0" autoPict="0" macro="[0]!GenerateJSON.GenerateJSON">
                <anchor>
                  <from>
                    <xdr:col>16</xdr:col>
                    <xdr:colOff>38100</xdr:colOff>
                    <xdr:row>11</xdr:row>
                    <xdr:rowOff>76200</xdr:rowOff>
                  </from>
                  <to>
                    <xdr:col>18</xdr:col>
                    <xdr:colOff>561975</xdr:colOff>
                    <xdr:row>12</xdr:row>
                    <xdr:rowOff>190500</xdr:rowOff>
                  </to>
                </anchor>
              </controlPr>
            </control>
          </mc:Choice>
        </mc:AlternateContent>
        <mc:AlternateContent xmlns:mc="http://schemas.openxmlformats.org/markup-compatibility/2006">
          <mc:Choice Requires="x14">
            <control shapeId="20520" r:id="rId13" name="Button 40">
              <controlPr defaultSize="0" print="0" autoFill="0" autoPict="0" macro="[0]!AddRowsOS_DTAA">
                <anchor moveWithCells="1">
                  <from>
                    <xdr:col>6</xdr:col>
                    <xdr:colOff>28575</xdr:colOff>
                    <xdr:row>74</xdr:row>
                    <xdr:rowOff>76200</xdr:rowOff>
                  </from>
                  <to>
                    <xdr:col>6</xdr:col>
                    <xdr:colOff>1400175</xdr:colOff>
                    <xdr:row>74</xdr:row>
                    <xdr:rowOff>361950</xdr:rowOff>
                  </to>
                </anchor>
              </controlPr>
            </control>
          </mc:Choice>
        </mc:AlternateContent>
        <mc:AlternateContent xmlns:mc="http://schemas.openxmlformats.org/markup-compatibility/2006">
          <mc:Choice Requires="x14">
            <control shapeId="20548" r:id="rId14" name="Button 68">
              <controlPr defaultSize="0" print="0" autoFill="0" autoPict="0" macro="[0]!AddRows_os1">
                <anchor moveWithCells="1">
                  <from>
                    <xdr:col>6</xdr:col>
                    <xdr:colOff>28575</xdr:colOff>
                    <xdr:row>34</xdr:row>
                    <xdr:rowOff>28575</xdr:rowOff>
                  </from>
                  <to>
                    <xdr:col>6</xdr:col>
                    <xdr:colOff>1400175</xdr:colOff>
                    <xdr:row>34</xdr:row>
                    <xdr:rowOff>295275</xdr:rowOff>
                  </to>
                </anchor>
              </controlPr>
            </control>
          </mc:Choice>
        </mc:AlternateContent>
        <mc:AlternateContent xmlns:mc="http://schemas.openxmlformats.org/markup-compatibility/2006">
          <mc:Choice Requires="x14">
            <control shapeId="20577" r:id="rId15" name="Button 97">
              <controlPr defaultSize="0" print="0" autoFill="0" autoPict="0" macro="[0]!AddRows_os111">
                <anchor moveWithCells="1">
                  <from>
                    <xdr:col>5</xdr:col>
                    <xdr:colOff>28575</xdr:colOff>
                    <xdr:row>49</xdr:row>
                    <xdr:rowOff>28575</xdr:rowOff>
                  </from>
                  <to>
                    <xdr:col>6</xdr:col>
                    <xdr:colOff>1019175</xdr:colOff>
                    <xdr:row>49</xdr:row>
                    <xdr:rowOff>295275</xdr:rowOff>
                  </to>
                </anchor>
              </controlPr>
            </control>
          </mc:Choice>
        </mc:AlternateContent>
        <mc:AlternateContent xmlns:mc="http://schemas.openxmlformats.org/markup-compatibility/2006">
          <mc:Choice Requires="x14">
            <control shapeId="20643" r:id="rId16" name="Button 163">
              <controlPr defaultSize="0" print="0" autoFill="0" autoPict="0" macro="[0]!AddRows_os_e">
                <anchor moveWithCells="1">
                  <from>
                    <xdr:col>5</xdr:col>
                    <xdr:colOff>28575</xdr:colOff>
                    <xdr:row>66</xdr:row>
                    <xdr:rowOff>28575</xdr:rowOff>
                  </from>
                  <to>
                    <xdr:col>6</xdr:col>
                    <xdr:colOff>1019175</xdr:colOff>
                    <xdr:row>66</xdr:row>
                    <xdr:rowOff>295275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XFC65536"/>
  <sheetViews>
    <sheetView showGridLines="0" showRowColHeaders="0" zoomScaleNormal="100" workbookViewId="0">
      <selection activeCell="H20" sqref="H20"/>
    </sheetView>
  </sheetViews>
  <sheetFormatPr defaultColWidth="0" defaultRowHeight="12.75" customHeight="1" zeroHeight="1" x14ac:dyDescent="0.2"/>
  <cols>
    <col min="1" max="2" width="3.85546875" style="121" customWidth="1"/>
    <col min="3" max="3" width="5.28515625" style="121" customWidth="1"/>
    <col min="4" max="4" width="9.140625" style="121" customWidth="1"/>
    <col min="5" max="5" width="19.7109375" style="121" customWidth="1"/>
    <col min="6" max="6" width="17.85546875" style="121" customWidth="1"/>
    <col min="7" max="7" width="15" style="121" customWidth="1"/>
    <col min="8" max="8" width="25.85546875" style="121" customWidth="1"/>
    <col min="9" max="9" width="18.42578125" style="121" customWidth="1"/>
    <col min="10" max="10" width="17.5703125" style="121" customWidth="1"/>
    <col min="11" max="11" width="3.7109375" style="124" customWidth="1"/>
    <col min="12" max="12" width="27.85546875" style="124" customWidth="1"/>
    <col min="13" max="16383" width="3.28515625" style="121" hidden="1"/>
    <col min="16384" max="16384" width="2.5703125" style="121" hidden="1"/>
  </cols>
  <sheetData>
    <row r="1" spans="2:53" ht="11.25" customHeight="1" thickBot="1" x14ac:dyDescent="0.25"/>
    <row r="2" spans="2:53" ht="15" customHeight="1" x14ac:dyDescent="0.2">
      <c r="B2" s="1794"/>
      <c r="C2" s="1795"/>
      <c r="D2" s="1795"/>
      <c r="E2" s="1795"/>
      <c r="F2" s="1795"/>
      <c r="G2" s="1795"/>
      <c r="H2" s="1795"/>
      <c r="I2" s="1795"/>
      <c r="J2" s="1795"/>
      <c r="K2" s="1843"/>
    </row>
    <row r="3" spans="2:53" ht="12.75" customHeight="1" x14ac:dyDescent="0.2">
      <c r="B3" s="1797"/>
      <c r="C3" s="3728" t="s">
        <v>1053</v>
      </c>
      <c r="D3" s="3728"/>
      <c r="E3" s="3728"/>
      <c r="F3" s="3191" t="s">
        <v>1054</v>
      </c>
      <c r="G3" s="3192"/>
      <c r="H3" s="3192"/>
      <c r="I3" s="3192"/>
      <c r="J3" s="3657"/>
      <c r="K3" s="1184"/>
      <c r="L3" s="386"/>
    </row>
    <row r="4" spans="2:53" ht="75" customHeight="1" x14ac:dyDescent="0.2">
      <c r="B4" s="1797"/>
      <c r="C4" s="3355" t="s">
        <v>1055</v>
      </c>
      <c r="D4" s="8" t="s">
        <v>1056</v>
      </c>
      <c r="E4" s="2065" t="s">
        <v>1057</v>
      </c>
      <c r="F4" s="2065" t="s">
        <v>1058</v>
      </c>
      <c r="G4" s="2065" t="s">
        <v>1059</v>
      </c>
      <c r="H4" s="2065" t="s">
        <v>7351</v>
      </c>
      <c r="I4" s="2065" t="s">
        <v>1060</v>
      </c>
      <c r="J4" s="2065" t="s">
        <v>1061</v>
      </c>
      <c r="K4" s="1836"/>
      <c r="P4" s="121" t="s">
        <v>1561</v>
      </c>
    </row>
    <row r="5" spans="2:53" ht="45" customHeight="1" x14ac:dyDescent="0.2">
      <c r="B5" s="1797"/>
      <c r="C5" s="3355"/>
      <c r="D5" s="3729" t="s">
        <v>287</v>
      </c>
      <c r="E5" s="3729" t="s">
        <v>7598</v>
      </c>
      <c r="F5" s="8"/>
      <c r="G5" s="725" t="s">
        <v>9716</v>
      </c>
      <c r="H5" s="725" t="s">
        <v>7599</v>
      </c>
      <c r="I5" s="725" t="s">
        <v>9717</v>
      </c>
      <c r="J5" s="8"/>
      <c r="K5" s="1836"/>
      <c r="N5" s="121" t="s">
        <v>1558</v>
      </c>
      <c r="O5" s="121" t="s">
        <v>1559</v>
      </c>
      <c r="P5" s="121" t="s">
        <v>1324</v>
      </c>
      <c r="R5" s="121" t="s">
        <v>1556</v>
      </c>
      <c r="S5" s="121" t="s">
        <v>1557</v>
      </c>
      <c r="T5" s="121" t="s">
        <v>1560</v>
      </c>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X5" s="1823"/>
      <c r="AY5" s="1823"/>
      <c r="AZ5" s="459"/>
      <c r="BA5" s="459"/>
    </row>
    <row r="6" spans="2:53" ht="12.75" customHeight="1" x14ac:dyDescent="0.2">
      <c r="B6" s="1797"/>
      <c r="C6" s="3355"/>
      <c r="D6" s="3730"/>
      <c r="E6" s="3730"/>
      <c r="F6" s="9"/>
      <c r="G6" s="1448">
        <f>ABS(MIN(HP.TotalIncomeChargeableUnHP,0))</f>
        <v>0</v>
      </c>
      <c r="H6" s="1019">
        <f>ABS(MIN(sheet12.NetPLBusOthThanSpec7A7B7C +MAX(sheet12.AdjustedPLFrmSpecuBus,0)+MAX(sheet12.AdjustedPLFrmSpecifiedBus,0),0))</f>
        <v>0</v>
      </c>
      <c r="I6" s="1448">
        <f>ABS(MIN(os.BalanceNoRaceHorse+MAX(0,0),0))</f>
        <v>0</v>
      </c>
      <c r="J6" s="9"/>
      <c r="K6" s="1836"/>
      <c r="N6" s="121">
        <f>ABS(MIN(HP.REStwolakh,0))</f>
        <v>0</v>
      </c>
      <c r="R6" s="121">
        <f>ABS(MIN(HP.TotalIncomeChargeableUnHP,0))</f>
        <v>0</v>
      </c>
      <c r="S6" s="121">
        <f>ABS(MIN(sheet12.NetPLBusOthThanSpec7A7B7C +MAX(sheet12.AdjustedPLFrmSpecuBus,0)++MAX(sheet12.AdjustedPLFrmSpecifiedBus,0),0))</f>
        <v>0</v>
      </c>
      <c r="T6" s="121">
        <f>ABS(MIN(os.BalanceNoRaceHorse+MAX(0,0),0))</f>
        <v>0</v>
      </c>
      <c r="Z6" s="459"/>
      <c r="AA6" s="459"/>
      <c r="AB6" s="459"/>
      <c r="AC6" s="459"/>
      <c r="AD6" s="459"/>
      <c r="AE6" s="459"/>
      <c r="AF6" s="459"/>
      <c r="AG6" s="459"/>
      <c r="AH6" s="459"/>
      <c r="AI6" s="459"/>
      <c r="AJ6" s="459"/>
      <c r="AK6" s="459"/>
      <c r="AL6" s="459"/>
      <c r="AM6" s="459"/>
      <c r="AN6" s="459"/>
      <c r="AO6" s="459"/>
      <c r="AP6" s="459"/>
      <c r="AQ6" s="459"/>
      <c r="AR6" s="459"/>
      <c r="AS6" s="459"/>
      <c r="AT6" s="459"/>
      <c r="AU6" s="459"/>
      <c r="AV6" s="459"/>
    </row>
    <row r="7" spans="2:53" ht="12.75" customHeight="1" x14ac:dyDescent="0.2">
      <c r="B7" s="1797"/>
      <c r="C7" s="3355"/>
      <c r="D7" s="3731"/>
      <c r="E7" s="3731"/>
      <c r="F7" s="6">
        <v>1</v>
      </c>
      <c r="G7" s="726">
        <v>2</v>
      </c>
      <c r="H7" s="726">
        <v>3</v>
      </c>
      <c r="I7" s="727">
        <v>4</v>
      </c>
      <c r="J7" s="254" t="s">
        <v>1062</v>
      </c>
      <c r="K7" s="1836"/>
      <c r="Z7" s="459"/>
      <c r="AA7" s="459"/>
      <c r="AB7" s="459"/>
      <c r="AC7" s="459"/>
      <c r="AD7" s="459"/>
      <c r="AE7" s="459"/>
      <c r="AF7" s="459"/>
      <c r="AG7" s="459"/>
      <c r="AH7" s="459"/>
      <c r="AI7" s="459"/>
      <c r="AJ7" s="459"/>
      <c r="AK7" s="459"/>
      <c r="AL7" s="459"/>
      <c r="AM7" s="459"/>
      <c r="AN7" s="459"/>
      <c r="AO7" s="459"/>
      <c r="AP7" s="459"/>
      <c r="AQ7" s="459"/>
      <c r="AR7" s="459"/>
      <c r="AS7" s="459"/>
      <c r="AT7" s="459"/>
      <c r="AU7" s="459"/>
      <c r="AV7" s="459"/>
    </row>
    <row r="8" spans="2:53" ht="12.75" customHeight="1" x14ac:dyDescent="0.2">
      <c r="B8" s="1797"/>
      <c r="C8" s="3355"/>
      <c r="D8" s="231" t="s">
        <v>290</v>
      </c>
      <c r="E8" s="728" t="s">
        <v>1063</v>
      </c>
      <c r="F8" s="1391">
        <f>(SAL.IncomeFromSalary1)</f>
        <v>0</v>
      </c>
      <c r="G8" s="1391">
        <v>0</v>
      </c>
      <c r="H8" s="1485"/>
      <c r="I8" s="1391">
        <v>0</v>
      </c>
      <c r="J8" s="729">
        <f>ROUND((salary.IncOfCurYrUnderThatHead1-salary.HPlossCurYrSetoff1-salary.OthSrcLossNoRaceHorseSetoff1),0)</f>
        <v>0</v>
      </c>
      <c r="K8" s="1836"/>
      <c r="N8" s="121">
        <f>IF(R6&lt;(salary.IncOfCurYrUnderThatHead1-salary.OthSrcLossNoRaceHorseSetoff1),R6,(salary.IncOfCurYrUnderThatHead1-salary.OthSrcLossNoRaceHorseSetoff1))</f>
        <v>0</v>
      </c>
      <c r="P8" s="121">
        <f>IF(T21&lt;salary.IncOfCurYrUnderThatHead1,T21,salary.IncOfCurYrUnderThatHead1)</f>
        <v>0</v>
      </c>
      <c r="Q8" s="121" t="s">
        <v>287</v>
      </c>
      <c r="R8" s="121">
        <f>cyla.TotHPlossCurYr-salary.HPlossCurYrSetoff1</f>
        <v>0</v>
      </c>
      <c r="T8" s="121">
        <f>(T21-salary.OthSrcLossNoRaceHorseSetoff1)</f>
        <v>0</v>
      </c>
      <c r="Z8" s="459"/>
      <c r="AA8" s="459"/>
      <c r="AB8" s="459"/>
      <c r="AC8" s="459"/>
      <c r="AD8" s="459"/>
      <c r="AE8" s="459"/>
      <c r="AF8" s="459"/>
      <c r="AG8" s="459"/>
      <c r="AH8" s="459"/>
      <c r="AI8" s="459"/>
      <c r="AJ8" s="459"/>
      <c r="AK8" s="459"/>
      <c r="AL8" s="459"/>
      <c r="AM8" s="459"/>
      <c r="AN8" s="459"/>
      <c r="AO8" s="459"/>
      <c r="AP8" s="459"/>
      <c r="AQ8" s="459"/>
      <c r="AR8" s="459"/>
      <c r="AS8" s="459"/>
      <c r="AT8" s="459"/>
      <c r="AU8" s="459"/>
      <c r="AV8" s="459"/>
    </row>
    <row r="9" spans="2:53" ht="12.75" customHeight="1" x14ac:dyDescent="0.2">
      <c r="B9" s="1797"/>
      <c r="C9" s="3355"/>
      <c r="D9" s="8" t="s">
        <v>293</v>
      </c>
      <c r="E9" s="9" t="s">
        <v>1064</v>
      </c>
      <c r="F9" s="1391">
        <f>MAX(0,HP.TotalIncomeChargeableUnHP)</f>
        <v>0</v>
      </c>
      <c r="G9" s="1486"/>
      <c r="H9" s="1391">
        <v>0</v>
      </c>
      <c r="I9" s="1391">
        <v>0</v>
      </c>
      <c r="J9" s="1391">
        <f>ROUND((hp.IncOfCurYrUnderThatHead2-hp.BusLossSetoff2-hp.OthSrcLossNoRaceHorseSetoff2),0)</f>
        <v>0</v>
      </c>
      <c r="K9" s="1836"/>
      <c r="O9" s="121">
        <f>IF(S6&lt;(hp.IncOfCurYrUnderThatHead2-hp.OthSrcLossNoRaceHorseSetoff2),S6,(hp.IncOfCurYrUnderThatHead2-hp.OthSrcLossNoRaceHorseSetoff2))</f>
        <v>0</v>
      </c>
      <c r="P9" s="121">
        <f>IF(T8&lt;hp.IncOfCurYrUnderThatHead2,T8,hp.IncOfCurYrUnderThatHead2)</f>
        <v>0</v>
      </c>
      <c r="Q9" s="121" t="s">
        <v>290</v>
      </c>
      <c r="S9" s="121">
        <f>S6-hp.BusLossSetoff2</f>
        <v>0</v>
      </c>
      <c r="T9" s="121">
        <f>(T8-hp.OthSrcLossNoRaceHorseSetoff2)</f>
        <v>0</v>
      </c>
      <c r="Z9" s="459"/>
      <c r="AA9" s="459"/>
      <c r="AB9" s="459"/>
      <c r="AC9" s="459"/>
      <c r="AD9" s="459"/>
      <c r="AE9" s="459"/>
      <c r="AF9" s="459"/>
      <c r="AG9" s="459"/>
      <c r="AH9" s="459"/>
      <c r="AI9" s="459"/>
      <c r="AJ9" s="459"/>
      <c r="AK9" s="459"/>
      <c r="AL9" s="459"/>
      <c r="AM9" s="459"/>
      <c r="AN9" s="459"/>
      <c r="AO9" s="459"/>
      <c r="AP9" s="459"/>
      <c r="AQ9" s="459"/>
      <c r="AR9" s="459"/>
      <c r="AS9" s="459"/>
      <c r="AT9" s="459"/>
      <c r="AU9" s="459"/>
      <c r="AV9" s="459"/>
    </row>
    <row r="10" spans="2:53" ht="75.75" customHeight="1" x14ac:dyDescent="0.2">
      <c r="B10" s="1797"/>
      <c r="C10" s="3355"/>
      <c r="D10" s="8" t="s">
        <v>296</v>
      </c>
      <c r="E10" s="2004" t="s">
        <v>1065</v>
      </c>
      <c r="F10" s="1391">
        <f>MAX(0,sheet12.NetPLBusOthThanSpec7A7B7C)</f>
        <v>0</v>
      </c>
      <c r="G10" s="1391">
        <v>0</v>
      </c>
      <c r="H10" s="1487"/>
      <c r="I10" s="1391">
        <v>0</v>
      </c>
      <c r="J10" s="1391">
        <f>ROUND((busprof.IncOfCurYrUnderThatHead-G10-I10),0)</f>
        <v>0</v>
      </c>
      <c r="K10" s="1836"/>
      <c r="N10" s="121">
        <f>IF(R8&lt;(busprof.IncOfCurYrUnderThatHead-busprof.OthSrcLossNoRaceHorseSetoff),R8,(busprof.IncOfCurYrUnderThatHead-busprof.OthSrcLossNoRaceHorseSetoff))</f>
        <v>0</v>
      </c>
      <c r="P10" s="121">
        <f>IF(T9&lt;busprof.IncOfCurYrUnderThatHead,T9,busprof.IncOfCurYrUnderThatHead)</f>
        <v>0</v>
      </c>
      <c r="Q10" s="121" t="s">
        <v>293</v>
      </c>
      <c r="R10" s="121">
        <f>R8-busprof.HPlossCurYrSetoff</f>
        <v>0</v>
      </c>
      <c r="T10" s="121">
        <f>T9-busprof.OthSrcLossNoRaceHorseSetoff</f>
        <v>0</v>
      </c>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row>
    <row r="11" spans="2:53" ht="24.75" customHeight="1" x14ac:dyDescent="0.2">
      <c r="B11" s="1797"/>
      <c r="C11" s="3355"/>
      <c r="D11" s="8" t="s">
        <v>299</v>
      </c>
      <c r="E11" s="2004" t="s">
        <v>1066</v>
      </c>
      <c r="F11" s="1391">
        <f>MAX(0,sheet12.IncOfCurYrAfterSetOffa)</f>
        <v>0</v>
      </c>
      <c r="G11" s="1391">
        <v>0</v>
      </c>
      <c r="H11" s="1487"/>
      <c r="I11" s="1391">
        <v>0</v>
      </c>
      <c r="J11" s="1391">
        <f>ROUND((F11-G11-I11),0)</f>
        <v>0</v>
      </c>
      <c r="K11" s="1836"/>
      <c r="N11" s="121">
        <f>IF(R10&lt;(busprofspec.IncOfCurYrUnderThatHead0a-busprofspec.OthSrcLossNoRaceHorseSetoff0a),R10,(busprofspec.IncOfCurYrUnderThatHead0a-busprofspec.OthSrcLossNoRaceHorseSetoff0a))</f>
        <v>0</v>
      </c>
      <c r="P11" s="121">
        <f>IF(T10&lt;busprofspec.IncOfCurYrUnderThatHead0a,T10,busprofspec.IncOfCurYrUnderThatHead0a)</f>
        <v>0</v>
      </c>
      <c r="Q11" s="121" t="s">
        <v>296</v>
      </c>
      <c r="R11" s="1823">
        <f>R10-busprofspec.HPlossCurYrSetoff0a</f>
        <v>0</v>
      </c>
      <c r="T11" s="121">
        <f>(T10-busprofspec.OthSrcLossNoRaceHorseSetoff0a)</f>
        <v>0</v>
      </c>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row>
    <row r="12" spans="2:53" ht="33" customHeight="1" x14ac:dyDescent="0.2">
      <c r="B12" s="1797"/>
      <c r="C12" s="3355"/>
      <c r="D12" s="8" t="s">
        <v>430</v>
      </c>
      <c r="E12" s="2004" t="s">
        <v>1067</v>
      </c>
      <c r="F12" s="1391">
        <f>MAX(0,sheet12.IncOfCurYrAfterSetOffb)</f>
        <v>0</v>
      </c>
      <c r="G12" s="1391">
        <v>0</v>
      </c>
      <c r="H12" s="1487"/>
      <c r="I12" s="1391">
        <v>0</v>
      </c>
      <c r="J12" s="1391">
        <f>ROUND((F12-G12-I12),0)</f>
        <v>0</v>
      </c>
      <c r="K12" s="1836"/>
      <c r="N12" s="121">
        <f>IF(R11&lt;(busprofspecified.IncOfCurYrUnderThatHead0b-busprofspecified.OthSrcLossNoRaceHorseSetoff0b),R11,(busprofspecified.IncOfCurYrUnderThatHead0b-busprofspecified.OthSrcLossNoRaceHorseSetoff0b))</f>
        <v>0</v>
      </c>
      <c r="P12" s="121">
        <f>IF(T11&lt;busprofspecified.IncOfCurYrUnderThatHead0b,T11,busprofspecified.IncOfCurYrUnderThatHead0b)</f>
        <v>0</v>
      </c>
      <c r="Q12" s="121" t="s">
        <v>299</v>
      </c>
      <c r="R12" s="1823">
        <f>(R11-busprof0b.HPlossCurYrSetoff0b)</f>
        <v>0</v>
      </c>
      <c r="T12" s="121">
        <f>T11-busprofspecified.OthSrcLossNoRaceHorseSetoff0b</f>
        <v>0</v>
      </c>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row>
    <row r="13" spans="2:53" ht="33.75" customHeight="1" x14ac:dyDescent="0.2">
      <c r="B13" s="1797"/>
      <c r="C13" s="3355"/>
      <c r="D13" s="8" t="s">
        <v>432</v>
      </c>
      <c r="E13" s="2004" t="s">
        <v>1068</v>
      </c>
      <c r="F13" s="1391">
        <f>MAX(0,IHLA.Eii7_CurrYrCapGain)</f>
        <v>0</v>
      </c>
      <c r="G13" s="1391">
        <v>0</v>
      </c>
      <c r="H13" s="1391">
        <v>0</v>
      </c>
      <c r="I13" s="1391">
        <v>0</v>
      </c>
      <c r="J13" s="1391">
        <f t="shared" ref="J13:J22" si="0">ROUND((F13-G13-H13-I13),0)</f>
        <v>0</v>
      </c>
      <c r="K13" s="1836"/>
      <c r="N13" s="121">
        <f>IF(R18&lt;(stcg.IncOfCurYrUnderThatHead1-stcg.OthSrcLossNoRaceHorseSetoff1),R18,(stcg.IncOfCurYrUnderThatHead1-stcg.OthSrcLossNoRaceHorseSetoff1))</f>
        <v>0</v>
      </c>
      <c r="O13" s="121">
        <f>IF(S18&lt;(stcg.IncOfCurYrUnderThatHead1-stcg.OthSrcLossNoRaceHorseSetoff1-stcg.HPlossCurYrSetoff1),S18,(stcg.IncOfCurYrUnderThatHead1-stcg.OthSrcLossNoRaceHorseSetoff1-stcg.HPlossCurYrSetoff1))</f>
        <v>0</v>
      </c>
      <c r="P13" s="121">
        <f>IF(T18&lt;stcg.IncOfCurYrUnderThatHead1,T18,stcg.IncOfCurYrUnderThatHead1)</f>
        <v>0</v>
      </c>
      <c r="Q13" s="121" t="s">
        <v>430</v>
      </c>
      <c r="R13" s="1823">
        <f>R18-stcg.HPlossCurYrSetoff1</f>
        <v>0</v>
      </c>
      <c r="S13" s="121">
        <f>S18-stcg.BusLossSetoff1</f>
        <v>0</v>
      </c>
      <c r="T13" s="121">
        <f>T18-stcg.OthSrcLossNoRaceHorseSetoff1</f>
        <v>0</v>
      </c>
    </row>
    <row r="14" spans="2:53" ht="36" customHeight="1" x14ac:dyDescent="0.2">
      <c r="B14" s="1797"/>
      <c r="C14" s="3355"/>
      <c r="D14" s="8" t="s">
        <v>434</v>
      </c>
      <c r="E14" s="2004" t="s">
        <v>1069</v>
      </c>
      <c r="F14" s="1391">
        <f>MAX(0,IHLA.Eiii7_CurrYrCapGain)</f>
        <v>0</v>
      </c>
      <c r="G14" s="1391">
        <v>0</v>
      </c>
      <c r="H14" s="1391">
        <v>0</v>
      </c>
      <c r="I14" s="1391">
        <v>0</v>
      </c>
      <c r="J14" s="1391">
        <f t="shared" si="0"/>
        <v>0</v>
      </c>
      <c r="K14" s="1836"/>
      <c r="N14" s="121">
        <f>IF(R21&lt;(stcg.IncOfCurYrUnderThatHead1a-stcg.OthSrcLossNoRaceHorseSetoff1a),R21,(stcg.IncOfCurYrUnderThatHead1a-stcg.OthSrcLossNoRaceHorseSetoff1a))</f>
        <v>0</v>
      </c>
      <c r="O14" s="121">
        <f>IF(S21&lt;(stcg.IncOfCurYrUnderThatHead1a-stcg.OthSrcLossNoRaceHorseSetoff1a-stcg.HPlossCurYrSetoff1a),S21,(stcg.IncOfCurYrUnderThatHead1a-stcg.OthSrcLossNoRaceHorseSetoff1a-stcg.HPlossCurYrSetoff1a))</f>
        <v>0</v>
      </c>
      <c r="P14" s="121">
        <f>IF(T12&lt;stcg.IncOfCurYrUnderThatHead1a,T12,stcg.IncOfCurYrUnderThatHead1a)</f>
        <v>0</v>
      </c>
      <c r="Q14" s="121" t="s">
        <v>432</v>
      </c>
      <c r="R14" s="1823">
        <f>R21-stcg.HPlossCurYrSetoff1a</f>
        <v>0</v>
      </c>
      <c r="S14" s="121">
        <f>S21-stcg.BusLossSetoff1a</f>
        <v>0</v>
      </c>
      <c r="T14" s="121">
        <f>T12-stcg.OthSrcLossNoRaceHorseSetoff1a</f>
        <v>0</v>
      </c>
    </row>
    <row r="15" spans="2:53" ht="42.75" customHeight="1" x14ac:dyDescent="0.2">
      <c r="B15" s="1797"/>
      <c r="C15" s="3355"/>
      <c r="D15" s="8" t="s">
        <v>435</v>
      </c>
      <c r="E15" s="2004" t="s">
        <v>1070</v>
      </c>
      <c r="F15" s="1391">
        <f>MAX(0,IHLA.Eiv7_CurrYrCapGain)</f>
        <v>0</v>
      </c>
      <c r="G15" s="1391">
        <v>0</v>
      </c>
      <c r="H15" s="1391">
        <v>0</v>
      </c>
      <c r="I15" s="1391">
        <v>0</v>
      </c>
      <c r="J15" s="1391">
        <f t="shared" si="0"/>
        <v>0</v>
      </c>
      <c r="K15" s="1836"/>
      <c r="N15" s="121">
        <f>IF(R14&lt;(stcg.IncOfCurYrUnderThatHead1b-stcg.OthSrcLossNoRaceHorseSetoff1b),R14,(stcg.IncOfCurYrUnderThatHead1b-stcg.OthSrcLossNoRaceHorseSetoff1b))</f>
        <v>0</v>
      </c>
      <c r="O15" s="121">
        <f>IF(S14&lt;(stcg.IncOfCurYrUnderThatHead1b-stcg.OthSrcLossNoRaceHorseSetoff1b-stcg.HPlossCurYrSetoff1b),S14,(stcg.IncOfCurYrUnderThatHead1b-stcg.OthSrcLossNoRaceHorseSetoff1b-stcg.HPlossCurYrSetoff1b))</f>
        <v>0</v>
      </c>
      <c r="P15" s="121">
        <f>IF(T14&lt;stcg.IncOfCurYrUnderThatHead1b,T14,stcg.IncOfCurYrUnderThatHead1b)</f>
        <v>0</v>
      </c>
      <c r="Q15" s="121" t="s">
        <v>434</v>
      </c>
      <c r="R15" s="1823">
        <f>R14-stcg.HPlossCurYrSetoff1b</f>
        <v>0</v>
      </c>
      <c r="S15" s="121">
        <f>S14-stcg.BusLossSetoff1b</f>
        <v>0</v>
      </c>
      <c r="T15" s="121">
        <f>T14-stcg.OthSrcLossNoRaceHorseSetoff1b</f>
        <v>0</v>
      </c>
    </row>
    <row r="16" spans="2:53" ht="42.75" customHeight="1" x14ac:dyDescent="0.2">
      <c r="B16" s="1797"/>
      <c r="C16" s="3355"/>
      <c r="D16" s="8" t="s">
        <v>437</v>
      </c>
      <c r="E16" s="2004" t="s">
        <v>9015</v>
      </c>
      <c r="F16" s="1391">
        <f>MAX(0,IHLA.Ev7_DTAArates)</f>
        <v>0</v>
      </c>
      <c r="G16" s="1391">
        <v>0</v>
      </c>
      <c r="H16" s="1391">
        <v>0</v>
      </c>
      <c r="I16" s="1391">
        <v>0</v>
      </c>
      <c r="J16" s="1391">
        <f t="shared" si="0"/>
        <v>0</v>
      </c>
      <c r="K16" s="1836"/>
      <c r="R16" s="1823"/>
    </row>
    <row r="17" spans="2:37" ht="33" customHeight="1" x14ac:dyDescent="0.2">
      <c r="B17" s="1797"/>
      <c r="C17" s="3355"/>
      <c r="D17" s="8" t="s">
        <v>439</v>
      </c>
      <c r="E17" s="2004" t="s">
        <v>1071</v>
      </c>
      <c r="F17" s="1391">
        <f>MAX(0,IHLA.Ev7_CurrYrCapGain)</f>
        <v>0</v>
      </c>
      <c r="G17" s="1391">
        <v>0</v>
      </c>
      <c r="H17" s="1391">
        <v>0</v>
      </c>
      <c r="I17" s="1391">
        <v>0</v>
      </c>
      <c r="J17" s="1391">
        <f t="shared" si="0"/>
        <v>0</v>
      </c>
      <c r="K17" s="1836"/>
      <c r="N17" s="121">
        <f>IF(R13&lt;(ltcg.IncOfCurYrUnderThatHead2-ltcg.OthSrcLossNoRaceHorseSetoff2),R13,(ltcg.IncOfCurYrUnderThatHead2-ltcg.OthSrcLossNoRaceHorseSetoff2))</f>
        <v>0</v>
      </c>
      <c r="O17" s="121">
        <f>IF(S13&lt;(ltcg.IncOfCurYrUnderThatHead2-ltcg.OthSrcLossNoRaceHorseSetoff2-ltcg.HPlossCurYrSetoff2),S13,(ltcg.IncOfCurYrUnderThatHead2-ltcg.OthSrcLossNoRaceHorseSetoff2-ltcg.HPlossCurYrSetoff2))</f>
        <v>0</v>
      </c>
      <c r="P17" s="121">
        <f>IF(T13&lt;ltcg.IncOfCurYrUnderThatHead2,T13,ltcg.IncOfCurYrUnderThatHead2)</f>
        <v>0</v>
      </c>
      <c r="Q17" s="121" t="s">
        <v>435</v>
      </c>
      <c r="R17" s="1823">
        <f>R13-ltcg.HPlossCurYrSetoff2</f>
        <v>0</v>
      </c>
      <c r="S17" s="121">
        <f>S13-ltcg.BusLossSetoff2</f>
        <v>0</v>
      </c>
      <c r="T17" s="121">
        <f>T13-ltcg.OthSrcLossNoRaceHorseSetoff2</f>
        <v>0</v>
      </c>
    </row>
    <row r="18" spans="2:37" ht="34.5" customHeight="1" x14ac:dyDescent="0.2">
      <c r="B18" s="1797"/>
      <c r="C18" s="3355"/>
      <c r="D18" s="8" t="s">
        <v>462</v>
      </c>
      <c r="E18" s="2004" t="s">
        <v>1072</v>
      </c>
      <c r="F18" s="1391">
        <f>MAX(0,IHLA.Evi7_CurrYrCapGain)</f>
        <v>0</v>
      </c>
      <c r="G18" s="1391">
        <v>0</v>
      </c>
      <c r="H18" s="1391">
        <v>0</v>
      </c>
      <c r="I18" s="1391">
        <v>0</v>
      </c>
      <c r="J18" s="1391">
        <f t="shared" si="0"/>
        <v>0</v>
      </c>
      <c r="K18" s="1836"/>
      <c r="N18" s="121">
        <f>IF(R15&lt;(ltcg.IncOfCurYrUnderThatHead2a-ltcg.OthSrcLossNoRaceHorseSetoff2a),R15,(ltcg.IncOfCurYrUnderThatHead2a-ltcg.OthSrcLossNoRaceHorseSetoff2a))</f>
        <v>0</v>
      </c>
      <c r="O18" s="121">
        <f>IF(S15&lt;(ltcg.IncOfCurYrUnderThatHead2a-ltcg.OthSrcLossNoRaceHorseSetoff2a-ltcg.HPlossCurYrSetoff2a),S15,(ltcg.IncOfCurYrUnderThatHead2a-ltcg.OthSrcLossNoRaceHorseSetoff2a-ltcg.HPlossCurYrSetoff2a))</f>
        <v>0</v>
      </c>
      <c r="P18" s="121">
        <f>IF(T15&lt;ltcg.IncOfCurYrUnderThatHead2a,T15,ltcg.IncOfCurYrUnderThatHead2a)</f>
        <v>0</v>
      </c>
      <c r="Q18" s="121" t="s">
        <v>437</v>
      </c>
      <c r="R18" s="1823">
        <f>R15-ltcg.HPlossCurYrSetoff2a</f>
        <v>0</v>
      </c>
      <c r="S18" s="121">
        <f>(S15-ltcg.BusLossSetoff2a)</f>
        <v>0</v>
      </c>
      <c r="T18" s="121">
        <f>T15-ltcg.OthSrcLossNoRaceHorseSetoff2a</f>
        <v>0</v>
      </c>
    </row>
    <row r="19" spans="2:37" ht="38.25" customHeight="1" x14ac:dyDescent="0.2">
      <c r="B19" s="1797"/>
      <c r="C19" s="3355"/>
      <c r="D19" s="8" t="s">
        <v>1073</v>
      </c>
      <c r="E19" s="2004" t="s">
        <v>9016</v>
      </c>
      <c r="F19" s="1391">
        <f>MAX(0,IHLA.E_LTCGv7_DTAArates)</f>
        <v>0</v>
      </c>
      <c r="G19" s="1391">
        <v>0</v>
      </c>
      <c r="H19" s="1391">
        <v>0</v>
      </c>
      <c r="I19" s="1391">
        <v>0</v>
      </c>
      <c r="J19" s="1391">
        <f t="shared" si="0"/>
        <v>0</v>
      </c>
      <c r="K19" s="1836"/>
      <c r="R19" s="1823"/>
    </row>
    <row r="20" spans="2:37" ht="48.75" customHeight="1" x14ac:dyDescent="0.2">
      <c r="B20" s="1797"/>
      <c r="C20" s="3355"/>
      <c r="D20" s="8" t="s">
        <v>1075</v>
      </c>
      <c r="E20" s="2004" t="s">
        <v>9671</v>
      </c>
      <c r="F20" s="1391">
        <f>MAX(0,os.BalanceNoRaceHorse)</f>
        <v>0</v>
      </c>
      <c r="G20" s="1391">
        <v>0</v>
      </c>
      <c r="H20" s="1391">
        <v>0</v>
      </c>
      <c r="I20" s="1488"/>
      <c r="J20" s="1391">
        <f t="shared" si="0"/>
        <v>0</v>
      </c>
      <c r="K20" s="1836"/>
      <c r="N20" s="121">
        <f>IF(R12&lt;othSecinclnlhrs.IncOfCurYrUnderThatHead3,R12,othSecinclnlhrs.IncOfCurYrUnderThatHead3)</f>
        <v>0</v>
      </c>
      <c r="O20" s="121">
        <f>IF(S9&lt;(othSecinclnlhrs.IncOfCurYrUnderThatHead3-othSecinclnlhrs.HPlossCurYrSetoff3),S9,(othSecinclnlhrs.IncOfCurYrUnderThatHead3-othSecinclnlhrs.HPlossCurYrSetoff3))</f>
        <v>0</v>
      </c>
      <c r="Q20" s="121" t="s">
        <v>439</v>
      </c>
      <c r="R20" s="1823">
        <f>R12-N20</f>
        <v>0</v>
      </c>
      <c r="S20" s="121">
        <f>S9-othSecinclnlhrs.BusLossSetoff3</f>
        <v>0</v>
      </c>
    </row>
    <row r="21" spans="2:37" ht="48" customHeight="1" x14ac:dyDescent="0.2">
      <c r="B21" s="1797"/>
      <c r="C21" s="3355"/>
      <c r="D21" s="8" t="s">
        <v>8801</v>
      </c>
      <c r="E21" s="2004" t="s">
        <v>9673</v>
      </c>
      <c r="F21" s="1391">
        <f>MAX(0,os.BalanceOwnRaceHorse)</f>
        <v>0</v>
      </c>
      <c r="G21" s="1391">
        <v>0</v>
      </c>
      <c r="H21" s="1391">
        <v>0</v>
      </c>
      <c r="I21" s="1391">
        <v>0</v>
      </c>
      <c r="J21" s="1391">
        <f t="shared" si="0"/>
        <v>0</v>
      </c>
      <c r="K21" s="1836"/>
      <c r="N21" s="121">
        <f>IF(R20&lt;(rh.IncOfCurYrUnderThatHead4-rh.OthSrcLossNoRaceHorseSetoff4),R20,(rh.IncOfCurYrUnderThatHead4-rh.OthSrcLossNoRaceHorseSetoff4))</f>
        <v>0</v>
      </c>
      <c r="O21" s="121">
        <f>IF(S20&lt;(rh.IncOfCurYrUnderThatHead4-rh.OthSrcLossNoRaceHorseSetoff4-rh.HPlossCurYrSetoff4),S20,(rh.IncOfCurYrUnderThatHead4-rh.OthSrcLossNoRaceHorseSetoff4-rh.HPlossCurYrSetoff4))</f>
        <v>0</v>
      </c>
      <c r="P21" s="121">
        <f>IF(T6&lt;rh.IncOfCurYrUnderThatHead4,T6,rh.IncOfCurYrUnderThatHead4)</f>
        <v>0</v>
      </c>
      <c r="Q21" s="121" t="s">
        <v>462</v>
      </c>
      <c r="R21" s="1823">
        <f>R20-rh.HPlossCurYrSetoff4</f>
        <v>0</v>
      </c>
      <c r="S21" s="121">
        <f>(S20-rh.BusLossSetoff4)</f>
        <v>0</v>
      </c>
      <c r="T21" s="121">
        <f>T6-rh.OthSrcLossNoRaceHorseSetoff4</f>
        <v>0</v>
      </c>
    </row>
    <row r="22" spans="2:37" ht="51" customHeight="1" x14ac:dyDescent="0.2">
      <c r="B22" s="1797"/>
      <c r="C22" s="3355"/>
      <c r="D22" s="8" t="s">
        <v>9011</v>
      </c>
      <c r="E22" s="2004" t="s">
        <v>9672</v>
      </c>
      <c r="F22" s="1391">
        <f>MAX(0,os.DTAA_Amt)</f>
        <v>0</v>
      </c>
      <c r="G22" s="1391">
        <v>0</v>
      </c>
      <c r="H22" s="1391">
        <v>0</v>
      </c>
      <c r="I22" s="1391">
        <v>0</v>
      </c>
      <c r="J22" s="1391">
        <f t="shared" si="0"/>
        <v>0</v>
      </c>
      <c r="K22" s="1836"/>
      <c r="R22" s="1823"/>
    </row>
    <row r="23" spans="2:37" ht="12.75" customHeight="1" x14ac:dyDescent="0.2">
      <c r="B23" s="1797"/>
      <c r="C23" s="3355"/>
      <c r="D23" s="8" t="s">
        <v>9012</v>
      </c>
      <c r="E23" s="2045" t="s">
        <v>1074</v>
      </c>
      <c r="F23" s="730"/>
      <c r="G23" s="1391">
        <f>SUM(G8,G10:G22)</f>
        <v>0</v>
      </c>
      <c r="H23" s="1391">
        <f>SUM(H9,H13:H22)</f>
        <v>0</v>
      </c>
      <c r="I23" s="1391">
        <f>SUM(I8:I19,I21:I22)</f>
        <v>0</v>
      </c>
      <c r="J23" s="731"/>
      <c r="K23" s="1836"/>
    </row>
    <row r="24" spans="2:37" ht="12.75" customHeight="1" x14ac:dyDescent="0.2">
      <c r="B24" s="1797"/>
      <c r="C24" s="3355"/>
      <c r="D24" s="8" t="s">
        <v>9013</v>
      </c>
      <c r="E24" s="3732" t="s">
        <v>9014</v>
      </c>
      <c r="F24" s="3733"/>
      <c r="G24" s="1391">
        <f>IF(bacValue=1,0,IF(sheet16.TotHPlossCurYrSetoff&lt;200000,MAX(0,((cyla.TotHPlossCurYr1-G23)+(HP.REMloss))),HP.REMloss))</f>
        <v>0</v>
      </c>
      <c r="H24" s="1391">
        <f>MAX(0,(cyla.TotBusLoss-H23))</f>
        <v>0</v>
      </c>
      <c r="I24" s="1391">
        <f>MAX(0,(cyla.TotOthSrcLossNoRaceHorse-I23))</f>
        <v>0</v>
      </c>
      <c r="J24" s="731"/>
      <c r="K24" s="1836"/>
    </row>
    <row r="25" spans="2:37" x14ac:dyDescent="0.2">
      <c r="B25" s="1797"/>
      <c r="C25" s="1133"/>
      <c r="D25" s="1133"/>
      <c r="E25" s="1133"/>
      <c r="F25" s="1133"/>
      <c r="G25" s="1133"/>
      <c r="H25" s="1133"/>
      <c r="I25" s="1133"/>
      <c r="J25" s="1133"/>
      <c r="K25" s="1836"/>
    </row>
    <row r="26" spans="2:37" ht="12.75" customHeight="1" x14ac:dyDescent="0.2">
      <c r="B26" s="1797"/>
      <c r="C26" s="3734" t="s">
        <v>1076</v>
      </c>
      <c r="D26" s="3651"/>
      <c r="E26" s="3735"/>
      <c r="F26" s="3736" t="s">
        <v>1077</v>
      </c>
      <c r="G26" s="3737"/>
      <c r="H26" s="3737"/>
      <c r="I26" s="3737"/>
      <c r="J26" s="3738"/>
      <c r="K26" s="1836"/>
    </row>
    <row r="27" spans="2:37" ht="76.5" customHeight="1" x14ac:dyDescent="0.2">
      <c r="B27" s="1797"/>
      <c r="C27" s="3355" t="s">
        <v>1078</v>
      </c>
      <c r="D27" s="3099" t="s">
        <v>1079</v>
      </c>
      <c r="E27" s="3099" t="s">
        <v>1057</v>
      </c>
      <c r="F27" s="31" t="s">
        <v>1080</v>
      </c>
      <c r="G27" s="2065" t="s">
        <v>1081</v>
      </c>
      <c r="H27" s="2065" t="s">
        <v>1082</v>
      </c>
      <c r="I27" s="2065" t="s">
        <v>1083</v>
      </c>
      <c r="J27" s="31" t="s">
        <v>1084</v>
      </c>
      <c r="K27" s="1836"/>
      <c r="S27" s="121" t="s">
        <v>1562</v>
      </c>
      <c r="W27" s="121" t="s">
        <v>1568</v>
      </c>
      <c r="AC27" s="121" t="s">
        <v>1597</v>
      </c>
      <c r="AI27" s="121" t="s">
        <v>1569</v>
      </c>
      <c r="AK27" s="121" t="s">
        <v>1570</v>
      </c>
    </row>
    <row r="28" spans="2:37" ht="12.75" customHeight="1" x14ac:dyDescent="0.2">
      <c r="B28" s="1797"/>
      <c r="C28" s="3355"/>
      <c r="D28" s="3099"/>
      <c r="E28" s="3099"/>
      <c r="F28" s="31"/>
      <c r="G28" s="2065"/>
      <c r="H28" s="2065"/>
      <c r="I28" s="2065"/>
      <c r="J28" s="31"/>
      <c r="K28" s="1836"/>
      <c r="AH28" s="1844">
        <v>0.2</v>
      </c>
      <c r="AI28" s="121">
        <f>ltcg.IncOfCurYrUndHeadFromCYLA4a</f>
        <v>0</v>
      </c>
      <c r="AK28" s="121">
        <f>totofbfloss.LTCGLossCF8</f>
        <v>0</v>
      </c>
    </row>
    <row r="29" spans="2:37" ht="12.75" customHeight="1" x14ac:dyDescent="0.2">
      <c r="B29" s="1797"/>
      <c r="C29" s="3355"/>
      <c r="D29" s="3099"/>
      <c r="E29" s="3099"/>
      <c r="F29" s="6">
        <v>1</v>
      </c>
      <c r="G29" s="6">
        <v>2</v>
      </c>
      <c r="H29" s="6">
        <v>3</v>
      </c>
      <c r="I29" s="6">
        <v>4</v>
      </c>
      <c r="J29" s="6">
        <v>5</v>
      </c>
      <c r="K29" s="1836"/>
      <c r="AB29" s="121" t="s">
        <v>1598</v>
      </c>
      <c r="AC29" s="121">
        <f>UD.TotSetoff</f>
        <v>0</v>
      </c>
      <c r="AH29" s="1844">
        <v>0.1</v>
      </c>
      <c r="AI29" s="121">
        <f>ltcg.IncOfCurYrUndHeadFromCYLA4</f>
        <v>0</v>
      </c>
    </row>
    <row r="30" spans="2:37" ht="12.75" customHeight="1" x14ac:dyDescent="0.2">
      <c r="B30" s="1797"/>
      <c r="C30" s="3355"/>
      <c r="D30" s="2065" t="s">
        <v>287</v>
      </c>
      <c r="E30" s="2004" t="s">
        <v>1063</v>
      </c>
      <c r="F30" s="210">
        <f t="shared" ref="F30:F44" si="1">(J8)</f>
        <v>0</v>
      </c>
      <c r="G30" s="1581"/>
      <c r="H30" s="1581"/>
      <c r="I30" s="1581"/>
      <c r="J30" s="210">
        <f>(F30)</f>
        <v>0</v>
      </c>
      <c r="K30" s="1836"/>
      <c r="V30" s="733" t="s">
        <v>287</v>
      </c>
      <c r="AC30" s="121" t="s">
        <v>1599</v>
      </c>
    </row>
    <row r="31" spans="2:37" ht="12.75" customHeight="1" x14ac:dyDescent="0.2">
      <c r="B31" s="1797"/>
      <c r="C31" s="3355"/>
      <c r="D31" s="8" t="s">
        <v>290</v>
      </c>
      <c r="E31" s="2045" t="s">
        <v>1064</v>
      </c>
      <c r="F31" s="210">
        <f t="shared" si="1"/>
        <v>0</v>
      </c>
      <c r="G31" s="210">
        <v>0</v>
      </c>
      <c r="H31" s="210">
        <v>0</v>
      </c>
      <c r="I31" s="210">
        <v>0</v>
      </c>
      <c r="J31" s="210">
        <f>MAX(0,(F31-G31-H31-I31))</f>
        <v>0</v>
      </c>
      <c r="K31" s="1836"/>
      <c r="O31" s="121">
        <f>IF(S31&lt;hp.IncOfCurYrUndHeadFromCYLA1,S31,hp.IncOfCurYrUndHeadFromCYLA1)</f>
        <v>0</v>
      </c>
      <c r="P31" s="121">
        <f>IF(AC34&lt;(hp.IncOfCurYrUndHeadFromCYLA1-hp.BFlossPrevYrUndSameHeadSetoff1),AC34,(hp.IncOfCurYrUndHeadFromCYLA1-hp.BFlossPrevYrUndSameHeadSetoff1))</f>
        <v>0</v>
      </c>
      <c r="R31" s="121" t="s">
        <v>1558</v>
      </c>
      <c r="S31" s="121">
        <f>totofbfloss.HPLossCF8</f>
        <v>0</v>
      </c>
      <c r="V31" s="734" t="s">
        <v>290</v>
      </c>
      <c r="W31" s="121">
        <f>S31-hp.BFlossPrevYrUndSameHeadSetoff1</f>
        <v>0</v>
      </c>
      <c r="AC31" s="121">
        <f>AC34-hp.BFUnabsorbedDeprSetoff1</f>
        <v>0</v>
      </c>
    </row>
    <row r="32" spans="2:37" ht="67.5" customHeight="1" x14ac:dyDescent="0.2">
      <c r="B32" s="1797"/>
      <c r="C32" s="3355"/>
      <c r="D32" s="8" t="s">
        <v>293</v>
      </c>
      <c r="E32" s="2004" t="s">
        <v>1065</v>
      </c>
      <c r="F32" s="729">
        <f t="shared" si="1"/>
        <v>0</v>
      </c>
      <c r="G32" s="1391">
        <v>0</v>
      </c>
      <c r="H32" s="1391">
        <v>0</v>
      </c>
      <c r="I32" s="1391">
        <v>0</v>
      </c>
      <c r="J32" s="1391">
        <f t="shared" ref="J32:J43" si="2">MAX(0,(F32-G32-H32-I32))</f>
        <v>0</v>
      </c>
      <c r="K32" s="1836"/>
      <c r="O32" s="121">
        <f>IF(S32&lt;busipofincl.IncOfCurYrUndHeadFromCYLA2,S32,busipofincl.IncOfCurYrUndHeadFromCYLA2)</f>
        <v>0</v>
      </c>
      <c r="P32" s="121">
        <f>IF(AC29&lt;(busipofincl.IncOfCurYrUndHeadFromCYLA2-busipofincl.BFlossPrevYrUndSameHeadSetoff2),AC29,(busipofincl.IncOfCurYrUndHeadFromCYLA2-busipofincl.BFlossPrevYrUndSameHeadSetoff2))</f>
        <v>0</v>
      </c>
      <c r="R32" s="121" t="s">
        <v>1559</v>
      </c>
      <c r="S32" s="121">
        <f>totofbfloss.BusLossOthThanSpecLossCF8</f>
        <v>0</v>
      </c>
      <c r="V32" s="734" t="s">
        <v>293</v>
      </c>
      <c r="W32" s="121">
        <f>S32-busipofincl.BFlossPrevYrUndSameHeadSetoff2</f>
        <v>0</v>
      </c>
      <c r="AC32" s="121">
        <f>(AC29-busipofincl.BFUnabsorbedDeprSetoff2)</f>
        <v>0</v>
      </c>
      <c r="AJ32" s="121" t="s">
        <v>1571</v>
      </c>
    </row>
    <row r="33" spans="2:43" ht="30" customHeight="1" x14ac:dyDescent="0.2">
      <c r="B33" s="1797"/>
      <c r="C33" s="3355"/>
      <c r="D33" s="8" t="s">
        <v>296</v>
      </c>
      <c r="E33" s="2004" t="s">
        <v>1066</v>
      </c>
      <c r="F33" s="729">
        <f t="shared" si="1"/>
        <v>0</v>
      </c>
      <c r="G33" s="1391">
        <v>0</v>
      </c>
      <c r="H33" s="1391">
        <v>0</v>
      </c>
      <c r="I33" s="1391">
        <v>0</v>
      </c>
      <c r="J33" s="1391">
        <f t="shared" si="2"/>
        <v>0</v>
      </c>
      <c r="K33" s="1836"/>
      <c r="O33" s="121">
        <f>IF(S33&lt;busipofinclspec.IncOfCurYrUndHeadFromCYLA2a,IF((S33+W32)&lt;=busipofinclspec.IncOfCurYrUndHeadFromCYLA2a,(S33+W32),busipofinclspec.IncOfCurYrUndHeadFromCYLA2a),busipofinclspec.IncOfCurYrUndHeadFromCYLA2a)</f>
        <v>0</v>
      </c>
      <c r="P33" s="121">
        <f>IF(AC32&lt;(busipofinclspec.IncOfCurYrUndHeadFromCYLA2a-busipofinclspec.BFlossPrevYrUndSameHeadSetoff2a),AC32,(busipofinclspec.IncOfCurYrUndHeadFromCYLA2a-busipofinclspec.BFlossPrevYrUndSameHeadSetoff2a))</f>
        <v>0</v>
      </c>
      <c r="R33" s="121" t="s">
        <v>1563</v>
      </c>
      <c r="S33" s="121">
        <f>totofbfloss.LossFrmSpecBusCF8</f>
        <v>0</v>
      </c>
      <c r="V33" s="734" t="s">
        <v>296</v>
      </c>
      <c r="W33" s="121">
        <f>(W32+S33-busipofinclspec.BFlossPrevYrUndSameHeadSetoff2a)</f>
        <v>0</v>
      </c>
      <c r="AC33" s="121">
        <f>(AC32-P33)</f>
        <v>0</v>
      </c>
      <c r="AJ33" s="121">
        <f>MAX(0,(AI28+AI29)-AK28)</f>
        <v>0</v>
      </c>
    </row>
    <row r="34" spans="2:43" ht="25.5" customHeight="1" x14ac:dyDescent="0.2">
      <c r="B34" s="1797"/>
      <c r="C34" s="3355"/>
      <c r="D34" s="8" t="s">
        <v>299</v>
      </c>
      <c r="E34" s="2004" t="s">
        <v>1067</v>
      </c>
      <c r="F34" s="729">
        <f t="shared" si="1"/>
        <v>0</v>
      </c>
      <c r="G34" s="1391">
        <v>0</v>
      </c>
      <c r="H34" s="1391">
        <v>0</v>
      </c>
      <c r="I34" s="1391">
        <v>0</v>
      </c>
      <c r="J34" s="1391">
        <f t="shared" si="2"/>
        <v>0</v>
      </c>
      <c r="K34" s="1836"/>
      <c r="O34" s="121">
        <f>IF(S32=0,IF(S34=0,0,IF(S34&lt;busipofinclspecified.IncOfCurYrUndHeadFromCYLA2b,IF((W33+S34)&lt;=busipofinclspecified.IncOfCurYrUndHeadFromCYLA2b,(W33+S34),busipofinclspecified.IncOfCurYrUndHeadFromCYLA2b),busipofinclspecified.IncOfCurYrUndHeadFromCYLA2b)),IF(S34=0,IF(W33&gt;0,IF(W32&lt;busipofinclspecified.IncOfCurYrUndHeadFromCYLA2b,W32,busipofinclspecified.IncOfCurYrUndHeadFromCYLA2b),IF(S34=0,0,IF(S34&lt;busipofinclspecified.IncOfCurYrUndHeadFromCYLA2b,IF((W33+S34)&lt;=busipofinclspecified.IncOfCurYrUndHeadFromCYLA2b,(W33+S34),busipofinclspecified.IncOfCurYrUndHeadFromCYLA2b),busipofinclspecified.IncOfCurYrUndHeadFromCYLA2b))),IF(S34&lt;busipofinclspecified.IncOfCurYrUndHeadFromCYLA2b,S34,busipofinclspecified.IncOfCurYrUndHeadFromCYLA2b)))</f>
        <v>0</v>
      </c>
      <c r="P34" s="121">
        <f>IF(AC33&lt;(busipofinclspecified.IncOfCurYrUndHeadFromCYLA2b-busipofinclspecified.BFlossPrevYrUndSameHeadSetoff2b),AC33,(busipofinclspecified.IncOfCurYrUndHeadFromCYLA2b-busipofinclspecified.BFlossPrevYrUndSameHeadSetoff2b))</f>
        <v>0</v>
      </c>
      <c r="R34" s="121" t="s">
        <v>1564</v>
      </c>
      <c r="S34" s="121">
        <f>totofbfloss.LossFrmSpecifiedBusCF8</f>
        <v>0</v>
      </c>
      <c r="V34" s="734" t="s">
        <v>299</v>
      </c>
      <c r="W34" s="121">
        <f>(W33+S34-busipofinclspecified.BFlossPrevYrUndSameHeadSetoff2b)</f>
        <v>0</v>
      </c>
      <c r="AC34" s="121">
        <f>(AC33-busipofinclspecified.BFUnabsorbedDeprSetoff2b)</f>
        <v>0</v>
      </c>
      <c r="AQ34" s="121" t="s">
        <v>1577</v>
      </c>
    </row>
    <row r="35" spans="2:43" ht="25.5" x14ac:dyDescent="0.2">
      <c r="B35" s="1797"/>
      <c r="C35" s="3355"/>
      <c r="D35" s="8" t="s">
        <v>430</v>
      </c>
      <c r="E35" s="2004" t="s">
        <v>1068</v>
      </c>
      <c r="F35" s="729">
        <f t="shared" si="1"/>
        <v>0</v>
      </c>
      <c r="G35" s="1391">
        <v>0</v>
      </c>
      <c r="H35" s="1391">
        <v>0</v>
      </c>
      <c r="I35" s="1391">
        <v>0</v>
      </c>
      <c r="J35" s="1391">
        <f t="shared" si="2"/>
        <v>0</v>
      </c>
      <c r="K35" s="1836"/>
      <c r="O35" s="121">
        <f>IF(S36&gt;0,IF(X40&lt;stcg.IncOfCurYrUndHeadFromCYLA3,X40,stcg.IncOfCurYrUndHeadFromCYLA3),0)</f>
        <v>0</v>
      </c>
      <c r="V35" s="734" t="s">
        <v>430</v>
      </c>
      <c r="W35" s="121">
        <f>X40-stcg.BFlossPrevYrUndSameHeadSetoff3</f>
        <v>0</v>
      </c>
      <c r="X35" s="121">
        <f>X40-stcg.BFlossPrevYrUndSameHeadSetoff3</f>
        <v>0</v>
      </c>
      <c r="AJ35" s="121" t="s">
        <v>1572</v>
      </c>
      <c r="AK35" s="121" t="s">
        <v>1574</v>
      </c>
      <c r="AO35" s="121" t="s">
        <v>1578</v>
      </c>
      <c r="AP35" s="1844">
        <v>0.2</v>
      </c>
      <c r="AQ35" s="121">
        <f>IF(S36&gt;0,IF(S39&gt;0,IF(S39&lt;ltcg.IncOfCurYrUndHeadFromCYLA4a,S39,ltcg.IncOfCurYrUndHeadFromCYLA4a),IF(W37&lt;ltcg.IncOfCurYrUndHeadFromCYLA4a,W37,ltcg.IncOfCurYrUndHeadFromCYLA4a)),IF(S39&gt;0,IF(S39&lt;ltcg.IncOfCurYrUndHeadFromCYLA4a,S39,ltcg.IncOfCurYrUndHeadFromCYLA4a),0))</f>
        <v>0</v>
      </c>
    </row>
    <row r="36" spans="2:43" ht="25.5" x14ac:dyDescent="0.2">
      <c r="B36" s="1797"/>
      <c r="C36" s="3355"/>
      <c r="D36" s="8" t="s">
        <v>432</v>
      </c>
      <c r="E36" s="2004" t="s">
        <v>1069</v>
      </c>
      <c r="F36" s="729">
        <f t="shared" si="1"/>
        <v>0</v>
      </c>
      <c r="G36" s="1391">
        <v>0</v>
      </c>
      <c r="H36" s="1391">
        <v>0</v>
      </c>
      <c r="I36" s="1391">
        <v>0</v>
      </c>
      <c r="J36" s="1391">
        <f t="shared" si="2"/>
        <v>0</v>
      </c>
      <c r="K36" s="1836"/>
      <c r="O36" s="121">
        <f>IF(S36&lt;stcg.IncOfCurYrUndHeadFromCYLA3a,S36,stcg.IncOfCurYrUndHeadFromCYLA3a)</f>
        <v>0</v>
      </c>
      <c r="R36" s="121" t="s">
        <v>1565</v>
      </c>
      <c r="S36" s="121">
        <f>totofbfloss.STCGLossCF8</f>
        <v>0</v>
      </c>
      <c r="V36" s="734" t="s">
        <v>432</v>
      </c>
      <c r="W36" s="121">
        <f>(S36-stcg.BFlossPrevYrUndSameHeadSetoff3a)</f>
        <v>0</v>
      </c>
      <c r="AI36" s="1844">
        <v>0.2</v>
      </c>
      <c r="AJ36" s="121">
        <f>IF(S36&gt;0,IF(S39&gt;0,IF(S39&lt;ltcg.IncOfCurYrUndHeadFromCYLA4a,S39,ltcg.IncOfCurYrUndHeadFromCYLA4a),IF(W37&lt;ltcg.IncOfCurYrUndHeadFromCYLA4a,W37,ltcg.IncOfCurYrUndHeadFromCYLA4a)),IF(S39&lt;ltcg.IncOfCurYrUndHeadFromCYLA4a,S39,ltcg.IncOfCurYrUndHeadFromCYLA4a))</f>
        <v>0</v>
      </c>
      <c r="AK36" s="121">
        <f>ltcg.IncOfCurYrUndHeadFromCYLA4a-AJ36</f>
        <v>0</v>
      </c>
      <c r="AP36" s="1844">
        <v>0.1</v>
      </c>
      <c r="AQ36" s="121">
        <f>IF(S36&gt;0,IF(S39&gt;0,IF(W40&lt;ltcg.IncOfCurYrUndHeadFromCYLA4,W40,ltcg.IncOfCurYrUndHeadFromCYLA4),IF(X35&lt;ltcg.IncOfCurYrUndHeadFromCYLA4,X35,ltcg.IncOfCurYrUndHeadFromCYLA4)),IF(S39&gt;0,IF(W40&lt;ltcg.IncOfCurYrUndHeadFromCYLA4,W40,ltcg.IncOfCurYrUndHeadFromCYLA4),0))</f>
        <v>0</v>
      </c>
    </row>
    <row r="37" spans="2:43" ht="36.75" customHeight="1" x14ac:dyDescent="0.2">
      <c r="B37" s="1797"/>
      <c r="C37" s="3355"/>
      <c r="D37" s="8" t="s">
        <v>434</v>
      </c>
      <c r="E37" s="2004" t="s">
        <v>1070</v>
      </c>
      <c r="F37" s="729">
        <f t="shared" si="1"/>
        <v>0</v>
      </c>
      <c r="G37" s="1391">
        <v>0</v>
      </c>
      <c r="H37" s="1391">
        <v>0</v>
      </c>
      <c r="I37" s="1391">
        <v>0</v>
      </c>
      <c r="J37" s="1391">
        <f t="shared" si="2"/>
        <v>0</v>
      </c>
      <c r="K37" s="1836"/>
      <c r="O37" s="121">
        <f>IF(W36&lt;stcg.IncOfCurYrUndHeadFromCYLA3b,W36,stcg.IncOfCurYrUndHeadFromCYLA3b)</f>
        <v>0</v>
      </c>
      <c r="V37" s="734" t="s">
        <v>434</v>
      </c>
      <c r="W37" s="121">
        <f>W36-stcg.BFlossPrevYrUndSameHeadSetoff3b</f>
        <v>0</v>
      </c>
      <c r="AI37" s="1844">
        <v>0.1</v>
      </c>
      <c r="AJ37" s="121">
        <f>IF(S36&gt;0,IF(S39&gt;0,IF(W40&lt;ltcg.IncOfCurYrUndHeadFromCYLA4,W40,ltcg.IncOfCurYrUndHeadFromCYLA4),IF(W35&lt;ltcg.IncOfCurYrUndHeadFromCYLA4,W35,ltcg.IncOfCurYrUndHeadFromCYLA4)),IF(S39&gt;0,IF(W40&lt;ltcg.IncOfCurYrUndHeadFromCYLA4,W40,ltcg.IncOfCurYrUndHeadFromCYLA4),0))</f>
        <v>0</v>
      </c>
      <c r="AK37" s="121">
        <f>ltcg.IncOfCurYrUndHeadFromCYLA4-AJ37</f>
        <v>0</v>
      </c>
    </row>
    <row r="38" spans="2:43" ht="36.75" customHeight="1" x14ac:dyDescent="0.2">
      <c r="B38" s="1797"/>
      <c r="C38" s="3355"/>
      <c r="D38" s="8" t="s">
        <v>435</v>
      </c>
      <c r="E38" s="2004" t="s">
        <v>9015</v>
      </c>
      <c r="F38" s="729">
        <f>(J16)</f>
        <v>0</v>
      </c>
      <c r="G38" s="1391">
        <v>0</v>
      </c>
      <c r="H38" s="1391">
        <v>0</v>
      </c>
      <c r="I38" s="1391">
        <v>0</v>
      </c>
      <c r="J38" s="1391">
        <f t="shared" si="2"/>
        <v>0</v>
      </c>
      <c r="K38" s="1836"/>
      <c r="V38" s="734"/>
      <c r="AI38" s="1844"/>
    </row>
    <row r="39" spans="2:43" ht="25.5" x14ac:dyDescent="0.2">
      <c r="B39" s="1797"/>
      <c r="C39" s="3355"/>
      <c r="D39" s="8" t="s">
        <v>437</v>
      </c>
      <c r="E39" s="2004" t="s">
        <v>1071</v>
      </c>
      <c r="F39" s="729">
        <f t="shared" si="1"/>
        <v>0</v>
      </c>
      <c r="G39" s="1391">
        <v>0</v>
      </c>
      <c r="H39" s="1391">
        <v>0</v>
      </c>
      <c r="I39" s="1391">
        <v>0</v>
      </c>
      <c r="J39" s="1391">
        <f t="shared" si="2"/>
        <v>0</v>
      </c>
      <c r="K39" s="1836"/>
      <c r="O39" s="121">
        <f>IF(AK37&gt;0,IF(X35&gt;0,IF(X35&gt;AK37,IF(S36&gt;0,IF(S39&gt;0,IF(W40&lt;ltcg.IncOfCurYrUndHeadFromCYLA4,W40,ltcg.IncOfCurYrUndHeadFromCYLA4),IF(X35&lt;ltcg.IncOfCurYrUndHeadFromCYLA4,X35,ltcg.IncOfCurYrUndHeadFromCYLA4)),IF(S39&gt;0,IF(W40&lt;ltcg.IncOfCurYrUndHeadFromCYLA4,W40,ltcg.IncOfCurYrUndHeadFromCYLA4),0))+AK37,(IF(S36&gt;0,IF(S39&gt;0,IF(W40&lt;ltcg.IncOfCurYrUndHeadFromCYLA4,W40,ltcg.IncOfCurYrUndHeadFromCYLA4),IF(X35&lt;ltcg.IncOfCurYrUndHeadFromCYLA4,X35,ltcg.IncOfCurYrUndHeadFromCYLA4)),IF(S39&gt;0,IF(W40&lt;ltcg.IncOfCurYrUndHeadFromCYLA4,W40,ltcg.IncOfCurYrUndHeadFromCYLA4),0))+X35)),0),IF(S36&gt;0,IF(S39&gt;0,IF(W40&lt;ltcg.IncOfCurYrUndHeadFromCYLA4,W40,ltcg.IncOfCurYrUndHeadFromCYLA4),IF(X35&lt;ltcg.IncOfCurYrUndHeadFromCYLA4,X35,ltcg.IncOfCurYrUndHeadFromCYLA4)),IF(S39&gt;0,IF(W40&lt;ltcg.IncOfCurYrUndHeadFromCYLA4,W40,ltcg.IncOfCurYrUndHeadFromCYLA4),0)))</f>
        <v>0</v>
      </c>
      <c r="R39" s="121" t="s">
        <v>1566</v>
      </c>
      <c r="S39" s="121">
        <f>totofbfloss.LTCGLossCF8</f>
        <v>0</v>
      </c>
      <c r="V39" s="734" t="s">
        <v>435</v>
      </c>
      <c r="W39" s="121">
        <f>IF(S39&gt;0,W40-IF(S36&gt;0,IF(S39&gt;0,IF(W40&lt;ltcg.IncOfCurYrUndHeadFromCYLA4,W40,ltcg.IncOfCurYrUndHeadFromCYLA4),IF(X35&lt;ltcg.IncOfCurYrUndHeadFromCYLA4,X35,ltcg.IncOfCurYrUndHeadFromCYLA4)),IF(S39&gt;0,IF(W40&lt;ltcg.IncOfCurYrUndHeadFromCYLA4,W40,ltcg.IncOfCurYrUndHeadFromCYLA4),0)),X35-IF(S36&gt;0,IF(S39&gt;0,IF(W40&lt;ltcg.IncOfCurYrUndHeadFromCYLA4,W40,ltcg.IncOfCurYrUndHeadFromCYLA4),IF(X35&lt;ltcg.IncOfCurYrUndHeadFromCYLA4,X35,ltcg.IncOfCurYrUndHeadFromCYLA4)),IF(S39&gt;0,IF(W40&lt;ltcg.IncOfCurYrUndHeadFromCYLA4,W40,ltcg.IncOfCurYrUndHeadFromCYLA4),0)))</f>
        <v>0</v>
      </c>
    </row>
    <row r="40" spans="2:43" ht="25.5" customHeight="1" x14ac:dyDescent="0.2">
      <c r="B40" s="1797"/>
      <c r="C40" s="3355"/>
      <c r="D40" s="8" t="s">
        <v>439</v>
      </c>
      <c r="E40" s="2004" t="s">
        <v>1072</v>
      </c>
      <c r="F40" s="729">
        <f t="shared" si="1"/>
        <v>0</v>
      </c>
      <c r="G40" s="1391">
        <v>0</v>
      </c>
      <c r="H40" s="1391">
        <v>0</v>
      </c>
      <c r="I40" s="1391">
        <v>0</v>
      </c>
      <c r="J40" s="1391">
        <f t="shared" si="2"/>
        <v>0</v>
      </c>
      <c r="K40" s="1836"/>
      <c r="O40" s="121">
        <f>IF(AK36&gt;0,IF(W37&gt;0,IF(W37&gt;AK36,IF(S36&gt;0,IF(S39&gt;0,IF(S39&lt;ltcg.IncOfCurYrUndHeadFromCYLA4a,S39,ltcg.IncOfCurYrUndHeadFromCYLA4a),IF(W37&lt;ltcg.IncOfCurYrUndHeadFromCYLA4a,W37,ltcg.IncOfCurYrUndHeadFromCYLA4a)),IF(S39&gt;0,IF(S39&lt;ltcg.IncOfCurYrUndHeadFromCYLA4a,S39,ltcg.IncOfCurYrUndHeadFromCYLA4a),0))+AK36),IF(S36&gt;0,IF(S39&gt;0,IF(S39&lt;ltcg.IncOfCurYrUndHeadFromCYLA4a,S39,ltcg.IncOfCurYrUndHeadFromCYLA4a),IF(W37&lt;ltcg.IncOfCurYrUndHeadFromCYLA4a,W37,ltcg.IncOfCurYrUndHeadFromCYLA4a)),IF(S39&gt;0,IF(S39&lt;ltcg.IncOfCurYrUndHeadFromCYLA4a,S39,ltcg.IncOfCurYrUndHeadFromCYLA4a),0))+W37),IF(S36&gt;0,IF(S39&gt;0,IF(S39&lt;ltcg.IncOfCurYrUndHeadFromCYLA4a,S39,ltcg.IncOfCurYrUndHeadFromCYLA4a),IF(W37&lt;ltcg.IncOfCurYrUndHeadFromCYLA4a,W37,ltcg.IncOfCurYrUndHeadFromCYLA4a)),IF(S39&lt;ltcg.IncOfCurYrUndHeadFromCYLA4a,S39,ltcg.IncOfCurYrUndHeadFromCYLA4a)))</f>
        <v>0</v>
      </c>
      <c r="V40" s="734" t="s">
        <v>437</v>
      </c>
      <c r="W40" s="121">
        <f>IF(S39&gt;0,S39-(IF(S36&gt;0,IF(S39&gt;0,IF(S39&lt;ltcg.IncOfCurYrUndHeadFromCYLA4a,S39,ltcg.IncOfCurYrUndHeadFromCYLA4a),IF(W37&lt;ltcg.IncOfCurYrUndHeadFromCYLA4a,W37,ltcg.IncOfCurYrUndHeadFromCYLA4a)),IF(S39&lt;ltcg.IncOfCurYrUndHeadFromCYLA4a,S39,ltcg.IncOfCurYrUndHeadFromCYLA4a))),W37-(IF(S36&gt;0,IF(S39&gt;0,IF(S39&lt;ltcg.IncOfCurYrUndHeadFromCYLA4a,S39,ltcg.IncOfCurYrUndHeadFromCYLA4a),IF(W37&lt;ltcg.IncOfCurYrUndHeadFromCYLA4a,W37,ltcg.IncOfCurYrUndHeadFromCYLA4a)),IF(S39&lt;ltcg.IncOfCurYrUndHeadFromCYLA4a,S39,ltcg.IncOfCurYrUndHeadFromCYLA4a))))</f>
        <v>0</v>
      </c>
      <c r="X40" s="121">
        <f>MAX(0,W37-AK36)</f>
        <v>0</v>
      </c>
      <c r="AI40" s="1689" t="s">
        <v>1573</v>
      </c>
      <c r="AK40" s="121" t="s">
        <v>1576</v>
      </c>
    </row>
    <row r="41" spans="2:43" ht="25.5" x14ac:dyDescent="0.2">
      <c r="B41" s="1797"/>
      <c r="C41" s="3355"/>
      <c r="D41" s="8" t="s">
        <v>462</v>
      </c>
      <c r="E41" s="2004" t="s">
        <v>9016</v>
      </c>
      <c r="F41" s="729">
        <f>(J19)</f>
        <v>0</v>
      </c>
      <c r="G41" s="1391">
        <v>0</v>
      </c>
      <c r="H41" s="1391">
        <v>0</v>
      </c>
      <c r="I41" s="1391">
        <v>0</v>
      </c>
      <c r="J41" s="1391">
        <f>MAX(0,(F41-G41-H41-I41))</f>
        <v>0</v>
      </c>
      <c r="K41" s="1836"/>
      <c r="V41" s="734"/>
      <c r="AI41" s="1689"/>
    </row>
    <row r="42" spans="2:43" ht="61.5" customHeight="1" x14ac:dyDescent="0.2">
      <c r="B42" s="1797"/>
      <c r="C42" s="3355"/>
      <c r="D42" s="8" t="s">
        <v>1073</v>
      </c>
      <c r="E42" s="2004" t="s">
        <v>9674</v>
      </c>
      <c r="F42" s="729">
        <f t="shared" si="1"/>
        <v>0</v>
      </c>
      <c r="G42" s="1489"/>
      <c r="H42" s="1391">
        <v>0</v>
      </c>
      <c r="I42" s="1391">
        <v>0</v>
      </c>
      <c r="J42" s="1391">
        <f t="shared" si="2"/>
        <v>0</v>
      </c>
      <c r="K42" s="1836"/>
      <c r="P42" s="121">
        <f>IF(AC31&lt;othsrcincl.IncOfCurYrUndHeadFromCYLA5,AC31,othsrcincl.IncOfCurYrUndHeadFromCYLA5)</f>
        <v>0</v>
      </c>
      <c r="V42" s="734" t="s">
        <v>439</v>
      </c>
      <c r="W42" s="121" t="s">
        <v>1566</v>
      </c>
      <c r="X42" s="121" t="s">
        <v>1575</v>
      </c>
      <c r="AC42" s="121">
        <f>(AC31-othsrcincl.BFUnabsorbedDeprSetoff5)</f>
        <v>0</v>
      </c>
      <c r="AI42" s="121">
        <f>IF(AK36&gt;0,IF(W37&gt;0,IF(W37&gt;AK36,IF(S36&gt;0,IF(S39&gt;0,IF(S39&lt;ltcg.IncOfCurYrUndHeadFromCYLA4a,S39,ltcg.IncOfCurYrUndHeadFromCYLA4a),IF(W37&lt;ltcg.IncOfCurYrUndHeadFromCYLA4a,W37,ltcg.IncOfCurYrUndHeadFromCYLA4a)),IF(S39&gt;0,IF(S39&lt;ltcg.IncOfCurYrUndHeadFromCYLA4a,S39,ltcg.IncOfCurYrUndHeadFromCYLA4a),0))+AK36),IF(S36&gt;0,IF(S39&gt;0,IF(S39&lt;ltcg.IncOfCurYrUndHeadFromCYLA4a,S39,ltcg.IncOfCurYrUndHeadFromCYLA4a),IF(W37&lt;ltcg.IncOfCurYrUndHeadFromCYLA4a,W37,ltcg.IncOfCurYrUndHeadFromCYLA4a)),IF(S39&gt;0,IF(S39&lt;ltcg.IncOfCurYrUndHeadFromCYLA4a,S39,ltcg.IncOfCurYrUndHeadFromCYLA4a),0))+W37),IF(S36&gt;0,IF(S39&gt;0,IF(S39&lt;ltcg.IncOfCurYrUndHeadFromCYLA4a,S39,ltcg.IncOfCurYrUndHeadFromCYLA4a),IF(W37&lt;ltcg.IncOfCurYrUndHeadFromCYLA4a,W37,ltcg.IncOfCurYrUndHeadFromCYLA4a)),IF(S39&lt;ltcg.IncOfCurYrUndHeadFromCYLA4a,S39,ltcg.IncOfCurYrUndHeadFromCYLA4a)))</f>
        <v>0</v>
      </c>
      <c r="AK42" s="121">
        <f>IF(AK37&gt;0,IF(X35&gt;0,IF(X35&gt;AK37,IF(S36&gt;0,IF(S39&gt;0,IF(W40&lt;ltcg.IncOfCurYrUndHeadFromCYLA4,W40,ltcg.IncOfCurYrUndHeadFromCYLA4),IF(X35&lt;ltcg.IncOfCurYrUndHeadFromCYLA4,X35,ltcg.IncOfCurYrUndHeadFromCYLA4)),IF(S39&gt;0,IF(W40&lt;ltcg.IncOfCurYrUndHeadFromCYLA4,W40,ltcg.IncOfCurYrUndHeadFromCYLA4),0))+AK37,(IF(S36&gt;0,IF(S39&gt;0,IF(W40&lt;ltcg.IncOfCurYrUndHeadFromCYLA4,W40,ltcg.IncOfCurYrUndHeadFromCYLA4),IF(X35&lt;ltcg.IncOfCurYrUndHeadFromCYLA4,X35,ltcg.IncOfCurYrUndHeadFromCYLA4)),IF(S39&gt;0,IF(W40&lt;ltcg.IncOfCurYrUndHeadFromCYLA4,W40,ltcg.IncOfCurYrUndHeadFromCYLA4),0))+X35)),0),IF(S36&gt;0,IF(S39&gt;0,IF(W40&lt;ltcg.IncOfCurYrUndHeadFromCYLA4,W40,ltcg.IncOfCurYrUndHeadFromCYLA4),IF(X35&lt;ltcg.IncOfCurYrUndHeadFromCYLA4,X35,ltcg.IncOfCurYrUndHeadFromCYLA4)),IF(S39&gt;0,IF(W40&lt;ltcg.IncOfCurYrUndHeadFromCYLA4,W40,ltcg.IncOfCurYrUndHeadFromCYLA4),0)))</f>
        <v>0</v>
      </c>
    </row>
    <row r="43" spans="2:43" ht="38.25" x14ac:dyDescent="0.2">
      <c r="B43" s="1797"/>
      <c r="C43" s="3355"/>
      <c r="D43" s="8" t="s">
        <v>1075</v>
      </c>
      <c r="E43" s="2004" t="s">
        <v>1085</v>
      </c>
      <c r="F43" s="729">
        <f t="shared" si="1"/>
        <v>0</v>
      </c>
      <c r="G43" s="1391">
        <v>0</v>
      </c>
      <c r="H43" s="1391">
        <v>0</v>
      </c>
      <c r="I43" s="1391">
        <v>0</v>
      </c>
      <c r="J43" s="1391">
        <f t="shared" si="2"/>
        <v>0</v>
      </c>
      <c r="K43" s="1836"/>
      <c r="O43" s="121">
        <f>IF(S43&lt;rh.IncOfCurYrUndHeadFromCYLA6,S43,rh.IncOfCurYrUndHeadFromCYLA6)</f>
        <v>0</v>
      </c>
      <c r="R43" s="121" t="s">
        <v>1567</v>
      </c>
      <c r="S43" s="121">
        <f>totofbfloss.OthSrcLossRaceHorseCF8</f>
        <v>0</v>
      </c>
      <c r="V43" s="734" t="s">
        <v>462</v>
      </c>
    </row>
    <row r="44" spans="2:43" ht="51" x14ac:dyDescent="0.2">
      <c r="B44" s="1797"/>
      <c r="C44" s="3355"/>
      <c r="D44" s="8" t="s">
        <v>8801</v>
      </c>
      <c r="E44" s="2004" t="s">
        <v>9675</v>
      </c>
      <c r="F44" s="729">
        <f t="shared" si="1"/>
        <v>0</v>
      </c>
      <c r="G44" s="1489"/>
      <c r="H44" s="1391">
        <v>0</v>
      </c>
      <c r="I44" s="1391">
        <v>0</v>
      </c>
      <c r="J44" s="1391">
        <f>MAX(0,(F44-H44-I44))</f>
        <v>0</v>
      </c>
      <c r="K44" s="1836"/>
      <c r="V44" s="734"/>
    </row>
    <row r="45" spans="2:43" ht="44.25" customHeight="1" x14ac:dyDescent="0.2">
      <c r="B45" s="1797"/>
      <c r="C45" s="3355"/>
      <c r="D45" s="8" t="s">
        <v>9011</v>
      </c>
      <c r="E45" s="2999" t="s">
        <v>9677</v>
      </c>
      <c r="F45" s="2999"/>
      <c r="G45" s="1391">
        <f>SUM(G31:G44)</f>
        <v>0</v>
      </c>
      <c r="H45" s="1391">
        <f>SUM(H31:H44)</f>
        <v>0</v>
      </c>
      <c r="I45" s="1391">
        <f>SUM(I31:I44)</f>
        <v>0</v>
      </c>
      <c r="J45" s="736"/>
      <c r="K45" s="1836"/>
    </row>
    <row r="46" spans="2:43" ht="31.5" customHeight="1" x14ac:dyDescent="0.2">
      <c r="B46" s="1797"/>
      <c r="C46" s="3355"/>
      <c r="D46" s="8" t="s">
        <v>9012</v>
      </c>
      <c r="E46" s="2993" t="s">
        <v>9676</v>
      </c>
      <c r="F46" s="2994"/>
      <c r="G46" s="2994"/>
      <c r="H46" s="2994"/>
      <c r="I46" s="2994"/>
      <c r="J46" s="1490">
        <f>SUM(J30:J44)</f>
        <v>0</v>
      </c>
      <c r="K46" s="1836"/>
    </row>
    <row r="47" spans="2:43" ht="15.75" customHeight="1" thickBot="1" x14ac:dyDescent="0.25">
      <c r="B47" s="1824"/>
      <c r="C47" s="1825"/>
      <c r="D47" s="1825"/>
      <c r="E47" s="1825"/>
      <c r="F47" s="1825"/>
      <c r="G47" s="1825"/>
      <c r="H47" s="1825"/>
      <c r="I47" s="1825"/>
      <c r="J47" s="1825"/>
      <c r="K47" s="1845"/>
    </row>
    <row r="48" spans="2:43" x14ac:dyDescent="0.2"/>
    <row r="75" spans="9:12" hidden="1" x14ac:dyDescent="0.2">
      <c r="I75" s="459"/>
      <c r="J75" s="459"/>
      <c r="K75" s="54"/>
      <c r="L75" s="54"/>
    </row>
    <row r="76" spans="9:12" hidden="1" x14ac:dyDescent="0.2">
      <c r="J76" s="459"/>
      <c r="K76" s="54"/>
      <c r="L76" s="54"/>
    </row>
    <row r="77" spans="9:12" hidden="1" x14ac:dyDescent="0.2">
      <c r="J77" s="459"/>
      <c r="K77" s="54"/>
      <c r="L77" s="54"/>
    </row>
    <row r="78" spans="9:12" hidden="1" x14ac:dyDescent="0.2">
      <c r="J78" s="459"/>
      <c r="K78" s="54"/>
      <c r="L78" s="54"/>
    </row>
    <row r="79" spans="9:12" hidden="1" x14ac:dyDescent="0.2">
      <c r="J79" s="459"/>
      <c r="K79" s="54"/>
      <c r="L79" s="54"/>
    </row>
    <row r="80" spans="9:12" hidden="1" x14ac:dyDescent="0.2">
      <c r="J80" s="459"/>
      <c r="K80" s="54"/>
      <c r="L80" s="54"/>
    </row>
    <row r="81" spans="9:12" hidden="1" x14ac:dyDescent="0.2">
      <c r="J81" s="459"/>
      <c r="K81" s="54"/>
      <c r="L81" s="54"/>
    </row>
    <row r="82" spans="9:12" hidden="1" x14ac:dyDescent="0.2">
      <c r="I82" s="459"/>
      <c r="J82" s="459"/>
      <c r="K82" s="54"/>
      <c r="L82" s="54"/>
    </row>
    <row r="83" spans="9:12" hidden="1" x14ac:dyDescent="0.2">
      <c r="I83" s="459"/>
      <c r="J83" s="459"/>
      <c r="K83" s="54"/>
      <c r="L83" s="54"/>
    </row>
    <row r="84" spans="9:12" hidden="1" x14ac:dyDescent="0.2">
      <c r="I84" s="459"/>
      <c r="J84" s="459"/>
      <c r="K84" s="54"/>
      <c r="L84" s="54"/>
    </row>
    <row r="85" spans="9:12" hidden="1" x14ac:dyDescent="0.2">
      <c r="I85" s="459"/>
      <c r="K85" s="54"/>
      <c r="L85" s="54"/>
    </row>
    <row r="65523" s="1769" customFormat="1" ht="15" hidden="1" x14ac:dyDescent="0.25"/>
    <row r="65524" s="1769" customFormat="1" ht="15" hidden="1" x14ac:dyDescent="0.25"/>
    <row r="65525" s="1769" customFormat="1" ht="15" hidden="1" x14ac:dyDescent="0.25"/>
    <row r="65526" s="1769" customFormat="1" ht="15" hidden="1" x14ac:dyDescent="0.25"/>
    <row r="65527" s="1769" customFormat="1" ht="15" hidden="1" x14ac:dyDescent="0.25"/>
    <row r="65528" s="1769" customFormat="1" ht="15" hidden="1" x14ac:dyDescent="0.25"/>
    <row r="65529" s="1769" customFormat="1" ht="15" hidden="1" x14ac:dyDescent="0.25"/>
    <row r="65530" s="1769" customFormat="1" ht="15" hidden="1" x14ac:dyDescent="0.25"/>
    <row r="65531" s="1769" customFormat="1" ht="15" hidden="1" x14ac:dyDescent="0.25"/>
    <row r="65532" s="1769" customFormat="1" ht="15" hidden="1" x14ac:dyDescent="0.25"/>
    <row r="65533" s="1769" customFormat="1" ht="15" hidden="1" x14ac:dyDescent="0.25"/>
    <row r="65534" s="1769" customFormat="1" ht="15" hidden="1" x14ac:dyDescent="0.25"/>
    <row r="65535" s="1769" customFormat="1" ht="15" hidden="1" x14ac:dyDescent="0.25"/>
    <row r="65536" s="1769" customFormat="1" ht="15" hidden="1" x14ac:dyDescent="0.25"/>
  </sheetData>
  <sheetProtection algorithmName="SHA-512" hashValue="QgSQUBOCOjo2FhF5+J2EL04QqIut5hHXK9PuR3cZLI71Qw2WyiohklVDezwvI9nRWV6jPRCzeiwzA+T8PKIWaQ==" saltValue="psKUqehQjzHu8O1DRsUttg==" spinCount="100000" sheet="1" objects="1" scenarios="1"/>
  <mergeCells count="13">
    <mergeCell ref="C26:E26"/>
    <mergeCell ref="F26:J26"/>
    <mergeCell ref="C27:C46"/>
    <mergeCell ref="D27:D29"/>
    <mergeCell ref="E27:E29"/>
    <mergeCell ref="E45:F45"/>
    <mergeCell ref="E46:I46"/>
    <mergeCell ref="C3:E3"/>
    <mergeCell ref="F3:J3"/>
    <mergeCell ref="C4:C24"/>
    <mergeCell ref="D5:D7"/>
    <mergeCell ref="E24:F24"/>
    <mergeCell ref="E5:E7"/>
  </mergeCells>
  <dataValidations count="1">
    <dataValidation type="whole" allowBlank="1" showErrorMessage="1" error="  Non negative, no decimal, upto 99,999,999,999,999" sqref="F9:F22 G23:I24 H9:J9 F8:G8 I8:J8 G10:J22 G45:I45 J46 F30:J44">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1527" r:id="rId5" name="Button 23">
              <controlPr defaultSize="0" print="0" autoFill="0" autoPict="0" macro="[0]!ValidateCFLABFLAClick">
                <anchor>
                  <from>
                    <xdr:col>11</xdr:col>
                    <xdr:colOff>104775</xdr:colOff>
                    <xdr:row>3</xdr:row>
                    <xdr:rowOff>104775</xdr:rowOff>
                  </from>
                  <to>
                    <xdr:col>11</xdr:col>
                    <xdr:colOff>1476375</xdr:colOff>
                    <xdr:row>3</xdr:row>
                    <xdr:rowOff>381000</xdr:rowOff>
                  </to>
                </anchor>
              </controlPr>
            </control>
          </mc:Choice>
        </mc:AlternateContent>
        <mc:AlternateContent xmlns:mc="http://schemas.openxmlformats.org/markup-compatibility/2006">
          <mc:Choice Requires="x14">
            <control shapeId="21528" r:id="rId6" name="Button 24">
              <controlPr defaultSize="0" print="0" autoFill="0" autoPict="0" macro="[0]!Prev_Sheet">
                <anchor>
                  <from>
                    <xdr:col>11</xdr:col>
                    <xdr:colOff>104775</xdr:colOff>
                    <xdr:row>3</xdr:row>
                    <xdr:rowOff>704850</xdr:rowOff>
                  </from>
                  <to>
                    <xdr:col>11</xdr:col>
                    <xdr:colOff>1476375</xdr:colOff>
                    <xdr:row>4</xdr:row>
                    <xdr:rowOff>19050</xdr:rowOff>
                  </to>
                </anchor>
              </controlPr>
            </control>
          </mc:Choice>
        </mc:AlternateContent>
        <mc:AlternateContent xmlns:mc="http://schemas.openxmlformats.org/markup-compatibility/2006">
          <mc:Choice Requires="x14">
            <control shapeId="21529" r:id="rId7" name="Button 25">
              <controlPr defaultSize="0" print="0" autoFill="0" autoPict="0" macro="[0]!Img_Home_Click">
                <anchor>
                  <from>
                    <xdr:col>11</xdr:col>
                    <xdr:colOff>104775</xdr:colOff>
                    <xdr:row>1</xdr:row>
                    <xdr:rowOff>171450</xdr:rowOff>
                  </from>
                  <to>
                    <xdr:col>11</xdr:col>
                    <xdr:colOff>1476375</xdr:colOff>
                    <xdr:row>3</xdr:row>
                    <xdr:rowOff>95250</xdr:rowOff>
                  </to>
                </anchor>
              </controlPr>
            </control>
          </mc:Choice>
        </mc:AlternateContent>
        <mc:AlternateContent xmlns:mc="http://schemas.openxmlformats.org/markup-compatibility/2006">
          <mc:Choice Requires="x14">
            <control shapeId="21531" r:id="rId8" name="Button 27">
              <controlPr defaultSize="0" print="0" autoFill="0" autoPict="0" macro="[0]!Next_Sheet">
                <anchor>
                  <from>
                    <xdr:col>11</xdr:col>
                    <xdr:colOff>104775</xdr:colOff>
                    <xdr:row>3</xdr:row>
                    <xdr:rowOff>400050</xdr:rowOff>
                  </from>
                  <to>
                    <xdr:col>11</xdr:col>
                    <xdr:colOff>1476375</xdr:colOff>
                    <xdr:row>3</xdr:row>
                    <xdr:rowOff>676275</xdr:rowOff>
                  </to>
                </anchor>
              </controlPr>
            </control>
          </mc:Choice>
        </mc:AlternateContent>
        <mc:AlternateContent xmlns:mc="http://schemas.openxmlformats.org/markup-compatibility/2006">
          <mc:Choice Requires="x14">
            <control shapeId="21532" r:id="rId9" name="Button 28">
              <controlPr defaultSize="0" print="0" autoFill="0" autoPict="0" macro="[0]!Instruction_Sheet">
                <anchor>
                  <from>
                    <xdr:col>11</xdr:col>
                    <xdr:colOff>104775</xdr:colOff>
                    <xdr:row>5</xdr:row>
                    <xdr:rowOff>66675</xdr:rowOff>
                  </from>
                  <to>
                    <xdr:col>11</xdr:col>
                    <xdr:colOff>1476375</xdr:colOff>
                    <xdr:row>7</xdr:row>
                    <xdr:rowOff>19050</xdr:rowOff>
                  </to>
                </anchor>
              </controlPr>
            </control>
          </mc:Choice>
        </mc:AlternateContent>
        <mc:AlternateContent xmlns:mc="http://schemas.openxmlformats.org/markup-compatibility/2006">
          <mc:Choice Requires="x14">
            <control shapeId="21533" r:id="rId10" name="Button 29">
              <controlPr defaultSize="0" print="0" autoFill="0" autoPict="0" macro="[0]!WorksheetsPrint">
                <anchor>
                  <from>
                    <xdr:col>11</xdr:col>
                    <xdr:colOff>104775</xdr:colOff>
                    <xdr:row>4</xdr:row>
                    <xdr:rowOff>342900</xdr:rowOff>
                  </from>
                  <to>
                    <xdr:col>11</xdr:col>
                    <xdr:colOff>1476375</xdr:colOff>
                    <xdr:row>5</xdr:row>
                    <xdr:rowOff>57150</xdr:rowOff>
                  </to>
                </anchor>
              </controlPr>
            </control>
          </mc:Choice>
        </mc:AlternateContent>
        <mc:AlternateContent xmlns:mc="http://schemas.openxmlformats.org/markup-compatibility/2006">
          <mc:Choice Requires="x14">
            <control shapeId="21534" r:id="rId11" name="Button 30">
              <controlPr defaultSize="0" print="0" autoFill="0" autoPict="0" macro="[0]!GenerateJSON.GenerateJSON">
                <anchor>
                  <from>
                    <xdr:col>11</xdr:col>
                    <xdr:colOff>104775</xdr:colOff>
                    <xdr:row>4</xdr:row>
                    <xdr:rowOff>57150</xdr:rowOff>
                  </from>
                  <to>
                    <xdr:col>11</xdr:col>
                    <xdr:colOff>1476375</xdr:colOff>
                    <xdr:row>4</xdr:row>
                    <xdr:rowOff>323850</xdr:rowOff>
                  </to>
                </anchor>
              </controlPr>
            </control>
          </mc:Choice>
        </mc:AlternateContent>
        <mc:AlternateContent xmlns:mc="http://schemas.openxmlformats.org/markup-compatibility/2006">
          <mc:Choice Requires="x14">
            <control shapeId="21535" r:id="rId12" name="Button 31">
              <controlPr defaultSize="0" print="0" autoFill="0" autoPict="0" macro="[0]!CYLABFLAsetoffclick">
                <anchor>
                  <from>
                    <xdr:col>11</xdr:col>
                    <xdr:colOff>104775</xdr:colOff>
                    <xdr:row>7</xdr:row>
                    <xdr:rowOff>38100</xdr:rowOff>
                  </from>
                  <to>
                    <xdr:col>11</xdr:col>
                    <xdr:colOff>1476375</xdr:colOff>
                    <xdr:row>8</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65538"/>
  <sheetViews>
    <sheetView showGridLines="0" showRowColHeaders="0" zoomScaleNormal="100" workbookViewId="0">
      <selection activeCell="D4" sqref="D4:D5"/>
    </sheetView>
  </sheetViews>
  <sheetFormatPr defaultColWidth="0" defaultRowHeight="0" customHeight="1" zeroHeight="1" x14ac:dyDescent="0.2"/>
  <cols>
    <col min="1" max="1" width="3.28515625" style="121" customWidth="1"/>
    <col min="2" max="2" width="3.7109375" style="121" customWidth="1"/>
    <col min="3" max="3" width="4.42578125" style="121" customWidth="1"/>
    <col min="4" max="4" width="5.28515625" style="121" customWidth="1"/>
    <col min="5" max="5" width="14.140625" style="121" customWidth="1"/>
    <col min="6" max="6" width="14.28515625" style="121" customWidth="1"/>
    <col min="7" max="7" width="13.7109375" style="121" customWidth="1"/>
    <col min="8" max="8" width="2.42578125" style="121" hidden="1" customWidth="1"/>
    <col min="9" max="9" width="1.7109375" style="121" hidden="1" customWidth="1"/>
    <col min="10" max="10" width="15.5703125" style="121" customWidth="1"/>
    <col min="11" max="11" width="19.85546875" style="121" customWidth="1"/>
    <col min="12" max="12" width="20.5703125" style="121" customWidth="1"/>
    <col min="13" max="14" width="13.85546875" style="121" customWidth="1"/>
    <col min="15" max="15" width="13.5703125" style="121" customWidth="1"/>
    <col min="16" max="16" width="2.140625" style="121" hidden="1" customWidth="1"/>
    <col min="17" max="17" width="1.140625" style="121" hidden="1" customWidth="1"/>
    <col min="18" max="18" width="13.7109375" style="121" customWidth="1"/>
    <col min="19" max="19" width="12.5703125" style="121" hidden="1" customWidth="1"/>
    <col min="20" max="20" width="2" style="121" hidden="1" customWidth="1"/>
    <col min="21" max="21" width="13.140625" style="121" customWidth="1"/>
    <col min="22" max="22" width="3.42578125" style="124" customWidth="1"/>
    <col min="23" max="23" width="35" style="124" customWidth="1"/>
    <col min="24" max="29" width="9.140625" style="121" hidden="1" customWidth="1"/>
    <col min="30" max="30" width="17.85546875" style="121" hidden="1" customWidth="1"/>
    <col min="31" max="16384" width="9.140625" style="121" hidden="1"/>
  </cols>
  <sheetData>
    <row r="1" spans="2:30" ht="13.5" thickBot="1" x14ac:dyDescent="0.25"/>
    <row r="2" spans="2:30" s="124" customFormat="1" ht="12.75" x14ac:dyDescent="0.2">
      <c r="B2" s="1846"/>
      <c r="C2" s="1830"/>
      <c r="D2" s="1830"/>
      <c r="E2" s="1830"/>
      <c r="F2" s="1830"/>
      <c r="G2" s="1830"/>
      <c r="H2" s="1830"/>
      <c r="I2" s="1830"/>
      <c r="J2" s="1830"/>
      <c r="K2" s="1830"/>
      <c r="L2" s="1830"/>
      <c r="M2" s="1830"/>
      <c r="N2" s="1830"/>
      <c r="O2" s="1830"/>
      <c r="P2" s="1830"/>
      <c r="Q2" s="1830"/>
      <c r="R2" s="1830"/>
      <c r="S2" s="1830"/>
      <c r="T2" s="1830"/>
      <c r="U2" s="1830"/>
      <c r="V2" s="1843"/>
    </row>
    <row r="3" spans="2:30" ht="12.75" customHeight="1" x14ac:dyDescent="0.2">
      <c r="B3" s="1797"/>
      <c r="C3" s="3317" t="s">
        <v>1086</v>
      </c>
      <c r="D3" s="3317"/>
      <c r="E3" s="3317"/>
      <c r="F3" s="3739" t="s">
        <v>1087</v>
      </c>
      <c r="G3" s="3739"/>
      <c r="H3" s="3739"/>
      <c r="I3" s="3739"/>
      <c r="J3" s="3739"/>
      <c r="K3" s="3739"/>
      <c r="L3" s="3739"/>
      <c r="M3" s="3739"/>
      <c r="N3" s="3739"/>
      <c r="O3" s="3739"/>
      <c r="P3" s="3739"/>
      <c r="Q3" s="3739"/>
      <c r="R3" s="3739"/>
      <c r="S3" s="3739"/>
      <c r="T3" s="3739"/>
      <c r="U3" s="3739"/>
      <c r="V3" s="1836"/>
    </row>
    <row r="4" spans="2:30" ht="45" customHeight="1" x14ac:dyDescent="0.2">
      <c r="B4" s="1797"/>
      <c r="C4" s="3185" t="s">
        <v>1088</v>
      </c>
      <c r="D4" s="3023" t="s">
        <v>12042</v>
      </c>
      <c r="E4" s="3023" t="s">
        <v>12043</v>
      </c>
      <c r="F4" s="3023" t="s">
        <v>12044</v>
      </c>
      <c r="G4" s="3743" t="s">
        <v>12045</v>
      </c>
      <c r="H4" s="3744"/>
      <c r="I4" s="3745"/>
      <c r="J4" s="3743" t="s">
        <v>12786</v>
      </c>
      <c r="K4" s="3744"/>
      <c r="L4" s="3745"/>
      <c r="M4" s="3023" t="s">
        <v>12046</v>
      </c>
      <c r="N4" s="3023" t="s">
        <v>12047</v>
      </c>
      <c r="O4" s="3743" t="s">
        <v>12048</v>
      </c>
      <c r="P4" s="3744"/>
      <c r="Q4" s="3745"/>
      <c r="R4" s="3743" t="s">
        <v>12049</v>
      </c>
      <c r="S4" s="3744"/>
      <c r="T4" s="3745"/>
      <c r="U4" s="3099" t="s">
        <v>12050</v>
      </c>
      <c r="V4" s="1836"/>
    </row>
    <row r="5" spans="2:30" ht="51.75" customHeight="1" x14ac:dyDescent="0.2">
      <c r="B5" s="1797"/>
      <c r="C5" s="3185"/>
      <c r="D5" s="3025"/>
      <c r="E5" s="3025"/>
      <c r="F5" s="3025"/>
      <c r="G5" s="3746"/>
      <c r="H5" s="3747"/>
      <c r="I5" s="3748"/>
      <c r="J5" s="2201" t="s">
        <v>12789</v>
      </c>
      <c r="K5" s="1738" t="s">
        <v>12787</v>
      </c>
      <c r="L5" s="2201" t="s">
        <v>12788</v>
      </c>
      <c r="M5" s="3024"/>
      <c r="N5" s="3025"/>
      <c r="O5" s="3746"/>
      <c r="P5" s="3747"/>
      <c r="Q5" s="3748"/>
      <c r="R5" s="3746"/>
      <c r="S5" s="3749"/>
      <c r="T5" s="3750"/>
      <c r="U5" s="3023"/>
      <c r="V5" s="1836"/>
    </row>
    <row r="6" spans="2:30" ht="12.75" customHeight="1" x14ac:dyDescent="0.2">
      <c r="B6" s="1797"/>
      <c r="C6" s="3185"/>
      <c r="D6" s="2065" t="s">
        <v>287</v>
      </c>
      <c r="E6" s="2004" t="s">
        <v>1093</v>
      </c>
      <c r="F6" s="2429"/>
      <c r="G6" s="737"/>
      <c r="H6" s="2212"/>
      <c r="I6" s="2212"/>
      <c r="J6" s="2212"/>
      <c r="K6" s="2212"/>
      <c r="L6" s="2208"/>
      <c r="M6" s="2208"/>
      <c r="N6" s="1451"/>
      <c r="O6" s="737"/>
      <c r="P6" s="2212"/>
      <c r="Q6" s="2212"/>
      <c r="R6" s="2208"/>
      <c r="S6" s="2217"/>
      <c r="T6" s="1907"/>
      <c r="U6" s="3740"/>
      <c r="V6" s="1836"/>
      <c r="AD6" s="121" t="s">
        <v>1596</v>
      </c>
    </row>
    <row r="7" spans="2:30" ht="12.75" customHeight="1" x14ac:dyDescent="0.2">
      <c r="B7" s="1797"/>
      <c r="C7" s="3185"/>
      <c r="D7" s="2065" t="s">
        <v>290</v>
      </c>
      <c r="E7" s="2004" t="s">
        <v>1094</v>
      </c>
      <c r="F7" s="2429"/>
      <c r="G7" s="2213"/>
      <c r="H7" s="2211"/>
      <c r="I7" s="2211"/>
      <c r="J7" s="2211"/>
      <c r="K7" s="2211"/>
      <c r="L7" s="2209"/>
      <c r="M7" s="2209"/>
      <c r="N7" s="1451"/>
      <c r="O7" s="2213"/>
      <c r="P7" s="2211"/>
      <c r="Q7" s="2211"/>
      <c r="R7" s="2209"/>
      <c r="S7" s="2217"/>
      <c r="T7" s="1907"/>
      <c r="U7" s="3741"/>
      <c r="V7" s="1836"/>
      <c r="AD7" s="1847">
        <v>38808</v>
      </c>
    </row>
    <row r="8" spans="2:30" ht="12.75" customHeight="1" x14ac:dyDescent="0.2">
      <c r="B8" s="1797"/>
      <c r="C8" s="3185"/>
      <c r="D8" s="2065" t="s">
        <v>293</v>
      </c>
      <c r="E8" s="2004" t="s">
        <v>1095</v>
      </c>
      <c r="F8" s="2429"/>
      <c r="G8" s="2213"/>
      <c r="H8" s="2211"/>
      <c r="I8" s="2211"/>
      <c r="J8" s="2211"/>
      <c r="K8" s="2211"/>
      <c r="L8" s="2209"/>
      <c r="M8" s="2209"/>
      <c r="N8" s="1451"/>
      <c r="O8" s="2213"/>
      <c r="P8" s="2211"/>
      <c r="Q8" s="2211"/>
      <c r="R8" s="2209"/>
      <c r="S8" s="2217"/>
      <c r="T8" s="1907"/>
      <c r="U8" s="3741"/>
      <c r="V8" s="1836"/>
      <c r="AD8" s="1847">
        <v>39173</v>
      </c>
    </row>
    <row r="9" spans="2:30" ht="12.75" customHeight="1" x14ac:dyDescent="0.2">
      <c r="B9" s="1797"/>
      <c r="C9" s="3185"/>
      <c r="D9" s="2065" t="s">
        <v>296</v>
      </c>
      <c r="E9" s="2004" t="s">
        <v>1096</v>
      </c>
      <c r="F9" s="2429"/>
      <c r="G9" s="2214"/>
      <c r="H9" s="2467">
        <v>0</v>
      </c>
      <c r="I9" s="2468">
        <f>G9+H9</f>
        <v>0</v>
      </c>
      <c r="J9" s="2215"/>
      <c r="K9" s="2519"/>
      <c r="L9" s="2216"/>
      <c r="M9" s="2209"/>
      <c r="N9" s="1491"/>
      <c r="O9" s="2213"/>
      <c r="P9" s="2211"/>
      <c r="Q9" s="2211">
        <f t="shared" ref="Q9:Q17" si="0">O9+P9</f>
        <v>0</v>
      </c>
      <c r="R9" s="2209"/>
      <c r="S9" s="2034"/>
      <c r="T9" s="1492">
        <f t="shared" ref="T9:T17" si="1">R9+S9</f>
        <v>0</v>
      </c>
      <c r="U9" s="3741"/>
      <c r="V9" s="1836"/>
      <c r="AD9" s="1847">
        <v>39539</v>
      </c>
    </row>
    <row r="10" spans="2:30" ht="12.75" customHeight="1" x14ac:dyDescent="0.2">
      <c r="B10" s="1797"/>
      <c r="C10" s="3185"/>
      <c r="D10" s="2065" t="s">
        <v>299</v>
      </c>
      <c r="E10" s="2004" t="s">
        <v>1109</v>
      </c>
      <c r="F10" s="2429"/>
      <c r="G10" s="1408"/>
      <c r="H10" s="1414">
        <v>0</v>
      </c>
      <c r="I10" s="2210">
        <f t="shared" ref="I10:I17" si="2">G10+H10</f>
        <v>0</v>
      </c>
      <c r="J10" s="1414"/>
      <c r="K10" s="2668"/>
      <c r="L10" s="1374">
        <f>MAX(0,yr2003.BusLossOthThanSpecLossCF4a-yr2003.BusLossOthThanSpecLossCF4b)</f>
        <v>0</v>
      </c>
      <c r="M10" s="1739"/>
      <c r="N10" s="1491"/>
      <c r="O10" s="1781"/>
      <c r="P10" s="2034"/>
      <c r="Q10" s="1492">
        <f t="shared" si="0"/>
        <v>0</v>
      </c>
      <c r="R10" s="2034"/>
      <c r="S10" s="2034"/>
      <c r="T10" s="1492">
        <f t="shared" si="1"/>
        <v>0</v>
      </c>
      <c r="U10" s="1739"/>
      <c r="V10" s="1836"/>
      <c r="AD10" s="1847">
        <v>39904</v>
      </c>
    </row>
    <row r="11" spans="2:30" ht="12.75" customHeight="1" x14ac:dyDescent="0.2">
      <c r="B11" s="1797"/>
      <c r="C11" s="3185"/>
      <c r="D11" s="2065" t="s">
        <v>430</v>
      </c>
      <c r="E11" s="2004" t="s">
        <v>6812</v>
      </c>
      <c r="F11" s="2429"/>
      <c r="G11" s="2034"/>
      <c r="H11" s="2034">
        <v>0</v>
      </c>
      <c r="I11" s="1492">
        <f t="shared" si="2"/>
        <v>0</v>
      </c>
      <c r="J11" s="2203"/>
      <c r="K11" s="2669"/>
      <c r="L11" s="1374">
        <f>MAX(0,yr2004.BusLossOthThanSpecLossCF5a-yr2004.BusLossOthThanSpecLossCF5b)</f>
        <v>0</v>
      </c>
      <c r="M11" s="1739"/>
      <c r="N11" s="1781"/>
      <c r="O11" s="1781"/>
      <c r="P11" s="2034"/>
      <c r="Q11" s="1492">
        <f t="shared" si="0"/>
        <v>0</v>
      </c>
      <c r="R11" s="2034"/>
      <c r="S11" s="2034"/>
      <c r="T11" s="1492">
        <f t="shared" si="1"/>
        <v>0</v>
      </c>
      <c r="U11" s="1739"/>
      <c r="V11" s="1836"/>
      <c r="AD11" s="1847">
        <v>40269</v>
      </c>
    </row>
    <row r="12" spans="2:30" ht="12.75" customHeight="1" x14ac:dyDescent="0.2">
      <c r="B12" s="1797"/>
      <c r="C12" s="3185"/>
      <c r="D12" s="2065" t="s">
        <v>432</v>
      </c>
      <c r="E12" s="2004" t="s">
        <v>7543</v>
      </c>
      <c r="F12" s="2429"/>
      <c r="G12" s="2034"/>
      <c r="H12" s="2034">
        <v>0</v>
      </c>
      <c r="I12" s="1492">
        <f t="shared" si="2"/>
        <v>0</v>
      </c>
      <c r="J12" s="2202"/>
      <c r="K12" s="1974"/>
      <c r="L12" s="1374">
        <f>MAX(0,yr2005.BusLossOthThanSpecLossCF6a-yr2005.BusLossOthThanSpecLossCF6b)</f>
        <v>0</v>
      </c>
      <c r="M12" s="1739"/>
      <c r="N12" s="2204"/>
      <c r="O12" s="1781"/>
      <c r="P12" s="2034"/>
      <c r="Q12" s="1492">
        <f t="shared" si="0"/>
        <v>0</v>
      </c>
      <c r="R12" s="2034"/>
      <c r="S12" s="2034"/>
      <c r="T12" s="1492">
        <f t="shared" si="1"/>
        <v>0</v>
      </c>
      <c r="U12" s="1739"/>
      <c r="V12" s="1836"/>
      <c r="AD12" s="1847">
        <v>40634</v>
      </c>
    </row>
    <row r="13" spans="2:30" ht="12.75" customHeight="1" x14ac:dyDescent="0.2">
      <c r="B13" s="1797"/>
      <c r="C13" s="3185"/>
      <c r="D13" s="2065" t="s">
        <v>434</v>
      </c>
      <c r="E13" s="2004" t="s">
        <v>7670</v>
      </c>
      <c r="F13" s="2429"/>
      <c r="G13" s="2034"/>
      <c r="H13" s="2034">
        <v>0</v>
      </c>
      <c r="I13" s="1492">
        <f t="shared" si="2"/>
        <v>0</v>
      </c>
      <c r="J13" s="2202"/>
      <c r="K13" s="1974"/>
      <c r="L13" s="1374">
        <f>MAX(0,yr2006.BusLossOthThanSpecLossCF7a-yr2006.BusLossOthThanSpecLossCF7b)</f>
        <v>0</v>
      </c>
      <c r="M13" s="1739"/>
      <c r="N13" s="2034"/>
      <c r="O13" s="1781"/>
      <c r="P13" s="2034"/>
      <c r="Q13" s="1492">
        <f t="shared" si="0"/>
        <v>0</v>
      </c>
      <c r="R13" s="2034"/>
      <c r="S13" s="2035"/>
      <c r="T13" s="1492">
        <f t="shared" si="1"/>
        <v>0</v>
      </c>
      <c r="U13" s="1739"/>
      <c r="V13" s="1836"/>
      <c r="AD13" s="1847">
        <v>41000</v>
      </c>
    </row>
    <row r="14" spans="2:30" ht="12.75" customHeight="1" x14ac:dyDescent="0.2">
      <c r="B14" s="1797"/>
      <c r="C14" s="3185"/>
      <c r="D14" s="2065" t="s">
        <v>435</v>
      </c>
      <c r="E14" s="2008" t="s">
        <v>8213</v>
      </c>
      <c r="F14" s="2429"/>
      <c r="G14" s="2034"/>
      <c r="H14" s="2035">
        <v>0</v>
      </c>
      <c r="I14" s="1492">
        <f t="shared" si="2"/>
        <v>0</v>
      </c>
      <c r="J14" s="2203"/>
      <c r="K14" s="2669"/>
      <c r="L14" s="1374">
        <f>MAX(0,yr2006.BusLossOthThanSpecLossCF9a-yr2006.BusLossOthThanSpecLossCF9b)</f>
        <v>0</v>
      </c>
      <c r="M14" s="2035"/>
      <c r="N14" s="2035"/>
      <c r="O14" s="2034"/>
      <c r="P14" s="2035"/>
      <c r="Q14" s="1492">
        <f t="shared" si="0"/>
        <v>0</v>
      </c>
      <c r="R14" s="2034"/>
      <c r="S14" s="2035"/>
      <c r="T14" s="1492">
        <f t="shared" si="1"/>
        <v>0</v>
      </c>
      <c r="U14" s="2034"/>
      <c r="V14" s="1836"/>
      <c r="AD14" s="1847"/>
    </row>
    <row r="15" spans="2:30" ht="12.75" customHeight="1" x14ac:dyDescent="0.2">
      <c r="B15" s="1797"/>
      <c r="C15" s="3185"/>
      <c r="D15" s="2065" t="s">
        <v>437</v>
      </c>
      <c r="E15" s="2008" t="s">
        <v>8904</v>
      </c>
      <c r="F15" s="2466"/>
      <c r="G15" s="2034"/>
      <c r="H15" s="2035">
        <v>0</v>
      </c>
      <c r="I15" s="1492">
        <f t="shared" si="2"/>
        <v>0</v>
      </c>
      <c r="J15" s="2203"/>
      <c r="K15" s="2669"/>
      <c r="L15" s="1374">
        <f>MAX(0,yr2007.BusLossOthThanSpecLossCF9a-yr2007.BusLossOthThanSpecLossCF9b)</f>
        <v>0</v>
      </c>
      <c r="M15" s="2035"/>
      <c r="N15" s="2035"/>
      <c r="O15" s="2034"/>
      <c r="P15" s="2035"/>
      <c r="Q15" s="1492">
        <f t="shared" si="0"/>
        <v>0</v>
      </c>
      <c r="R15" s="2034"/>
      <c r="S15" s="2035"/>
      <c r="T15" s="1492">
        <f t="shared" si="1"/>
        <v>0</v>
      </c>
      <c r="U15" s="2034"/>
      <c r="V15" s="1836"/>
      <c r="AD15" s="1847"/>
    </row>
    <row r="16" spans="2:30" ht="12.75" customHeight="1" x14ac:dyDescent="0.2">
      <c r="B16" s="1797"/>
      <c r="C16" s="3185"/>
      <c r="D16" s="2198" t="s">
        <v>439</v>
      </c>
      <c r="E16" s="2195" t="s">
        <v>11986</v>
      </c>
      <c r="F16" s="2466"/>
      <c r="G16" s="2196"/>
      <c r="H16" s="2197"/>
      <c r="I16" s="1492">
        <f t="shared" si="2"/>
        <v>0</v>
      </c>
      <c r="J16" s="2203"/>
      <c r="K16" s="2669"/>
      <c r="L16" s="1374">
        <f>MAX(0,yr2020.BusLossOthThanSpecLossCF10a-yr2020.BusLossOthThanSpecLossCF10b)</f>
        <v>0</v>
      </c>
      <c r="M16" s="2197"/>
      <c r="N16" s="2197"/>
      <c r="O16" s="2196"/>
      <c r="P16" s="2197"/>
      <c r="Q16" s="1492">
        <f t="shared" si="0"/>
        <v>0</v>
      </c>
      <c r="R16" s="2196"/>
      <c r="S16" s="2197"/>
      <c r="T16" s="1492">
        <f t="shared" si="1"/>
        <v>0</v>
      </c>
      <c r="U16" s="2196"/>
      <c r="V16" s="1836"/>
      <c r="AD16" s="1847"/>
    </row>
    <row r="17" spans="2:30" ht="12.75" customHeight="1" x14ac:dyDescent="0.2">
      <c r="B17" s="1797"/>
      <c r="C17" s="3185"/>
      <c r="D17" s="254" t="s">
        <v>462</v>
      </c>
      <c r="E17" s="2461" t="s">
        <v>12790</v>
      </c>
      <c r="F17" s="2466"/>
      <c r="G17" s="1408"/>
      <c r="H17" s="1545"/>
      <c r="I17" s="1492">
        <f t="shared" si="2"/>
        <v>0</v>
      </c>
      <c r="J17" s="1414"/>
      <c r="K17" s="2668"/>
      <c r="L17" s="1374">
        <f>MAX(0,yr2021.BusLossOthThanSpecLossCF11a-yr2021.BusLossOthThanSpecLossCF11b)</f>
        <v>0</v>
      </c>
      <c r="M17" s="1414"/>
      <c r="N17" s="1414"/>
      <c r="O17" s="2464"/>
      <c r="P17" s="1545"/>
      <c r="Q17" s="1492">
        <f t="shared" si="0"/>
        <v>0</v>
      </c>
      <c r="R17" s="2464"/>
      <c r="S17" s="1545"/>
      <c r="T17" s="1492">
        <f t="shared" si="1"/>
        <v>0</v>
      </c>
      <c r="U17" s="2463"/>
      <c r="V17" s="1836"/>
      <c r="AD17" s="1847"/>
    </row>
    <row r="18" spans="2:30" ht="33.75" customHeight="1" x14ac:dyDescent="0.2">
      <c r="B18" s="1797"/>
      <c r="C18" s="3185"/>
      <c r="D18" s="254" t="s">
        <v>1073</v>
      </c>
      <c r="E18" s="2007" t="s">
        <v>1097</v>
      </c>
      <c r="F18" s="1740"/>
      <c r="G18" s="1374">
        <f>SUM(G6:G17)</f>
        <v>0</v>
      </c>
      <c r="H18" s="738"/>
      <c r="I18" s="1374">
        <f>SUM(I6:I16)</f>
        <v>0</v>
      </c>
      <c r="J18" s="1374"/>
      <c r="K18" s="1374"/>
      <c r="L18" s="1374">
        <f>SUM(L6:L17)</f>
        <v>0</v>
      </c>
      <c r="M18" s="1374">
        <f>SUM(M11:M17)</f>
        <v>0</v>
      </c>
      <c r="N18" s="1374">
        <f>SUM(CFL.specifiedLoss,yr1999.BusLossSpecBus,yr2020.LossFrmSpecifiedBusCF10,yr2021.LossFrmSpecifiedBusCF11)</f>
        <v>0</v>
      </c>
      <c r="O18" s="1492">
        <f>SUM(O6:O17)</f>
        <v>0</v>
      </c>
      <c r="P18" s="738"/>
      <c r="Q18" s="1492">
        <f>SUM(Q6:Q16)</f>
        <v>0</v>
      </c>
      <c r="R18" s="1492">
        <f>SUM(R6:R17)</f>
        <v>0</v>
      </c>
      <c r="S18" s="738"/>
      <c r="T18" s="1492">
        <f>SUM(T6:T16)</f>
        <v>0</v>
      </c>
      <c r="U18" s="1378">
        <f>SUM(U11:U17)</f>
        <v>0</v>
      </c>
      <c r="V18" s="1836"/>
      <c r="AD18" s="1847">
        <v>41365</v>
      </c>
    </row>
    <row r="19" spans="2:30" ht="38.25" x14ac:dyDescent="0.2">
      <c r="B19" s="1797"/>
      <c r="C19" s="3185"/>
      <c r="D19" s="254" t="s">
        <v>1075</v>
      </c>
      <c r="E19" s="2007" t="s">
        <v>1098</v>
      </c>
      <c r="F19" s="1741"/>
      <c r="G19" s="1374">
        <v>0</v>
      </c>
      <c r="H19" s="1742"/>
      <c r="I19" s="1374">
        <v>0</v>
      </c>
      <c r="J19" s="1374"/>
      <c r="K19" s="1374"/>
      <c r="L19" s="1374">
        <v>0</v>
      </c>
      <c r="M19" s="1374">
        <v>0</v>
      </c>
      <c r="N19" s="1374">
        <v>0</v>
      </c>
      <c r="O19" s="1492">
        <v>0</v>
      </c>
      <c r="P19" s="1742"/>
      <c r="Q19" s="1492">
        <v>0</v>
      </c>
      <c r="R19" s="1492">
        <v>0</v>
      </c>
      <c r="S19" s="1742"/>
      <c r="T19" s="1492">
        <v>0</v>
      </c>
      <c r="U19" s="1493">
        <v>0</v>
      </c>
      <c r="V19" s="1836"/>
    </row>
    <row r="20" spans="2:30" ht="26.25" customHeight="1" x14ac:dyDescent="0.2">
      <c r="B20" s="1797"/>
      <c r="C20" s="3185"/>
      <c r="D20" s="254" t="s">
        <v>8801</v>
      </c>
      <c r="E20" s="3009" t="s">
        <v>13067</v>
      </c>
      <c r="F20" s="3742"/>
      <c r="G20" s="1374">
        <f>sheet16.BalHPlossCurYrAftSetoff</f>
        <v>0</v>
      </c>
      <c r="H20" s="1742"/>
      <c r="I20" s="1374">
        <v>0</v>
      </c>
      <c r="J20" s="1374"/>
      <c r="K20" s="1374"/>
      <c r="L20" s="1374">
        <f>sheet16.BalBusLossAftSetoff</f>
        <v>0</v>
      </c>
      <c r="M20" s="1374">
        <f>ABS(MIN(sheet12.AdjustedPLFrmSpecuBus,0))</f>
        <v>0</v>
      </c>
      <c r="N20" s="1374">
        <f>ABS(MIN(sheet12.AdjustedPLFrmSpecifiedBus,0))</f>
        <v>0</v>
      </c>
      <c r="O20" s="1374">
        <f>IHLA.Eviii2_StclSetoff15Per+IHLA.Eviii3_StclSetoff30Per+IHLA.Eviii4_StclSetoffAppRate+IHLA.Eviii5_StclSetoffDTAARate</f>
        <v>0</v>
      </c>
      <c r="P20" s="1742"/>
      <c r="Q20" s="1374">
        <v>0</v>
      </c>
      <c r="R20" s="1374">
        <f>IHLA.Eviii5_LtclSetOff10Per+IHLA.Eviii6_LtclSetOff20Per+IHLA.Eviii8_LtclSetOffDTAARate</f>
        <v>0</v>
      </c>
      <c r="S20" s="1742"/>
      <c r="T20" s="1374">
        <v>0</v>
      </c>
      <c r="U20" s="1374">
        <f>ABS(MIN(os.BalanceOwnRaceHorse,0))</f>
        <v>0</v>
      </c>
      <c r="V20" s="1836"/>
      <c r="X20" s="121">
        <f>sheet16.BalHPlossCurYrAftSetoff</f>
        <v>0</v>
      </c>
      <c r="Y20" s="121">
        <f>sheet16.BalBusLossAftSetoff</f>
        <v>0</v>
      </c>
      <c r="Z20" s="121">
        <f>ABS(MIN(0,sheet12.AdjustedPLFrmSpecuBus))</f>
        <v>0</v>
      </c>
    </row>
    <row r="21" spans="2:30" ht="39" customHeight="1" x14ac:dyDescent="0.2">
      <c r="B21" s="1797"/>
      <c r="C21" s="3185"/>
      <c r="D21" s="254" t="s">
        <v>9011</v>
      </c>
      <c r="E21" s="3009" t="s">
        <v>1099</v>
      </c>
      <c r="F21" s="3010"/>
      <c r="G21" s="1492">
        <f>IF(CFL_HP_Normal_2014&gt;adjtotloss.HPLossCF9,MAX(0,totofbfloss.HPLossCF8-CFL_HP_Normal_2014+yr2007.HPLossCF10),MAX(0,totofbfloss.HPLossCF8-adjtotloss.HPLossCF9+yr2007.HPLossCF10))</f>
        <v>0</v>
      </c>
      <c r="H21" s="1743"/>
      <c r="I21" s="1492">
        <v>0</v>
      </c>
      <c r="J21" s="1492"/>
      <c r="K21" s="1492"/>
      <c r="L21" s="1492">
        <f>IF(yr2003.BusLossOthThanSpecLossCF4&gt;adjtotloss.BusLossOthThanSpecLossCF9,MAX(0,totofbfloss.BusLossOthThanSpecLossCF8-yr2003.BusLossOthThanSpecLossCF4+yr2007.BusLossOthThanSpecLossCF10),MAX(0,totofbfloss.BusLossOthThanSpecLossCF8-adjtotloss.BusLossOthThanSpecLossCF9+yr2007.BusLossOthThanSpecLossCF10))</f>
        <v>0</v>
      </c>
      <c r="M21" s="1492">
        <f>IF(yr2006.LossFrmSpecBusCF9&gt;adjtotloss.LossFrmSpecBusCF9,MAX(0,totofbfloss.LossFrmSpecBusCF8-yr2006.LossFrmSpecBusCF9+yr2007.LossFrmSpecBusCF10),MAX(totofbfloss.LossFrmSpecBusCF8-adjtotloss.LossFrmSpecBusCF9+yr2007.LossFrmSpecBusCF10))</f>
        <v>0</v>
      </c>
      <c r="N21" s="1492">
        <f>MAX(0,totofbfloss.LossFrmSpecifiedBusCF8-adjtotloss.LossFrmSpecifiedBusCF9+yr2007.LossFrmSpecifiedBusCF10)</f>
        <v>0</v>
      </c>
      <c r="O21" s="1492">
        <f>IF(CFL_STCG_Normal_2014&gt;adjtotloss.STCGLossCF9,MAX(0,totofbfloss.STCGLossCF8-CFL_STCG_Normal_2014+yr2007.STCGLossCF10),MAX(0,totofbfloss.STCGLossCF8-adjtotloss.STCGLossCF9+yr2007.STCGLossCF10))</f>
        <v>0</v>
      </c>
      <c r="P21" s="1743"/>
      <c r="Q21" s="1492">
        <v>0</v>
      </c>
      <c r="R21" s="1492">
        <f>IF(CFL_LTCG_Normal_2014&gt;adjtotloss.LTCGLossCF9,MAX(0,totofbfloss.LTCGLossCF8-CFL_LTCG_Normal_2014+yr2007.LTCGLossCF10),MAX(0,totofbfloss.LTCGLossCF8-adjtotloss.LTCGLossCF9+yr2007.LTCGLossCF10))</f>
        <v>0</v>
      </c>
      <c r="S21" s="1743"/>
      <c r="T21" s="1492">
        <v>0</v>
      </c>
      <c r="U21" s="1493">
        <f>IF(yr2006.OthSrcLossRaceHorseCF9&gt;adjtotloss.OthSrcLossRaceHorseCF9,MAX(0,totofbfloss.OthSrcLossRaceHorseCF8-yr2006.OthSrcLossRaceHorseCF9+yr2007.OthSrcLossRaceHorseCF10),MAX(0,totofbfloss.OthSrcLossRaceHorseCF8-adjtotloss.OthSrcLossRaceHorseCF9+yr2007.OthSrcLossRaceHorseCF10))</f>
        <v>0</v>
      </c>
      <c r="V21" s="1836"/>
    </row>
    <row r="22" spans="2:30" ht="13.5" thickBot="1" x14ac:dyDescent="0.25">
      <c r="B22" s="1824"/>
      <c r="C22" s="1825"/>
      <c r="D22" s="1825"/>
      <c r="E22" s="1825"/>
      <c r="F22" s="1825"/>
      <c r="G22" s="1825"/>
      <c r="H22" s="1825"/>
      <c r="I22" s="1825"/>
      <c r="J22" s="1825"/>
      <c r="K22" s="1825"/>
      <c r="L22" s="1825"/>
      <c r="M22" s="1825"/>
      <c r="N22" s="1825"/>
      <c r="O22" s="1825"/>
      <c r="P22" s="1825"/>
      <c r="Q22" s="1825"/>
      <c r="R22" s="1825"/>
      <c r="S22" s="1825"/>
      <c r="T22" s="1825"/>
      <c r="U22" s="1825"/>
      <c r="V22" s="1845"/>
    </row>
    <row r="23" spans="2:30" ht="12.75" x14ac:dyDescent="0.2"/>
    <row r="24" spans="2:30" ht="12.75" hidden="1" x14ac:dyDescent="0.2"/>
    <row r="25" spans="2:30" ht="12.75" hidden="1" x14ac:dyDescent="0.2"/>
    <row r="26" spans="2:30" ht="12.75" hidden="1" x14ac:dyDescent="0.2"/>
    <row r="27" spans="2:30" ht="12.75" hidden="1" x14ac:dyDescent="0.2"/>
    <row r="28" spans="2:30" ht="12.75" hidden="1" x14ac:dyDescent="0.2"/>
    <row r="29" spans="2:30" ht="12.75" hidden="1" x14ac:dyDescent="0.2"/>
    <row r="30" spans="2:30" ht="12.75" hidden="1" x14ac:dyDescent="0.2"/>
    <row r="31" spans="2:30" ht="12.75" hidden="1" x14ac:dyDescent="0.2"/>
    <row r="32" spans="2:30" ht="12.75" hidden="1" x14ac:dyDescent="0.2"/>
    <row r="33" ht="12.75" hidden="1" x14ac:dyDescent="0.2"/>
    <row r="34" ht="12.75" hidden="1" x14ac:dyDescent="0.2"/>
    <row r="35" ht="12.75" hidden="1" x14ac:dyDescent="0.2"/>
    <row r="36" ht="12.75" hidden="1" x14ac:dyDescent="0.2"/>
    <row r="37" ht="12.75" hidden="1" x14ac:dyDescent="0.2"/>
    <row r="38" ht="12.75" hidden="1" x14ac:dyDescent="0.2"/>
    <row r="39" ht="12.75" hidden="1" x14ac:dyDescent="0.2"/>
    <row r="40" ht="12.75" hidden="1" x14ac:dyDescent="0.2"/>
    <row r="41" ht="12.75" hidden="1" x14ac:dyDescent="0.2"/>
    <row r="42" ht="12.75" hidden="1" x14ac:dyDescent="0.2"/>
    <row r="43" ht="12.75" hidden="1" x14ac:dyDescent="0.2"/>
    <row r="44" ht="12.75" hidden="1" x14ac:dyDescent="0.2"/>
    <row r="45" ht="12.75" hidden="1" x14ac:dyDescent="0.2"/>
    <row r="46" ht="12.75" hidden="1" x14ac:dyDescent="0.2"/>
    <row r="47" ht="12.75" hidden="1" x14ac:dyDescent="0.2"/>
    <row r="48"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65503" ht="15" hidden="1" customHeight="1" x14ac:dyDescent="0.2"/>
    <row r="65504" ht="20.25" hidden="1" customHeight="1" x14ac:dyDescent="0.2"/>
    <row r="65505" spans="22:23" ht="12.75" hidden="1" customHeight="1" x14ac:dyDescent="0.2"/>
    <row r="65506" spans="22:23" ht="12.75" hidden="1" customHeight="1" x14ac:dyDescent="0.2"/>
    <row r="65514" spans="22:23" ht="12.75" hidden="1" x14ac:dyDescent="0.2">
      <c r="V65514" s="121"/>
      <c r="W65514" s="121"/>
    </row>
    <row r="65515" spans="22:23" ht="12.75" hidden="1" x14ac:dyDescent="0.2">
      <c r="V65515" s="121"/>
      <c r="W65515" s="121"/>
    </row>
    <row r="65516" spans="22:23" ht="12.75" hidden="1" x14ac:dyDescent="0.2">
      <c r="V65516" s="121"/>
      <c r="W65516" s="121"/>
    </row>
    <row r="65517" spans="22:23" ht="12.75" hidden="1" x14ac:dyDescent="0.2">
      <c r="V65517" s="121"/>
      <c r="W65517" s="121"/>
    </row>
    <row r="65518" spans="22:23" ht="12.75" hidden="1" x14ac:dyDescent="0.2">
      <c r="V65518" s="121"/>
      <c r="W65518" s="121"/>
    </row>
    <row r="65519" spans="22:23" ht="12.75" hidden="1" x14ac:dyDescent="0.2">
      <c r="V65519" s="121"/>
      <c r="W65519" s="121"/>
    </row>
    <row r="65520" spans="22:23" ht="12.75" hidden="1" x14ac:dyDescent="0.2">
      <c r="V65520" s="121"/>
      <c r="W65520" s="121"/>
    </row>
    <row r="65521" s="121" customFormat="1" ht="12.75" hidden="1" x14ac:dyDescent="0.2"/>
    <row r="65522" s="121" customFormat="1" ht="12.75" hidden="1" x14ac:dyDescent="0.2"/>
    <row r="65523" s="121" customFormat="1" ht="12.75" hidden="1" x14ac:dyDescent="0.2"/>
    <row r="65524" s="121" customFormat="1" ht="12.75" hidden="1" x14ac:dyDescent="0.2"/>
    <row r="65525" s="121" customFormat="1" ht="12.75" hidden="1" x14ac:dyDescent="0.2"/>
    <row r="65526" s="121" customFormat="1" ht="12.75" hidden="1" x14ac:dyDescent="0.2"/>
    <row r="65527" s="121" customFormat="1" ht="12.75" hidden="1" x14ac:dyDescent="0.2"/>
    <row r="65528" s="121" customFormat="1" ht="12.75" hidden="1" x14ac:dyDescent="0.2"/>
    <row r="65529" s="121" customFormat="1" ht="12.75" hidden="1" x14ac:dyDescent="0.2"/>
    <row r="65530" s="121" customFormat="1" ht="12.75" hidden="1" x14ac:dyDescent="0.2"/>
    <row r="65531" s="121" customFormat="1" ht="12.75" hidden="1" x14ac:dyDescent="0.2"/>
    <row r="65532" s="121" customFormat="1" ht="12.75" hidden="1" x14ac:dyDescent="0.2"/>
    <row r="65533" s="121" customFormat="1" ht="12.75" hidden="1" x14ac:dyDescent="0.2"/>
    <row r="65534" s="121" customFormat="1" ht="12.75" hidden="1" x14ac:dyDescent="0.2"/>
    <row r="65535" s="121" customFormat="1" ht="12.75" hidden="1" x14ac:dyDescent="0.2"/>
    <row r="65536" s="121" customFormat="1" ht="12.75" hidden="1" x14ac:dyDescent="0.2"/>
    <row r="65537" s="121" customFormat="1" ht="12.75" hidden="1" x14ac:dyDescent="0.2"/>
    <row r="65538" s="121" customFormat="1" ht="12.75" hidden="1" x14ac:dyDescent="0.2"/>
  </sheetData>
  <sheetProtection algorithmName="SHA-512" hashValue="MoCH3zNOekCIdR+QrlxyEtUdSP6orb9AFy9b6oB/tk33SCGzdN+eCw25GxMFInW2ugVQ9pTaV2yvQi4TOKBUrg==" saltValue="MFxXrWTpAhVwEuoW2w3Lgg==" spinCount="100000" sheet="1" objects="1" scenarios="1"/>
  <mergeCells count="16">
    <mergeCell ref="C3:E3"/>
    <mergeCell ref="F3:U3"/>
    <mergeCell ref="C4:C21"/>
    <mergeCell ref="U6:U9"/>
    <mergeCell ref="E20:F20"/>
    <mergeCell ref="E21:F21"/>
    <mergeCell ref="D4:D5"/>
    <mergeCell ref="E4:E5"/>
    <mergeCell ref="F4:F5"/>
    <mergeCell ref="M4:M5"/>
    <mergeCell ref="N4:N5"/>
    <mergeCell ref="J4:L4"/>
    <mergeCell ref="G4:I5"/>
    <mergeCell ref="O4:Q5"/>
    <mergeCell ref="R4:T5"/>
    <mergeCell ref="U4:U5"/>
  </mergeCells>
  <dataValidations count="4">
    <dataValidation type="whole" allowBlank="1" showInputMessage="1" showErrorMessage="1" sqref="H21:T21 G18:T19">
      <formula1>-99999999999999</formula1>
      <formula2>99999999999999</formula2>
    </dataValidation>
    <dataValidation type="whole" allowBlank="1" showInputMessage="1" showErrorMessage="1" error="Numeric,  Non negative, no decimal,upto 14 digits" sqref="N6:N9 T6:T17 M10:N17 L6:L17 O7:Q17 H6:K7 R6:R17 P6:Q6 S6:S14 U10:U17 G8:K17">
      <formula1>0</formula1>
      <formula2>99999999999999</formula2>
    </dataValidation>
    <dataValidation type="textLength" operator="equal" allowBlank="1" showInputMessage="1" showErrorMessage="1" errorTitle="Date Of Filing" error="Please enter date in DD/MM/YYYY format." sqref="F6:F17">
      <formula1>10</formula1>
    </dataValidation>
    <dataValidation type="whole" allowBlank="1" showInputMessage="1" showErrorMessage="1" error="Amount entered should be Numeric,Non-negative,no decimal" sqref="H20:U20">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72707" r:id="rId5" name="Button 3">
              <controlPr defaultSize="0" print="0" autoFill="0" autoPict="0" macro="[0]!ValidateCFLClick">
                <anchor>
                  <from>
                    <xdr:col>22</xdr:col>
                    <xdr:colOff>57150</xdr:colOff>
                    <xdr:row>2</xdr:row>
                    <xdr:rowOff>142875</xdr:rowOff>
                  </from>
                  <to>
                    <xdr:col>22</xdr:col>
                    <xdr:colOff>1428750</xdr:colOff>
                    <xdr:row>3</xdr:row>
                    <xdr:rowOff>247650</xdr:rowOff>
                  </to>
                </anchor>
              </controlPr>
            </control>
          </mc:Choice>
        </mc:AlternateContent>
        <mc:AlternateContent xmlns:mc="http://schemas.openxmlformats.org/markup-compatibility/2006">
          <mc:Choice Requires="x14">
            <control shapeId="72709" r:id="rId6" name="Button 5">
              <controlPr defaultSize="0" print="0" autoFill="0" autoPict="0" macro="[0]!CYLABFLAsetoffclick">
                <anchor>
                  <from>
                    <xdr:col>22</xdr:col>
                    <xdr:colOff>38100</xdr:colOff>
                    <xdr:row>8</xdr:row>
                    <xdr:rowOff>66675</xdr:rowOff>
                  </from>
                  <to>
                    <xdr:col>22</xdr:col>
                    <xdr:colOff>1409700</xdr:colOff>
                    <xdr:row>10</xdr:row>
                    <xdr:rowOff>0</xdr:rowOff>
                  </to>
                </anchor>
              </controlPr>
            </control>
          </mc:Choice>
        </mc:AlternateContent>
        <mc:AlternateContent xmlns:mc="http://schemas.openxmlformats.org/markup-compatibility/2006">
          <mc:Choice Requires="x14">
            <control shapeId="72711" r:id="rId7" name="Button 7">
              <controlPr defaultSize="0" print="0" autoFill="0" autoPict="0" macro="[0]!Prev_Sheet">
                <anchor>
                  <from>
                    <xdr:col>22</xdr:col>
                    <xdr:colOff>38100</xdr:colOff>
                    <xdr:row>4</xdr:row>
                    <xdr:rowOff>19050</xdr:rowOff>
                  </from>
                  <to>
                    <xdr:col>22</xdr:col>
                    <xdr:colOff>1409700</xdr:colOff>
                    <xdr:row>4</xdr:row>
                    <xdr:rowOff>266700</xdr:rowOff>
                  </to>
                </anchor>
              </controlPr>
            </control>
          </mc:Choice>
        </mc:AlternateContent>
        <mc:AlternateContent xmlns:mc="http://schemas.openxmlformats.org/markup-compatibility/2006">
          <mc:Choice Requires="x14">
            <control shapeId="72712" r:id="rId8" name="Button 8">
              <controlPr defaultSize="0" print="0" autoFill="0" autoPict="0" macro="[0]!Img_Home_Click">
                <anchor>
                  <from>
                    <xdr:col>22</xdr:col>
                    <xdr:colOff>57150</xdr:colOff>
                    <xdr:row>10</xdr:row>
                    <xdr:rowOff>57150</xdr:rowOff>
                  </from>
                  <to>
                    <xdr:col>22</xdr:col>
                    <xdr:colOff>1428750</xdr:colOff>
                    <xdr:row>11</xdr:row>
                    <xdr:rowOff>152400</xdr:rowOff>
                  </to>
                </anchor>
              </controlPr>
            </control>
          </mc:Choice>
        </mc:AlternateContent>
        <mc:AlternateContent xmlns:mc="http://schemas.openxmlformats.org/markup-compatibility/2006">
          <mc:Choice Requires="x14">
            <control shapeId="72714" r:id="rId9" name="Button 10">
              <controlPr defaultSize="0" print="0" autoFill="0" autoPict="0" macro="[0]!Next_Sheet">
                <anchor>
                  <from>
                    <xdr:col>22</xdr:col>
                    <xdr:colOff>38100</xdr:colOff>
                    <xdr:row>3</xdr:row>
                    <xdr:rowOff>285750</xdr:rowOff>
                  </from>
                  <to>
                    <xdr:col>22</xdr:col>
                    <xdr:colOff>1409700</xdr:colOff>
                    <xdr:row>3</xdr:row>
                    <xdr:rowOff>533400</xdr:rowOff>
                  </to>
                </anchor>
              </controlPr>
            </control>
          </mc:Choice>
        </mc:AlternateContent>
        <mc:AlternateContent xmlns:mc="http://schemas.openxmlformats.org/markup-compatibility/2006">
          <mc:Choice Requires="x14">
            <control shapeId="72715" r:id="rId10" name="Button 11">
              <controlPr defaultSize="0" print="0" autoFill="0" autoPict="0" macro="[0]!Instruction_Sheet">
                <anchor>
                  <from>
                    <xdr:col>22</xdr:col>
                    <xdr:colOff>38100</xdr:colOff>
                    <xdr:row>6</xdr:row>
                    <xdr:rowOff>95250</xdr:rowOff>
                  </from>
                  <to>
                    <xdr:col>22</xdr:col>
                    <xdr:colOff>1409700</xdr:colOff>
                    <xdr:row>8</xdr:row>
                    <xdr:rowOff>19050</xdr:rowOff>
                  </to>
                </anchor>
              </controlPr>
            </control>
          </mc:Choice>
        </mc:AlternateContent>
        <mc:AlternateContent xmlns:mc="http://schemas.openxmlformats.org/markup-compatibility/2006">
          <mc:Choice Requires="x14">
            <control shapeId="72716" r:id="rId11" name="Button 12">
              <controlPr defaultSize="0" print="0" autoFill="0" autoPict="0" macro="[0]!WorksheetsPrint">
                <anchor>
                  <from>
                    <xdr:col>22</xdr:col>
                    <xdr:colOff>38100</xdr:colOff>
                    <xdr:row>4</xdr:row>
                    <xdr:rowOff>628650</xdr:rowOff>
                  </from>
                  <to>
                    <xdr:col>22</xdr:col>
                    <xdr:colOff>1409700</xdr:colOff>
                    <xdr:row>6</xdr:row>
                    <xdr:rowOff>57150</xdr:rowOff>
                  </to>
                </anchor>
              </controlPr>
            </control>
          </mc:Choice>
        </mc:AlternateContent>
        <mc:AlternateContent xmlns:mc="http://schemas.openxmlformats.org/markup-compatibility/2006">
          <mc:Choice Requires="x14">
            <control shapeId="72717" r:id="rId12" name="Button 13">
              <controlPr defaultSize="0" print="0" autoFill="0" autoPict="0" macro="[0]!GenerateJSON.GenerateJSON">
                <anchor>
                  <from>
                    <xdr:col>22</xdr:col>
                    <xdr:colOff>38100</xdr:colOff>
                    <xdr:row>4</xdr:row>
                    <xdr:rowOff>323850</xdr:rowOff>
                  </from>
                  <to>
                    <xdr:col>22</xdr:col>
                    <xdr:colOff>1409700</xdr:colOff>
                    <xdr:row>4</xdr:row>
                    <xdr:rowOff>571500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XFC25"/>
  <sheetViews>
    <sheetView showGridLines="0" showRowColHeaders="0" zoomScaleNormal="100" workbookViewId="0">
      <selection activeCell="D7" sqref="D7"/>
    </sheetView>
  </sheetViews>
  <sheetFormatPr defaultColWidth="0" defaultRowHeight="12.75" customHeight="1" zeroHeight="1" x14ac:dyDescent="0.2"/>
  <cols>
    <col min="1" max="1" width="3.5703125" style="121" customWidth="1"/>
    <col min="2" max="2" width="3.7109375" style="121" customWidth="1"/>
    <col min="3" max="3" width="7.42578125" style="121" customWidth="1"/>
    <col min="4" max="4" width="17.140625" style="121" customWidth="1"/>
    <col min="5" max="6" width="16.5703125" style="121" customWidth="1"/>
    <col min="7" max="7" width="19.5703125" style="121" customWidth="1"/>
    <col min="8" max="8" width="20.85546875" style="121" customWidth="1"/>
    <col min="9" max="9" width="19.140625" style="121" customWidth="1"/>
    <col min="10" max="10" width="21.7109375" style="121" customWidth="1"/>
    <col min="11" max="11" width="20.5703125" style="121" customWidth="1"/>
    <col min="12" max="12" width="4" style="124" customWidth="1"/>
    <col min="13" max="13" width="24.85546875" style="121" customWidth="1"/>
    <col min="14" max="16383" width="1.42578125" style="121" hidden="1"/>
    <col min="16384" max="16384" width="1.5703125" style="121" hidden="1"/>
  </cols>
  <sheetData>
    <row r="1" spans="2:12" ht="13.5" thickBot="1" x14ac:dyDescent="0.25"/>
    <row r="2" spans="2:12" x14ac:dyDescent="0.2">
      <c r="B2" s="1794"/>
      <c r="C2" s="1795"/>
      <c r="D2" s="1795"/>
      <c r="E2" s="1795"/>
      <c r="F2" s="1795"/>
      <c r="G2" s="1795"/>
      <c r="H2" s="1795"/>
      <c r="I2" s="1795"/>
      <c r="J2" s="1795"/>
      <c r="K2" s="1795"/>
      <c r="L2" s="1843"/>
    </row>
    <row r="3" spans="2:12" ht="12.75" customHeight="1" x14ac:dyDescent="0.2">
      <c r="B3" s="1797"/>
      <c r="C3" s="3317" t="s">
        <v>1100</v>
      </c>
      <c r="D3" s="3317"/>
      <c r="E3" s="3734"/>
      <c r="F3" s="2205"/>
      <c r="G3" s="3017" t="s">
        <v>1101</v>
      </c>
      <c r="H3" s="3015"/>
      <c r="I3" s="3015"/>
      <c r="J3" s="3015"/>
      <c r="K3" s="3016"/>
      <c r="L3" s="1836"/>
    </row>
    <row r="4" spans="2:12" ht="12.75" customHeight="1" x14ac:dyDescent="0.2">
      <c r="B4" s="1797"/>
      <c r="C4" s="1648"/>
      <c r="D4" s="1133"/>
      <c r="E4" s="1133"/>
      <c r="F4" s="1133"/>
      <c r="G4" s="1848"/>
      <c r="H4" s="1849"/>
      <c r="I4" s="1849"/>
      <c r="J4" s="1849"/>
      <c r="K4" s="1816"/>
      <c r="L4" s="1836"/>
    </row>
    <row r="5" spans="2:12" ht="12.75" customHeight="1" x14ac:dyDescent="0.2">
      <c r="B5" s="1797"/>
      <c r="C5" s="1850"/>
      <c r="D5" s="1851"/>
      <c r="E5" s="3751" t="s">
        <v>329</v>
      </c>
      <c r="F5" s="3751"/>
      <c r="G5" s="3751"/>
      <c r="H5" s="3751"/>
      <c r="I5" s="3751" t="s">
        <v>1102</v>
      </c>
      <c r="J5" s="3751"/>
      <c r="K5" s="3751"/>
      <c r="L5" s="1836"/>
    </row>
    <row r="6" spans="2:12" ht="58.5" customHeight="1" x14ac:dyDescent="0.2">
      <c r="B6" s="1797"/>
      <c r="C6" s="31" t="s">
        <v>11920</v>
      </c>
      <c r="D6" s="31" t="s">
        <v>12686</v>
      </c>
      <c r="E6" s="31" t="s">
        <v>1103</v>
      </c>
      <c r="F6" s="2206" t="s">
        <v>12791</v>
      </c>
      <c r="G6" s="31" t="s">
        <v>1104</v>
      </c>
      <c r="H6" s="31" t="s">
        <v>1105</v>
      </c>
      <c r="I6" s="31" t="s">
        <v>1106</v>
      </c>
      <c r="J6" s="31" t="s">
        <v>1107</v>
      </c>
      <c r="K6" s="31" t="s">
        <v>1108</v>
      </c>
      <c r="L6" s="1836"/>
    </row>
    <row r="7" spans="2:12" ht="12.75" customHeight="1" x14ac:dyDescent="0.2">
      <c r="B7" s="1797"/>
      <c r="C7" s="1078">
        <v>1</v>
      </c>
      <c r="D7" s="1494" t="s">
        <v>13029</v>
      </c>
      <c r="E7" s="1852"/>
      <c r="F7" s="1852"/>
      <c r="G7" s="1852"/>
      <c r="H7" s="1935"/>
      <c r="I7" s="1852"/>
      <c r="J7" s="1852"/>
      <c r="K7" s="1935"/>
      <c r="L7" s="1836"/>
    </row>
    <row r="8" spans="2:12" ht="12.75" customHeight="1" x14ac:dyDescent="0.2">
      <c r="B8" s="1797"/>
      <c r="C8" s="1078">
        <f t="shared" ref="C8:C16" si="0">C7+1</f>
        <v>2</v>
      </c>
      <c r="D8" s="1422"/>
      <c r="E8" s="1935"/>
      <c r="F8" s="2670"/>
      <c r="G8" s="1935"/>
      <c r="H8" s="1391">
        <f>MAX((E8-F8-G8),0)</f>
        <v>0</v>
      </c>
      <c r="I8" s="1935"/>
      <c r="J8" s="1935"/>
      <c r="K8" s="1391">
        <f t="shared" ref="K8:K15" si="1">MAX((I8-J8),0)</f>
        <v>0</v>
      </c>
      <c r="L8" s="1836"/>
    </row>
    <row r="9" spans="2:12" ht="12.75" customHeight="1" x14ac:dyDescent="0.2">
      <c r="B9" s="1797"/>
      <c r="C9" s="1078">
        <f t="shared" si="0"/>
        <v>3</v>
      </c>
      <c r="D9" s="1422"/>
      <c r="E9" s="1935"/>
      <c r="F9" s="2670"/>
      <c r="G9" s="1935"/>
      <c r="H9" s="2302">
        <f t="shared" ref="H9:H16" si="2">MAX((E9-F9-G9),0)</f>
        <v>0</v>
      </c>
      <c r="I9" s="1935"/>
      <c r="J9" s="1935"/>
      <c r="K9" s="1391">
        <f t="shared" si="1"/>
        <v>0</v>
      </c>
      <c r="L9" s="1836"/>
    </row>
    <row r="10" spans="2:12" ht="12.75" customHeight="1" x14ac:dyDescent="0.2">
      <c r="B10" s="1797"/>
      <c r="C10" s="1078">
        <f t="shared" si="0"/>
        <v>4</v>
      </c>
      <c r="D10" s="1422"/>
      <c r="E10" s="1935"/>
      <c r="F10" s="2670"/>
      <c r="G10" s="1935"/>
      <c r="H10" s="2302">
        <f t="shared" si="2"/>
        <v>0</v>
      </c>
      <c r="I10" s="1935"/>
      <c r="J10" s="1935"/>
      <c r="K10" s="1391">
        <f t="shared" si="1"/>
        <v>0</v>
      </c>
      <c r="L10" s="1836"/>
    </row>
    <row r="11" spans="2:12" ht="12.75" customHeight="1" x14ac:dyDescent="0.2">
      <c r="B11" s="1797"/>
      <c r="C11" s="1078">
        <f t="shared" si="0"/>
        <v>5</v>
      </c>
      <c r="D11" s="1422"/>
      <c r="E11" s="1935"/>
      <c r="F11" s="2670"/>
      <c r="G11" s="1935"/>
      <c r="H11" s="2302">
        <f t="shared" si="2"/>
        <v>0</v>
      </c>
      <c r="I11" s="1935"/>
      <c r="J11" s="1935"/>
      <c r="K11" s="1391">
        <f t="shared" si="1"/>
        <v>0</v>
      </c>
      <c r="L11" s="1836"/>
    </row>
    <row r="12" spans="2:12" ht="12.75" customHeight="1" x14ac:dyDescent="0.2">
      <c r="B12" s="1797"/>
      <c r="C12" s="1078">
        <f t="shared" si="0"/>
        <v>6</v>
      </c>
      <c r="D12" s="1422"/>
      <c r="E12" s="1935"/>
      <c r="F12" s="2670"/>
      <c r="G12" s="1935"/>
      <c r="H12" s="2302">
        <f t="shared" si="2"/>
        <v>0</v>
      </c>
      <c r="I12" s="1935"/>
      <c r="J12" s="1935"/>
      <c r="K12" s="1391">
        <f t="shared" si="1"/>
        <v>0</v>
      </c>
      <c r="L12" s="1836"/>
    </row>
    <row r="13" spans="2:12" ht="12.75" customHeight="1" x14ac:dyDescent="0.2">
      <c r="B13" s="1797"/>
      <c r="C13" s="1078">
        <f t="shared" si="0"/>
        <v>7</v>
      </c>
      <c r="D13" s="1422"/>
      <c r="E13" s="1935"/>
      <c r="F13" s="2670"/>
      <c r="G13" s="1935"/>
      <c r="H13" s="2302">
        <f t="shared" si="2"/>
        <v>0</v>
      </c>
      <c r="I13" s="1935"/>
      <c r="J13" s="1935"/>
      <c r="K13" s="1391">
        <f t="shared" si="1"/>
        <v>0</v>
      </c>
      <c r="L13" s="1836"/>
    </row>
    <row r="14" spans="2:12" ht="12.75" customHeight="1" x14ac:dyDescent="0.2">
      <c r="B14" s="1797"/>
      <c r="C14" s="1078">
        <f t="shared" si="0"/>
        <v>8</v>
      </c>
      <c r="D14" s="1422"/>
      <c r="E14" s="1935"/>
      <c r="F14" s="2670"/>
      <c r="G14" s="1935"/>
      <c r="H14" s="2302">
        <f t="shared" si="2"/>
        <v>0</v>
      </c>
      <c r="I14" s="1935"/>
      <c r="J14" s="1935"/>
      <c r="K14" s="1391">
        <f t="shared" si="1"/>
        <v>0</v>
      </c>
      <c r="L14" s="1836"/>
    </row>
    <row r="15" spans="2:12" ht="12.75" customHeight="1" x14ac:dyDescent="0.2">
      <c r="B15" s="1797"/>
      <c r="C15" s="1078">
        <f t="shared" si="0"/>
        <v>9</v>
      </c>
      <c r="D15" s="1422"/>
      <c r="E15" s="1935"/>
      <c r="F15" s="2670"/>
      <c r="G15" s="1935"/>
      <c r="H15" s="2302">
        <f t="shared" si="2"/>
        <v>0</v>
      </c>
      <c r="I15" s="1935"/>
      <c r="J15" s="1935"/>
      <c r="K15" s="1391">
        <f t="shared" si="1"/>
        <v>0</v>
      </c>
      <c r="L15" s="1836"/>
    </row>
    <row r="16" spans="2:12" ht="12.75" customHeight="1" x14ac:dyDescent="0.2">
      <c r="B16" s="1797"/>
      <c r="C16" s="1078">
        <f t="shared" si="0"/>
        <v>10</v>
      </c>
      <c r="D16" s="1422"/>
      <c r="E16" s="1935"/>
      <c r="F16" s="2670"/>
      <c r="G16" s="1935"/>
      <c r="H16" s="2302">
        <f t="shared" si="2"/>
        <v>0</v>
      </c>
      <c r="I16" s="1935"/>
      <c r="J16" s="1935"/>
      <c r="K16" s="1391">
        <f>MAX((I16-J16),0)</f>
        <v>0</v>
      </c>
      <c r="L16" s="1836"/>
    </row>
    <row r="17" spans="2:12" ht="12.75" customHeight="1" x14ac:dyDescent="0.2">
      <c r="B17" s="1797"/>
      <c r="C17" s="740"/>
      <c r="D17" s="2044" t="s">
        <v>749</v>
      </c>
      <c r="E17" s="1391">
        <f>SUM(UD.BF)</f>
        <v>0</v>
      </c>
      <c r="F17" s="2207">
        <f>SUM(UD.115BAC)</f>
        <v>0</v>
      </c>
      <c r="G17" s="1391">
        <f>SUM(UD.Setoff)</f>
        <v>0</v>
      </c>
      <c r="H17" s="1391">
        <f>SUM(UD.Balance,UDCY.Balance)</f>
        <v>0</v>
      </c>
      <c r="I17" s="1391">
        <f>SUM(UD2.BF)</f>
        <v>0</v>
      </c>
      <c r="J17" s="1391">
        <f>SUM(UD2.Setoff)</f>
        <v>0</v>
      </c>
      <c r="K17" s="1391">
        <f>SUM(UD2.Balance,UDCY2.Balance)</f>
        <v>0</v>
      </c>
      <c r="L17" s="1836"/>
    </row>
    <row r="18" spans="2:12" s="124" customFormat="1" x14ac:dyDescent="0.2">
      <c r="B18" s="1801"/>
      <c r="C18" s="1133"/>
      <c r="D18" s="1133"/>
      <c r="E18" s="1133"/>
      <c r="F18" s="1133"/>
      <c r="G18" s="1133"/>
      <c r="H18" s="1133"/>
      <c r="I18" s="1133"/>
      <c r="J18" s="1133"/>
      <c r="K18" s="1133"/>
      <c r="L18" s="1836"/>
    </row>
    <row r="19" spans="2:12" s="124" customFormat="1" ht="26.25" customHeight="1" x14ac:dyDescent="0.2">
      <c r="B19" s="1801"/>
      <c r="C19" s="1133"/>
      <c r="D19" s="1133"/>
      <c r="E19" s="1133"/>
      <c r="F19" s="1133"/>
      <c r="G19" s="1133"/>
      <c r="H19" s="1133"/>
      <c r="I19" s="1133"/>
      <c r="J19" s="1133"/>
      <c r="K19" s="1133"/>
      <c r="L19" s="1836"/>
    </row>
    <row r="20" spans="2:12" s="124" customFormat="1" x14ac:dyDescent="0.2">
      <c r="B20" s="1801"/>
      <c r="C20" s="2424" t="s">
        <v>13006</v>
      </c>
      <c r="D20" s="1133"/>
      <c r="E20" s="1133"/>
      <c r="F20" s="1133"/>
      <c r="G20" s="1133"/>
      <c r="H20" s="1133"/>
      <c r="I20" s="1133"/>
      <c r="J20" s="1133"/>
      <c r="K20" s="1133"/>
      <c r="L20" s="1836"/>
    </row>
    <row r="21" spans="2:12" s="124" customFormat="1" ht="13.5" thickBot="1" x14ac:dyDescent="0.25">
      <c r="B21" s="1853"/>
      <c r="C21" s="1841"/>
      <c r="D21" s="3752"/>
      <c r="E21" s="3752"/>
      <c r="F21" s="3752"/>
      <c r="G21" s="3752"/>
      <c r="H21" s="3752"/>
      <c r="I21" s="3752"/>
      <c r="J21" s="3752"/>
      <c r="K21" s="3752"/>
      <c r="L21" s="1845"/>
    </row>
    <row r="22" spans="2:12" s="124" customFormat="1" x14ac:dyDescent="0.2"/>
    <row r="23" spans="2:12" s="124" customFormat="1" ht="14.25" hidden="1" customHeight="1" x14ac:dyDescent="0.2"/>
    <row r="24" spans="2:12" s="124" customFormat="1" ht="12" hidden="1" customHeight="1" x14ac:dyDescent="0.2"/>
    <row r="25" spans="2:12" s="124" customFormat="1" hidden="1" x14ac:dyDescent="0.2"/>
  </sheetData>
  <sheetProtection algorithmName="SHA-512" hashValue="TUVA1IiaHmpWsUh3GFYCskPp1nXU6EhKtFGULKe1Vwl3E5uAW0N5TKNb5h3Ssojqh3OrV1CnLZK7Cvhs0QPPgA==" saltValue="8QAXTwc/ZblcFsUaJ89bww==" spinCount="100000" sheet="1" objects="1" scenarios="1"/>
  <mergeCells count="5">
    <mergeCell ref="C3:E3"/>
    <mergeCell ref="E5:H5"/>
    <mergeCell ref="I5:K5"/>
    <mergeCell ref="D21:K21"/>
    <mergeCell ref="G3:K3"/>
  </mergeCells>
  <dataValidations count="10">
    <dataValidation type="textLength" operator="equal" allowBlank="1" showInputMessage="1" showErrorMessage="1" errorTitle="Assessment Year" error="Assessment Year should be exact 7 characters in the format xxxx-xx ex: 2012-13" sqref="D7:D16">
      <formula1>7</formula1>
    </dataValidation>
    <dataValidation type="whole" allowBlank="1" showInputMessage="1" showErrorMessage="1" errorTitle="BF" error="BF Non negative, no decimal, upto 99,999,999,999,999" sqref="E7:F7 I7">
      <formula1>0</formula1>
      <formula2>99999999999999</formula2>
    </dataValidation>
    <dataValidation type="whole" allowBlank="1" showInputMessage="1" showErrorMessage="1" errorTitle="Setoff" error="Setoff  Non negative, no decimal, upto 99,999,999,999,999" sqref="G7 J7">
      <formula1>0</formula1>
      <formula2>99999999999999</formula2>
    </dataValidation>
    <dataValidation type="whole" allowBlank="1" showInputMessage="1" showErrorMessage="1" errorTitle="Balance" error="Balance  Non negative, no decimal, upto 99,999,999,999,999" sqref="K7:K16 H7:H16">
      <formula1>0</formula1>
      <formula2>99999999999999</formula2>
    </dataValidation>
    <dataValidation type="whole" allowBlank="1" showInputMessage="1" showErrorMessage="1" errorTitle="TotalBalance" error="TotalBalance Non negative, no decimal, upto 99,999,999,999,999" sqref="E17:K17">
      <formula1>0</formula1>
      <formula2>99999999999999</formula2>
    </dataValidation>
    <dataValidation type="whole" allowBlank="1" showInputMessage="1" showErrorMessage="1" errorTitle="Amount of depreciation Setoff " error="Setoff  Non negative, no decimal, upto 99,999,999,999,999. Cannot exceed Amount brought forward (Less Amount adjusted if 115BAC)" sqref="G15:G16 G8:G9">
      <formula1>0</formula1>
      <formula2>E8-(IF(bacValue=1,F8,0))</formula2>
    </dataValidation>
    <dataValidation type="whole" allowBlank="1" showInputMessage="1" showErrorMessage="1" errorTitle="Amount of brought forward" error="Amount of brought forward Non negative, no decimal, upto 99,999,999,999,999" sqref="I8:I16 E8:E16">
      <formula1>0</formula1>
      <formula2>99999999999999</formula2>
    </dataValidation>
    <dataValidation type="whole" allowBlank="1" showInputMessage="1" showErrorMessage="1" errorTitle="Amount of Allowance setoff" error="Setoff  Non negative, no decimal, upto 99,999,999,999,999. Cannot exceed Amount Brought Forward" sqref="J8:J16">
      <formula1>0</formula1>
      <formula2>I8</formula2>
    </dataValidation>
    <dataValidation type="whole" allowBlank="1" showInputMessage="1" showErrorMessage="1" errorTitle="Amount as Adjusted on Account" error="Amount of brought forward Non negative, no decimal, upto 99,999,999,999,999" sqref="F8:F16">
      <formula1>0</formula1>
      <formula2>99999999999999</formula2>
    </dataValidation>
    <dataValidation type="whole" allowBlank="1" showInputMessage="1" showErrorMessage="1" errorTitle="Amount of depreciation Setoff " error="Setoff  Non negative, no decimal, upto 99,999,999,999,999. Cannot exceed Amount brought forward (Less Amount adjusted if 115BAC)" sqref="G10:G14">
      <formula1>0</formula1>
      <formula2>E10--(IF(bacValue=1,F10,0))</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8675" r:id="rId5" name="Button 3">
              <controlPr defaultSize="0" print="0" autoFill="0" autoPict="0" macro="[0]!ValidateSheetUnabsorbedDepreciationClick">
                <anchor>
                  <from>
                    <xdr:col>12</xdr:col>
                    <xdr:colOff>171450</xdr:colOff>
                    <xdr:row>3</xdr:row>
                    <xdr:rowOff>76200</xdr:rowOff>
                  </from>
                  <to>
                    <xdr:col>12</xdr:col>
                    <xdr:colOff>1543050</xdr:colOff>
                    <xdr:row>5</xdr:row>
                    <xdr:rowOff>28575</xdr:rowOff>
                  </to>
                </anchor>
              </controlPr>
            </control>
          </mc:Choice>
        </mc:AlternateContent>
        <mc:AlternateContent xmlns:mc="http://schemas.openxmlformats.org/markup-compatibility/2006">
          <mc:Choice Requires="x14">
            <control shapeId="28676" r:id="rId6" name="Button 4">
              <controlPr defaultSize="0" print="0" autoFill="0" autoPict="0" macro="[0]!AddRows_UD">
                <anchor moveWithCells="1">
                  <from>
                    <xdr:col>3</xdr:col>
                    <xdr:colOff>38100</xdr:colOff>
                    <xdr:row>20</xdr:row>
                    <xdr:rowOff>66675</xdr:rowOff>
                  </from>
                  <to>
                    <xdr:col>4</xdr:col>
                    <xdr:colOff>266700</xdr:colOff>
                    <xdr:row>21</xdr:row>
                    <xdr:rowOff>152400</xdr:rowOff>
                  </to>
                </anchor>
              </controlPr>
            </control>
          </mc:Choice>
        </mc:AlternateContent>
        <mc:AlternateContent xmlns:mc="http://schemas.openxmlformats.org/markup-compatibility/2006">
          <mc:Choice Requires="x14">
            <control shapeId="28678" r:id="rId7" name="Button 6">
              <controlPr defaultSize="0" print="0" autoFill="0" autoPict="0" macro="[0]!Prev_Sheet">
                <anchor>
                  <from>
                    <xdr:col>12</xdr:col>
                    <xdr:colOff>171450</xdr:colOff>
                    <xdr:row>5</xdr:row>
                    <xdr:rowOff>342900</xdr:rowOff>
                  </from>
                  <to>
                    <xdr:col>12</xdr:col>
                    <xdr:colOff>1543050</xdr:colOff>
                    <xdr:row>5</xdr:row>
                    <xdr:rowOff>609600</xdr:rowOff>
                  </to>
                </anchor>
              </controlPr>
            </control>
          </mc:Choice>
        </mc:AlternateContent>
        <mc:AlternateContent xmlns:mc="http://schemas.openxmlformats.org/markup-compatibility/2006">
          <mc:Choice Requires="x14">
            <control shapeId="28679" r:id="rId8" name="Button 7">
              <controlPr defaultSize="0" print="0" autoFill="0" autoPict="0" macro="[0]!Img_Home_Click">
                <anchor>
                  <from>
                    <xdr:col>12</xdr:col>
                    <xdr:colOff>171450</xdr:colOff>
                    <xdr:row>1</xdr:row>
                    <xdr:rowOff>104775</xdr:rowOff>
                  </from>
                  <to>
                    <xdr:col>12</xdr:col>
                    <xdr:colOff>1543050</xdr:colOff>
                    <xdr:row>3</xdr:row>
                    <xdr:rowOff>57150</xdr:rowOff>
                  </to>
                </anchor>
              </controlPr>
            </control>
          </mc:Choice>
        </mc:AlternateContent>
        <mc:AlternateContent xmlns:mc="http://schemas.openxmlformats.org/markup-compatibility/2006">
          <mc:Choice Requires="x14">
            <control shapeId="28681" r:id="rId9" name="Button 9">
              <controlPr defaultSize="0" print="0" autoFill="0" autoPict="0" macro="[0]!Next_Sheet">
                <anchor>
                  <from>
                    <xdr:col>12</xdr:col>
                    <xdr:colOff>171450</xdr:colOff>
                    <xdr:row>5</xdr:row>
                    <xdr:rowOff>57150</xdr:rowOff>
                  </from>
                  <to>
                    <xdr:col>12</xdr:col>
                    <xdr:colOff>1543050</xdr:colOff>
                    <xdr:row>5</xdr:row>
                    <xdr:rowOff>323850</xdr:rowOff>
                  </to>
                </anchor>
              </controlPr>
            </control>
          </mc:Choice>
        </mc:AlternateContent>
        <mc:AlternateContent xmlns:mc="http://schemas.openxmlformats.org/markup-compatibility/2006">
          <mc:Choice Requires="x14">
            <control shapeId="28682" r:id="rId10" name="Button 10">
              <controlPr defaultSize="0" print="0" autoFill="0" autoPict="0" macro="[0]!Instruction_Sheet">
                <anchor>
                  <from>
                    <xdr:col>12</xdr:col>
                    <xdr:colOff>171450</xdr:colOff>
                    <xdr:row>8</xdr:row>
                    <xdr:rowOff>152400</xdr:rowOff>
                  </from>
                  <to>
                    <xdr:col>12</xdr:col>
                    <xdr:colOff>1543050</xdr:colOff>
                    <xdr:row>10</xdr:row>
                    <xdr:rowOff>104775</xdr:rowOff>
                  </to>
                </anchor>
              </controlPr>
            </control>
          </mc:Choice>
        </mc:AlternateContent>
        <mc:AlternateContent xmlns:mc="http://schemas.openxmlformats.org/markup-compatibility/2006">
          <mc:Choice Requires="x14">
            <control shapeId="28683" r:id="rId11" name="Button 11">
              <controlPr defaultSize="0" print="0" autoFill="0" autoPict="0" macro="[0]!WorksheetsPrint">
                <anchor>
                  <from>
                    <xdr:col>12</xdr:col>
                    <xdr:colOff>171450</xdr:colOff>
                    <xdr:row>7</xdr:row>
                    <xdr:rowOff>19050</xdr:rowOff>
                  </from>
                  <to>
                    <xdr:col>12</xdr:col>
                    <xdr:colOff>1543050</xdr:colOff>
                    <xdr:row>8</xdr:row>
                    <xdr:rowOff>133350</xdr:rowOff>
                  </to>
                </anchor>
              </controlPr>
            </control>
          </mc:Choice>
        </mc:AlternateContent>
        <mc:AlternateContent xmlns:mc="http://schemas.openxmlformats.org/markup-compatibility/2006">
          <mc:Choice Requires="x14">
            <control shapeId="28684" r:id="rId12" name="Button 12">
              <controlPr defaultSize="0" print="0" autoFill="0" autoPict="0" macro="[0]!GenerateJSON.GenerateJSON">
                <anchor>
                  <from>
                    <xdr:col>12</xdr:col>
                    <xdr:colOff>171450</xdr:colOff>
                    <xdr:row>5</xdr:row>
                    <xdr:rowOff>628650</xdr:rowOff>
                  </from>
                  <to>
                    <xdr:col>12</xdr:col>
                    <xdr:colOff>1543050</xdr:colOff>
                    <xdr:row>7</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J19"/>
  <sheetViews>
    <sheetView showGridLines="0" showRowColHeaders="0" zoomScaleNormal="100" workbookViewId="0"/>
  </sheetViews>
  <sheetFormatPr defaultColWidth="0" defaultRowHeight="15.75" customHeight="1" zeroHeight="1" x14ac:dyDescent="0.2"/>
  <cols>
    <col min="1" max="1" width="4.140625" style="113" customWidth="1"/>
    <col min="2" max="2" width="3.85546875" style="113" customWidth="1"/>
    <col min="3" max="3" width="7.42578125" style="113" customWidth="1"/>
    <col min="4" max="4" width="10.5703125" style="113" customWidth="1"/>
    <col min="5" max="5" width="28.28515625" style="113" customWidth="1"/>
    <col min="6" max="6" width="29.42578125" style="113" customWidth="1"/>
    <col min="7" max="7" width="4.140625" style="113" customWidth="1"/>
    <col min="8" max="8" width="24.42578125" style="113" customWidth="1"/>
    <col min="9" max="16384" width="9.140625" style="113" hidden="1"/>
  </cols>
  <sheetData>
    <row r="1" spans="2:10" ht="13.5" thickBot="1" x14ac:dyDescent="0.25"/>
    <row r="2" spans="2:10" ht="13.5" thickBot="1" x14ac:dyDescent="0.25">
      <c r="B2" s="1130"/>
      <c r="C2" s="1131"/>
      <c r="D2" s="1131"/>
      <c r="E2" s="1131"/>
      <c r="F2" s="1131"/>
      <c r="G2" s="1132"/>
    </row>
    <row r="3" spans="2:10" ht="22.5" customHeight="1" x14ac:dyDescent="0.2">
      <c r="B3" s="1121"/>
      <c r="C3" s="3753" t="s">
        <v>7561</v>
      </c>
      <c r="D3" s="3754"/>
      <c r="E3" s="2999" t="s">
        <v>7562</v>
      </c>
      <c r="F3" s="2999"/>
      <c r="G3" s="1122"/>
    </row>
    <row r="4" spans="2:10" ht="12.75" x14ac:dyDescent="0.2">
      <c r="B4" s="1121"/>
      <c r="C4" s="2065" t="s">
        <v>7563</v>
      </c>
      <c r="D4" s="3099" t="s">
        <v>7564</v>
      </c>
      <c r="E4" s="3025"/>
      <c r="F4" s="2019" t="s">
        <v>8766</v>
      </c>
      <c r="G4" s="1122"/>
      <c r="J4" s="113" t="b">
        <f>IF(OR(ICDS.AccPolicies&lt;&gt;"",ICDS.ValuationInv&lt;&gt;"",ICDS.ConsContracts&lt;&gt;"",ICDS.RevenueRecog&lt;&gt;"",ICDS.TangibleFixAssests&lt;&gt;"",ICDS.ChngRates&lt;&gt;"",ICDS.Govgrants&lt;&gt;"",ICDS.Securities&lt;&gt;"",ICDS.BorrowingCosts&lt;&gt;"",ICDS.ProvLiability&lt;&gt;""),TRUE,FALSE)</f>
        <v>0</v>
      </c>
    </row>
    <row r="5" spans="2:10" ht="12.75" customHeight="1" x14ac:dyDescent="0.2">
      <c r="B5" s="1121"/>
      <c r="C5" s="2065" t="s">
        <v>7565</v>
      </c>
      <c r="D5" s="3099" t="s">
        <v>7566</v>
      </c>
      <c r="E5" s="3099"/>
      <c r="F5" s="2065" t="s">
        <v>7567</v>
      </c>
      <c r="G5" s="1122"/>
      <c r="J5" s="310"/>
    </row>
    <row r="6" spans="2:10" ht="18" customHeight="1" x14ac:dyDescent="0.2">
      <c r="B6" s="1121"/>
      <c r="C6" s="2065" t="s">
        <v>2076</v>
      </c>
      <c r="D6" s="2999" t="s">
        <v>7568</v>
      </c>
      <c r="E6" s="2999"/>
      <c r="F6" s="1973"/>
      <c r="G6" s="1122"/>
      <c r="J6" s="310"/>
    </row>
    <row r="7" spans="2:10" ht="57" customHeight="1" x14ac:dyDescent="0.2">
      <c r="B7" s="1121"/>
      <c r="C7" s="2065" t="s">
        <v>7569</v>
      </c>
      <c r="D7" s="3041" t="s">
        <v>8257</v>
      </c>
      <c r="E7" s="3041"/>
      <c r="F7" s="1973"/>
      <c r="G7" s="1122"/>
      <c r="J7" s="310"/>
    </row>
    <row r="8" spans="2:10" ht="17.25" customHeight="1" x14ac:dyDescent="0.2">
      <c r="B8" s="1121"/>
      <c r="C8" s="2065" t="s">
        <v>7146</v>
      </c>
      <c r="D8" s="2999" t="s">
        <v>7570</v>
      </c>
      <c r="E8" s="2999"/>
      <c r="F8" s="1973"/>
      <c r="G8" s="1122"/>
      <c r="J8" s="310"/>
    </row>
    <row r="9" spans="2:10" ht="15.75" customHeight="1" x14ac:dyDescent="0.2">
      <c r="B9" s="1121"/>
      <c r="C9" s="2065" t="s">
        <v>7571</v>
      </c>
      <c r="D9" s="2999" t="s">
        <v>7572</v>
      </c>
      <c r="E9" s="2999"/>
      <c r="F9" s="1973"/>
      <c r="G9" s="1122"/>
      <c r="J9" s="310"/>
    </row>
    <row r="10" spans="2:10" ht="15.75" customHeight="1" x14ac:dyDescent="0.2">
      <c r="B10" s="1121"/>
      <c r="C10" s="2065" t="s">
        <v>7573</v>
      </c>
      <c r="D10" s="2999" t="s">
        <v>7574</v>
      </c>
      <c r="E10" s="2999"/>
      <c r="F10" s="1973"/>
      <c r="G10" s="1122"/>
      <c r="J10" s="310"/>
    </row>
    <row r="11" spans="2:10" ht="17.25" customHeight="1" x14ac:dyDescent="0.2">
      <c r="B11" s="1121"/>
      <c r="C11" s="2065" t="s">
        <v>7575</v>
      </c>
      <c r="D11" s="2999" t="s">
        <v>7576</v>
      </c>
      <c r="E11" s="2999"/>
      <c r="F11" s="1973"/>
      <c r="G11" s="1122"/>
      <c r="J11" s="310"/>
    </row>
    <row r="12" spans="2:10" ht="16.5" customHeight="1" x14ac:dyDescent="0.2">
      <c r="B12" s="1121"/>
      <c r="C12" s="2065" t="s">
        <v>7577</v>
      </c>
      <c r="D12" s="2999" t="s">
        <v>7578</v>
      </c>
      <c r="E12" s="2999"/>
      <c r="F12" s="1973"/>
      <c r="G12" s="1122"/>
      <c r="J12" s="310"/>
    </row>
    <row r="13" spans="2:10" ht="44.25" customHeight="1" x14ac:dyDescent="0.2">
      <c r="B13" s="1121"/>
      <c r="C13" s="2065" t="s">
        <v>7579</v>
      </c>
      <c r="D13" s="3041" t="s">
        <v>8258</v>
      </c>
      <c r="E13" s="3041"/>
      <c r="F13" s="1973"/>
      <c r="G13" s="1122"/>
      <c r="J13" s="310"/>
    </row>
    <row r="14" spans="2:10" ht="17.25" customHeight="1" x14ac:dyDescent="0.2">
      <c r="B14" s="1121"/>
      <c r="C14" s="2065" t="s">
        <v>7580</v>
      </c>
      <c r="D14" s="2999" t="s">
        <v>7581</v>
      </c>
      <c r="E14" s="2999"/>
      <c r="F14" s="1973"/>
      <c r="G14" s="1122"/>
      <c r="J14" s="310"/>
    </row>
    <row r="15" spans="2:10" ht="25.5" customHeight="1" x14ac:dyDescent="0.2">
      <c r="B15" s="1121"/>
      <c r="C15" s="2065" t="s">
        <v>7582</v>
      </c>
      <c r="D15" s="2999" t="s">
        <v>7583</v>
      </c>
      <c r="E15" s="2999"/>
      <c r="F15" s="1973"/>
      <c r="G15" s="1122"/>
      <c r="J15" s="310"/>
    </row>
    <row r="16" spans="2:10" ht="28.5" customHeight="1" x14ac:dyDescent="0.2">
      <c r="B16" s="1121"/>
      <c r="C16" s="254" t="s">
        <v>12990</v>
      </c>
      <c r="D16" s="3001" t="s">
        <v>8259</v>
      </c>
      <c r="E16" s="3001"/>
      <c r="F16" s="741">
        <f>MAX(0,SUM(F6:F15))</f>
        <v>0</v>
      </c>
      <c r="G16" s="1122"/>
      <c r="J16" s="310"/>
    </row>
    <row r="17" spans="2:10" ht="27" customHeight="1" x14ac:dyDescent="0.2">
      <c r="B17" s="1121"/>
      <c r="C17" s="254" t="s">
        <v>12991</v>
      </c>
      <c r="D17" s="3001" t="s">
        <v>8260</v>
      </c>
      <c r="E17" s="3001"/>
      <c r="F17" s="741">
        <f>(MIN(0,SUM(F6:F15))*-1)</f>
        <v>0</v>
      </c>
      <c r="G17" s="1122"/>
      <c r="J17" s="310"/>
    </row>
    <row r="18" spans="2:10" ht="15.75" customHeight="1" thickBot="1" x14ac:dyDescent="0.25">
      <c r="B18" s="1141"/>
      <c r="C18" s="1185"/>
      <c r="D18" s="1144"/>
      <c r="E18" s="1144"/>
      <c r="F18" s="1144"/>
      <c r="G18" s="1156"/>
    </row>
    <row r="19" spans="2:10" ht="15.75" customHeight="1" x14ac:dyDescent="0.2"/>
  </sheetData>
  <sheetProtection algorithmName="SHA-512" hashValue="5aNcnoa7LIh/cdfZUogwXMkTzeG2TKyiCzVQBAq70z51oXv6ZucIXkdHTaqr6Ldk3ITmVkm63LJZObFLIdQNQw==" saltValue="P+2Ow8wuKQJcH9rIjCvm0w==" spinCount="100000" sheet="1" objects="1" scenarios="1"/>
  <mergeCells count="16">
    <mergeCell ref="D7:E7"/>
    <mergeCell ref="C3:D3"/>
    <mergeCell ref="E3:F3"/>
    <mergeCell ref="D4:E4"/>
    <mergeCell ref="D5:E5"/>
    <mergeCell ref="D6:E6"/>
    <mergeCell ref="D17:E17"/>
    <mergeCell ref="D14:E14"/>
    <mergeCell ref="D15:E15"/>
    <mergeCell ref="D16:E16"/>
    <mergeCell ref="D8:E8"/>
    <mergeCell ref="D9:E9"/>
    <mergeCell ref="D10:E10"/>
    <mergeCell ref="D11:E11"/>
    <mergeCell ref="D12:E12"/>
    <mergeCell ref="D13:E13"/>
  </mergeCells>
  <dataValidations count="1">
    <dataValidation type="whole" allowBlank="1" showErrorMessage="1" error="Numeric,No decimal, b/w _x000a_-99,999,999,999,999 to 99,999,999,999,999" sqref="F6:F15">
      <formula1>-99999999999999</formula1>
      <formula2>99999999999999</formula2>
    </dataValidation>
  </dataValidations>
  <printOptions horizontalCentered="1"/>
  <pageMargins left="5.5555555555555558E-3" right="5.5555555555555558E-3" top="0.75" bottom="0.75" header="0.3" footer="0.3"/>
  <pageSetup paperSize="9" orientation="landscape" blackAndWhite="1" horizontalDpi="90" verticalDpi="90"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67937" r:id="rId5" name="Button 1">
              <controlPr defaultSize="0" print="0" autoFill="0" autoPict="0" macro="[0]!ValidateICDS_Click">
                <anchor>
                  <from>
                    <xdr:col>7</xdr:col>
                    <xdr:colOff>133350</xdr:colOff>
                    <xdr:row>2</xdr:row>
                    <xdr:rowOff>266700</xdr:rowOff>
                  </from>
                  <to>
                    <xdr:col>7</xdr:col>
                    <xdr:colOff>1504950</xdr:colOff>
                    <xdr:row>4</xdr:row>
                    <xdr:rowOff>95250</xdr:rowOff>
                  </to>
                </anchor>
              </controlPr>
            </control>
          </mc:Choice>
        </mc:AlternateContent>
        <mc:AlternateContent xmlns:mc="http://schemas.openxmlformats.org/markup-compatibility/2006">
          <mc:Choice Requires="x14">
            <control shapeId="167938" r:id="rId6" name="Button 2">
              <controlPr defaultSize="0" print="0" autoFill="0" autoPict="0" macro="[0]!Prev_Sheet">
                <anchor>
                  <from>
                    <xdr:col>7</xdr:col>
                    <xdr:colOff>133350</xdr:colOff>
                    <xdr:row>6</xdr:row>
                    <xdr:rowOff>28575</xdr:rowOff>
                  </from>
                  <to>
                    <xdr:col>7</xdr:col>
                    <xdr:colOff>1504950</xdr:colOff>
                    <xdr:row>6</xdr:row>
                    <xdr:rowOff>304800</xdr:rowOff>
                  </to>
                </anchor>
              </controlPr>
            </control>
          </mc:Choice>
        </mc:AlternateContent>
        <mc:AlternateContent xmlns:mc="http://schemas.openxmlformats.org/markup-compatibility/2006">
          <mc:Choice Requires="x14">
            <control shapeId="167939" r:id="rId7" name="Button 3">
              <controlPr defaultSize="0" print="0" autoFill="0" autoPict="0" macro="[0]!Img_Home_Click">
                <anchor>
                  <from>
                    <xdr:col>7</xdr:col>
                    <xdr:colOff>133350</xdr:colOff>
                    <xdr:row>1</xdr:row>
                    <xdr:rowOff>142875</xdr:rowOff>
                  </from>
                  <to>
                    <xdr:col>7</xdr:col>
                    <xdr:colOff>1504950</xdr:colOff>
                    <xdr:row>2</xdr:row>
                    <xdr:rowOff>247650</xdr:rowOff>
                  </to>
                </anchor>
              </controlPr>
            </control>
          </mc:Choice>
        </mc:AlternateContent>
        <mc:AlternateContent xmlns:mc="http://schemas.openxmlformats.org/markup-compatibility/2006">
          <mc:Choice Requires="x14">
            <control shapeId="167940" r:id="rId8" name="Button 4">
              <controlPr defaultSize="0" print="0" autoFill="0" autoPict="0" macro="[0]!Next_Sheet">
                <anchor>
                  <from>
                    <xdr:col>7</xdr:col>
                    <xdr:colOff>133350</xdr:colOff>
                    <xdr:row>4</xdr:row>
                    <xdr:rowOff>133350</xdr:rowOff>
                  </from>
                  <to>
                    <xdr:col>7</xdr:col>
                    <xdr:colOff>1504950</xdr:colOff>
                    <xdr:row>6</xdr:row>
                    <xdr:rowOff>19050</xdr:rowOff>
                  </to>
                </anchor>
              </controlPr>
            </control>
          </mc:Choice>
        </mc:AlternateContent>
        <mc:AlternateContent xmlns:mc="http://schemas.openxmlformats.org/markup-compatibility/2006">
          <mc:Choice Requires="x14">
            <control shapeId="167941" r:id="rId9" name="Button 5">
              <controlPr defaultSize="0" print="0" autoFill="0" autoPict="0" macro="[0]!Instruction_Sheet">
                <anchor>
                  <from>
                    <xdr:col>7</xdr:col>
                    <xdr:colOff>133350</xdr:colOff>
                    <xdr:row>7</xdr:row>
                    <xdr:rowOff>209550</xdr:rowOff>
                  </from>
                  <to>
                    <xdr:col>7</xdr:col>
                    <xdr:colOff>1504950</xdr:colOff>
                    <xdr:row>9</xdr:row>
                    <xdr:rowOff>57150</xdr:rowOff>
                  </to>
                </anchor>
              </controlPr>
            </control>
          </mc:Choice>
        </mc:AlternateContent>
        <mc:AlternateContent xmlns:mc="http://schemas.openxmlformats.org/markup-compatibility/2006">
          <mc:Choice Requires="x14">
            <control shapeId="167942" r:id="rId10" name="Button 6">
              <controlPr defaultSize="0" print="0" autoFill="0" autoPict="0" macro="[0]!WorksheetsPrint">
                <anchor>
                  <from>
                    <xdr:col>7</xdr:col>
                    <xdr:colOff>133350</xdr:colOff>
                    <xdr:row>6</xdr:row>
                    <xdr:rowOff>628650</xdr:rowOff>
                  </from>
                  <to>
                    <xdr:col>7</xdr:col>
                    <xdr:colOff>1504950</xdr:colOff>
                    <xdr:row>7</xdr:row>
                    <xdr:rowOff>180975</xdr:rowOff>
                  </to>
                </anchor>
              </controlPr>
            </control>
          </mc:Choice>
        </mc:AlternateContent>
        <mc:AlternateContent xmlns:mc="http://schemas.openxmlformats.org/markup-compatibility/2006">
          <mc:Choice Requires="x14">
            <control shapeId="167943" r:id="rId11" name="Button 7">
              <controlPr defaultSize="0" print="0" autoFill="0" autoPict="0" macro="[0]!GenerateJSON.GenerateJSON">
                <anchor>
                  <from>
                    <xdr:col>7</xdr:col>
                    <xdr:colOff>133350</xdr:colOff>
                    <xdr:row>6</xdr:row>
                    <xdr:rowOff>323850</xdr:rowOff>
                  </from>
                  <to>
                    <xdr:col>7</xdr:col>
                    <xdr:colOff>1504950</xdr:colOff>
                    <xdr:row>6</xdr:row>
                    <xdr:rowOff>600075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V1000"/>
  <sheetViews>
    <sheetView showGridLines="0" showRowColHeaders="0" topLeftCell="A6" zoomScaleSheetLayoutView="100" workbookViewId="0">
      <selection activeCell="I14" sqref="I14"/>
    </sheetView>
  </sheetViews>
  <sheetFormatPr defaultColWidth="0" defaultRowHeight="12.75" zeroHeight="1" x14ac:dyDescent="0.2"/>
  <cols>
    <col min="1" max="1" width="3.7109375" style="113" customWidth="1"/>
    <col min="2" max="2" width="3.85546875" style="113" customWidth="1"/>
    <col min="3" max="3" width="7.7109375" style="113" customWidth="1"/>
    <col min="4" max="4" width="3.42578125" style="113" customWidth="1"/>
    <col min="5" max="5" width="5.28515625" style="113" customWidth="1"/>
    <col min="6" max="6" width="16.28515625" style="113" customWidth="1"/>
    <col min="7" max="7" width="9.140625" style="113" customWidth="1"/>
    <col min="8" max="8" width="39" style="113" customWidth="1"/>
    <col min="9" max="9" width="13.5703125" style="113" customWidth="1"/>
    <col min="10" max="10" width="3.7109375" style="744" customWidth="1"/>
    <col min="11" max="11" width="28.85546875" style="113" customWidth="1"/>
    <col min="12" max="255" width="9.140625" style="113" hidden="1" customWidth="1"/>
    <col min="256" max="16384" width="7.7109375" style="113" hidden="1"/>
  </cols>
  <sheetData>
    <row r="1" spans="2:256" ht="16.5" hidden="1" customHeight="1" x14ac:dyDescent="0.25">
      <c r="C1" s="3384" t="s">
        <v>1110</v>
      </c>
      <c r="D1" s="3384"/>
      <c r="E1" s="3384"/>
      <c r="F1" s="216" t="s">
        <v>1111</v>
      </c>
      <c r="G1" s="212"/>
      <c r="H1" s="742"/>
      <c r="I1" s="743"/>
    </row>
    <row r="2" spans="2:256" ht="30" hidden="1" customHeight="1" x14ac:dyDescent="0.2">
      <c r="C2" s="406"/>
      <c r="D2" s="723">
        <v>1</v>
      </c>
      <c r="E2" s="745" t="s">
        <v>1112</v>
      </c>
      <c r="F2" s="746"/>
      <c r="G2" s="746"/>
      <c r="H2" s="747"/>
      <c r="I2" s="748"/>
    </row>
    <row r="3" spans="2:256" ht="27.75" hidden="1" customHeight="1" x14ac:dyDescent="0.25">
      <c r="C3" s="406"/>
      <c r="D3" s="230"/>
      <c r="E3" s="3384"/>
      <c r="F3" s="3384"/>
      <c r="G3" s="3384"/>
      <c r="H3" s="749" t="s">
        <v>7373</v>
      </c>
      <c r="I3" s="750" t="s">
        <v>1113</v>
      </c>
    </row>
    <row r="4" spans="2:256" ht="21.75" hidden="1" customHeight="1" x14ac:dyDescent="0.2">
      <c r="C4" s="406"/>
      <c r="D4" s="751"/>
      <c r="E4" s="6">
        <v>1</v>
      </c>
      <c r="F4" s="752" t="str">
        <f>CONCATENATE("Undertaking No.",E4)</f>
        <v>Undertaking No.1</v>
      </c>
      <c r="G4" s="6"/>
      <c r="H4" s="81" t="s">
        <v>12</v>
      </c>
      <c r="I4" s="7"/>
    </row>
    <row r="5" spans="2:256" ht="14.25" hidden="1" customHeight="1" x14ac:dyDescent="0.2">
      <c r="C5" s="407"/>
      <c r="D5" s="232"/>
      <c r="E5" s="23"/>
      <c r="F5" s="745" t="s">
        <v>1114</v>
      </c>
      <c r="G5" s="718"/>
      <c r="H5" s="753"/>
      <c r="I5" s="236">
        <f>SUM(SEZA10.DedFromUndertaking)</f>
        <v>0</v>
      </c>
    </row>
    <row r="6" spans="2:256" ht="15" customHeight="1" thickBot="1" x14ac:dyDescent="0.3">
      <c r="C6" s="754"/>
      <c r="D6" s="754"/>
      <c r="E6" s="754"/>
      <c r="F6" s="754"/>
      <c r="G6" s="754"/>
      <c r="H6" s="754"/>
      <c r="I6" s="754"/>
      <c r="IU6"/>
      <c r="IV6"/>
    </row>
    <row r="7" spans="2:256" ht="15" x14ac:dyDescent="0.25">
      <c r="B7" s="1130"/>
      <c r="C7" s="1186"/>
      <c r="D7" s="1186"/>
      <c r="E7" s="1186"/>
      <c r="F7" s="1186"/>
      <c r="G7" s="1186"/>
      <c r="H7" s="1187"/>
      <c r="I7" s="1186"/>
      <c r="J7" s="1188"/>
      <c r="IU7"/>
      <c r="IV7"/>
    </row>
    <row r="8" spans="2:256" ht="15" customHeight="1" x14ac:dyDescent="0.25">
      <c r="B8" s="1121"/>
      <c r="C8" s="3759" t="s">
        <v>1115</v>
      </c>
      <c r="D8" s="3760"/>
      <c r="E8" s="3761"/>
      <c r="F8" s="3109" t="s">
        <v>1116</v>
      </c>
      <c r="G8" s="3119"/>
      <c r="H8" s="3119"/>
      <c r="I8" s="3120"/>
      <c r="J8" s="1189"/>
      <c r="IU8"/>
      <c r="IV8"/>
    </row>
    <row r="9" spans="2:256" ht="21" customHeight="1" x14ac:dyDescent="0.25">
      <c r="B9" s="1121"/>
      <c r="C9" s="3765" t="s">
        <v>1117</v>
      </c>
      <c r="D9" s="2061">
        <v>1</v>
      </c>
      <c r="E9" s="2025" t="s">
        <v>1118</v>
      </c>
      <c r="F9" s="2052"/>
      <c r="G9" s="2052"/>
      <c r="H9" s="1495"/>
      <c r="I9" s="1496"/>
      <c r="J9" s="1189"/>
      <c r="IU9"/>
      <c r="IV9"/>
    </row>
    <row r="10" spans="2:256" ht="34.5" customHeight="1" x14ac:dyDescent="0.25">
      <c r="B10" s="1121"/>
      <c r="C10" s="3766"/>
      <c r="D10" s="2062"/>
      <c r="E10" s="3755"/>
      <c r="F10" s="3755"/>
      <c r="G10" s="3756"/>
      <c r="H10" s="1497" t="s">
        <v>12761</v>
      </c>
      <c r="I10" s="1497" t="s">
        <v>1113</v>
      </c>
      <c r="J10" s="1189"/>
      <c r="IU10"/>
      <c r="IV10"/>
    </row>
    <row r="11" spans="2:256" ht="15" x14ac:dyDescent="0.25">
      <c r="B11" s="1121"/>
      <c r="C11" s="3766"/>
      <c r="D11" s="1112"/>
      <c r="E11" s="199">
        <v>1</v>
      </c>
      <c r="F11" s="2045" t="str">
        <f>CONCATENATE("Undertaking No.",E11)</f>
        <v>Undertaking No.1</v>
      </c>
      <c r="G11" s="6"/>
      <c r="H11" s="1498" t="s">
        <v>12</v>
      </c>
      <c r="I11" s="1973"/>
      <c r="J11" s="1189"/>
      <c r="IU11"/>
      <c r="IV11"/>
    </row>
    <row r="12" spans="2:256" ht="12.75" customHeight="1" x14ac:dyDescent="0.25">
      <c r="B12" s="1121"/>
      <c r="C12" s="1578"/>
      <c r="D12" s="1112"/>
      <c r="E12" s="199">
        <f>E11+1</f>
        <v>2</v>
      </c>
      <c r="F12" s="2045" t="str">
        <f>CONCATENATE("Undertaking No.",E12)</f>
        <v>Undertaking No.2</v>
      </c>
      <c r="G12" s="6"/>
      <c r="H12" s="1498" t="s">
        <v>12</v>
      </c>
      <c r="I12" s="1973"/>
      <c r="J12" s="1189"/>
      <c r="IU12"/>
      <c r="IV12"/>
    </row>
    <row r="13" spans="2:256" ht="12.75" customHeight="1" x14ac:dyDescent="0.25">
      <c r="B13" s="1121"/>
      <c r="C13" s="1578"/>
      <c r="D13" s="1112"/>
      <c r="E13" s="2238">
        <f>E12+1</f>
        <v>3</v>
      </c>
      <c r="F13" s="2235" t="str">
        <f>CONCATENATE("Undertaking No.",E13)</f>
        <v>Undertaking No.3</v>
      </c>
      <c r="G13" s="2237"/>
      <c r="H13" s="1498" t="s">
        <v>12</v>
      </c>
      <c r="I13" s="1973"/>
      <c r="J13" s="1189"/>
      <c r="IU13" s="2236"/>
      <c r="IV13" s="2236"/>
    </row>
    <row r="14" spans="2:256" ht="15" x14ac:dyDescent="0.25">
      <c r="B14" s="1121"/>
      <c r="C14" s="1579"/>
      <c r="D14" s="773"/>
      <c r="E14" s="755"/>
      <c r="F14" s="3762" t="s">
        <v>12797</v>
      </c>
      <c r="G14" s="3763"/>
      <c r="H14" s="3764"/>
      <c r="I14" s="1391">
        <f>SUM(AA10.DedFromUndertaking)</f>
        <v>0</v>
      </c>
      <c r="J14" s="1189"/>
      <c r="IU14"/>
      <c r="IV14"/>
    </row>
    <row r="15" spans="2:256" ht="15.75" customHeight="1" x14ac:dyDescent="0.25">
      <c r="B15" s="1121"/>
      <c r="C15" s="1133"/>
      <c r="D15" s="1133"/>
      <c r="E15" s="1133"/>
      <c r="F15" s="1133"/>
      <c r="G15" s="1133"/>
      <c r="H15" s="1133"/>
      <c r="I15" s="1820"/>
      <c r="J15" s="1189"/>
      <c r="IU15"/>
      <c r="IV15"/>
    </row>
    <row r="16" spans="2:256" s="117" customFormat="1" ht="24" customHeight="1" x14ac:dyDescent="0.25">
      <c r="B16" s="1135"/>
      <c r="C16" s="3712"/>
      <c r="D16" s="3713"/>
      <c r="E16" s="3713"/>
      <c r="F16" s="3713"/>
      <c r="G16" s="3713"/>
      <c r="H16" s="3713"/>
      <c r="I16" s="3757"/>
      <c r="J16" s="1189"/>
      <c r="IU16"/>
      <c r="IV16"/>
    </row>
    <row r="17" spans="2:256" s="117" customFormat="1" ht="12" customHeight="1" x14ac:dyDescent="0.25">
      <c r="B17" s="1135"/>
      <c r="C17" s="1133"/>
      <c r="D17" s="1133"/>
      <c r="E17" s="1133"/>
      <c r="F17" s="1133"/>
      <c r="G17" s="1133"/>
      <c r="H17" s="1133"/>
      <c r="I17" s="1133"/>
      <c r="J17" s="1189"/>
      <c r="IU17"/>
      <c r="IV17"/>
    </row>
    <row r="18" spans="2:256" s="117" customFormat="1" ht="15" x14ac:dyDescent="0.25">
      <c r="B18" s="1135"/>
      <c r="C18" s="3758" t="s">
        <v>13066</v>
      </c>
      <c r="D18" s="3758"/>
      <c r="E18" s="3758"/>
      <c r="F18" s="3758"/>
      <c r="G18" s="3758"/>
      <c r="H18" s="3758"/>
      <c r="I18" s="3758"/>
      <c r="J18" s="1189"/>
      <c r="IU18"/>
      <c r="IV18"/>
    </row>
    <row r="19" spans="2:256" ht="15" customHeight="1" thickBot="1" x14ac:dyDescent="0.3">
      <c r="B19" s="1141"/>
      <c r="C19" s="1144"/>
      <c r="D19" s="1144"/>
      <c r="E19" s="1144"/>
      <c r="F19" s="1144"/>
      <c r="G19" s="1144"/>
      <c r="H19" s="1144"/>
      <c r="I19" s="1144"/>
      <c r="J19" s="1190"/>
      <c r="IU19"/>
      <c r="IV19"/>
    </row>
    <row r="20" spans="2:256" ht="15" customHeight="1" x14ac:dyDescent="0.25">
      <c r="IU20"/>
      <c r="IV20"/>
    </row>
    <row r="21" spans="2:256" ht="15" hidden="1" customHeight="1" x14ac:dyDescent="0.25">
      <c r="IU21"/>
      <c r="IV21"/>
    </row>
    <row r="22" spans="2:256" ht="15" hidden="1" customHeight="1" x14ac:dyDescent="0.25">
      <c r="IU22"/>
      <c r="IV22"/>
    </row>
    <row r="23" spans="2:256" ht="15" hidden="1" x14ac:dyDescent="0.25">
      <c r="IU23"/>
      <c r="IV23"/>
    </row>
    <row r="24" spans="2:256" ht="15" hidden="1" x14ac:dyDescent="0.25">
      <c r="IU24"/>
      <c r="IV24"/>
    </row>
    <row r="25" spans="2:256" ht="15" hidden="1" x14ac:dyDescent="0.25">
      <c r="IU25"/>
      <c r="IV25"/>
    </row>
    <row r="26" spans="2:256" ht="15" hidden="1" x14ac:dyDescent="0.25">
      <c r="IU26"/>
      <c r="IV26"/>
    </row>
    <row r="27" spans="2:256" ht="15" hidden="1" x14ac:dyDescent="0.25">
      <c r="IU27"/>
      <c r="IV27"/>
    </row>
    <row r="28" spans="2:256" ht="15" hidden="1" x14ac:dyDescent="0.25">
      <c r="IU28"/>
      <c r="IV28"/>
    </row>
    <row r="29" spans="2:256" ht="15" hidden="1" x14ac:dyDescent="0.25">
      <c r="IU29"/>
      <c r="IV29"/>
    </row>
    <row r="30" spans="2:256" ht="15" hidden="1" x14ac:dyDescent="0.25">
      <c r="IU30"/>
      <c r="IV30"/>
    </row>
    <row r="31" spans="2:256" ht="15" hidden="1" x14ac:dyDescent="0.25">
      <c r="IU31"/>
      <c r="IV31"/>
    </row>
    <row r="32" spans="2:256" ht="15" hidden="1" x14ac:dyDescent="0.25">
      <c r="IU32"/>
      <c r="IV32"/>
    </row>
    <row r="33" spans="255:256" ht="15" hidden="1" x14ac:dyDescent="0.25">
      <c r="IU33"/>
      <c r="IV33"/>
    </row>
    <row r="34" spans="255:256" ht="15" hidden="1" x14ac:dyDescent="0.25">
      <c r="IU34"/>
      <c r="IV34"/>
    </row>
    <row r="35" spans="255:256" ht="15" hidden="1" x14ac:dyDescent="0.25">
      <c r="IU35"/>
      <c r="IV35"/>
    </row>
    <row r="36" spans="255:256" ht="15" hidden="1" x14ac:dyDescent="0.25">
      <c r="IU36"/>
      <c r="IV36"/>
    </row>
    <row r="37" spans="255:256" ht="15" hidden="1" x14ac:dyDescent="0.25">
      <c r="IU37"/>
      <c r="IV37"/>
    </row>
    <row r="38" spans="255:256" ht="15" hidden="1" x14ac:dyDescent="0.25">
      <c r="IU38"/>
      <c r="IV38"/>
    </row>
    <row r="39" spans="255:256" ht="15" hidden="1" x14ac:dyDescent="0.25">
      <c r="IU39"/>
      <c r="IV39"/>
    </row>
    <row r="40" spans="255:256" ht="15" hidden="1" x14ac:dyDescent="0.25">
      <c r="IU40"/>
      <c r="IV40"/>
    </row>
    <row r="41" spans="255:256" ht="15" hidden="1" x14ac:dyDescent="0.25">
      <c r="IU41"/>
      <c r="IV41"/>
    </row>
    <row r="42" spans="255:256" ht="15" hidden="1" x14ac:dyDescent="0.25">
      <c r="IU42"/>
      <c r="IV42"/>
    </row>
    <row r="43" spans="255:256" ht="15" hidden="1" x14ac:dyDescent="0.25">
      <c r="IU43"/>
      <c r="IV43"/>
    </row>
    <row r="44" spans="255:256" ht="15" hidden="1" x14ac:dyDescent="0.25">
      <c r="IU44"/>
      <c r="IV44"/>
    </row>
    <row r="45" spans="255:256" ht="15" hidden="1" x14ac:dyDescent="0.25">
      <c r="IU45"/>
      <c r="IV45"/>
    </row>
    <row r="46" spans="255:256" ht="15" hidden="1" x14ac:dyDescent="0.25">
      <c r="IU46"/>
      <c r="IV46"/>
    </row>
    <row r="47" spans="255:256" ht="15" hidden="1" x14ac:dyDescent="0.25">
      <c r="IU47"/>
      <c r="IV47"/>
    </row>
    <row r="48" spans="255:256" ht="15" hidden="1" x14ac:dyDescent="0.25">
      <c r="IU48"/>
      <c r="IV48"/>
    </row>
    <row r="49" spans="255:256" ht="15" hidden="1" x14ac:dyDescent="0.25">
      <c r="IU49"/>
      <c r="IV49"/>
    </row>
    <row r="50" spans="255:256" ht="15" hidden="1" x14ac:dyDescent="0.25">
      <c r="IU50"/>
      <c r="IV50"/>
    </row>
    <row r="51" spans="255:256" ht="15" hidden="1" x14ac:dyDescent="0.25">
      <c r="IU51"/>
      <c r="IV51"/>
    </row>
    <row r="52" spans="255:256" ht="15" hidden="1" x14ac:dyDescent="0.25">
      <c r="IU52"/>
      <c r="IV52"/>
    </row>
    <row r="53" spans="255:256" ht="15" hidden="1" x14ac:dyDescent="0.25">
      <c r="IU53"/>
      <c r="IV53"/>
    </row>
    <row r="54" spans="255:256" ht="15" hidden="1" x14ac:dyDescent="0.25">
      <c r="IU54"/>
      <c r="IV54"/>
    </row>
    <row r="55" spans="255:256" ht="15" hidden="1" x14ac:dyDescent="0.25">
      <c r="IU55"/>
      <c r="IV55"/>
    </row>
    <row r="56" spans="255:256" ht="15" hidden="1" x14ac:dyDescent="0.25">
      <c r="IU56"/>
      <c r="IV56"/>
    </row>
    <row r="57" spans="255:256" ht="15" hidden="1" x14ac:dyDescent="0.25">
      <c r="IU57"/>
      <c r="IV57"/>
    </row>
    <row r="58" spans="255:256" ht="15" hidden="1" x14ac:dyDescent="0.25">
      <c r="IU58"/>
      <c r="IV58"/>
    </row>
    <row r="59" spans="255:256" ht="15" hidden="1" x14ac:dyDescent="0.25">
      <c r="IU59"/>
      <c r="IV59"/>
    </row>
    <row r="60" spans="255:256" ht="15" hidden="1" x14ac:dyDescent="0.25">
      <c r="IU60"/>
      <c r="IV60"/>
    </row>
    <row r="61" spans="255:256" ht="15" hidden="1" x14ac:dyDescent="0.25">
      <c r="IU61"/>
      <c r="IV61"/>
    </row>
    <row r="62" spans="255:256" ht="15" hidden="1" x14ac:dyDescent="0.25">
      <c r="IU62"/>
      <c r="IV62"/>
    </row>
    <row r="63" spans="255:256" ht="15" hidden="1" x14ac:dyDescent="0.25">
      <c r="IU63"/>
      <c r="IV63"/>
    </row>
    <row r="64" spans="255:256" ht="15" hidden="1" x14ac:dyDescent="0.25">
      <c r="IU64"/>
      <c r="IV64"/>
    </row>
    <row r="65" spans="255:256" ht="15" hidden="1" x14ac:dyDescent="0.25">
      <c r="IU65"/>
      <c r="IV65"/>
    </row>
    <row r="66" spans="255:256" ht="15" hidden="1" x14ac:dyDescent="0.25">
      <c r="IU66"/>
      <c r="IV66"/>
    </row>
    <row r="67" spans="255:256" ht="15" hidden="1" x14ac:dyDescent="0.25">
      <c r="IU67"/>
      <c r="IV67"/>
    </row>
    <row r="68" spans="255:256" ht="15" hidden="1" x14ac:dyDescent="0.25">
      <c r="IU68"/>
      <c r="IV68"/>
    </row>
    <row r="69" spans="255:256" ht="15" hidden="1" x14ac:dyDescent="0.25">
      <c r="IU69"/>
      <c r="IV69"/>
    </row>
    <row r="70" spans="255:256" ht="15" hidden="1" x14ac:dyDescent="0.25">
      <c r="IU70"/>
      <c r="IV70"/>
    </row>
    <row r="71" spans="255:256" ht="15" hidden="1" x14ac:dyDescent="0.25">
      <c r="IU71"/>
      <c r="IV71"/>
    </row>
    <row r="72" spans="255:256" ht="15" hidden="1" x14ac:dyDescent="0.25">
      <c r="IU72"/>
      <c r="IV72"/>
    </row>
    <row r="73" spans="255:256" ht="15" hidden="1" x14ac:dyDescent="0.25">
      <c r="IU73"/>
      <c r="IV73"/>
    </row>
    <row r="74" spans="255:256" ht="15" hidden="1" x14ac:dyDescent="0.25">
      <c r="IU74"/>
      <c r="IV74"/>
    </row>
    <row r="75" spans="255:256" ht="15" hidden="1" x14ac:dyDescent="0.25">
      <c r="IU75"/>
      <c r="IV75"/>
    </row>
    <row r="76" spans="255:256" ht="15" hidden="1" x14ac:dyDescent="0.25">
      <c r="IU76"/>
      <c r="IV76"/>
    </row>
    <row r="77" spans="255:256" ht="15" hidden="1" x14ac:dyDescent="0.25">
      <c r="IU77"/>
      <c r="IV77"/>
    </row>
    <row r="78" spans="255:256" ht="15" hidden="1" x14ac:dyDescent="0.25">
      <c r="IU78"/>
      <c r="IV78"/>
    </row>
    <row r="79" spans="255:256" ht="15" hidden="1" x14ac:dyDescent="0.25">
      <c r="IU79"/>
      <c r="IV79"/>
    </row>
    <row r="80" spans="255:256" ht="15" hidden="1" x14ac:dyDescent="0.25">
      <c r="IU80"/>
      <c r="IV80"/>
    </row>
    <row r="81" spans="255:256" ht="15" hidden="1" x14ac:dyDescent="0.25">
      <c r="IU81"/>
      <c r="IV81"/>
    </row>
    <row r="82" spans="255:256" ht="15" hidden="1" x14ac:dyDescent="0.25">
      <c r="IU82"/>
      <c r="IV82"/>
    </row>
    <row r="83" spans="255:256" ht="15" hidden="1" x14ac:dyDescent="0.25">
      <c r="IU83"/>
      <c r="IV83"/>
    </row>
    <row r="84" spans="255:256" ht="15" hidden="1" x14ac:dyDescent="0.25">
      <c r="IU84"/>
      <c r="IV84"/>
    </row>
    <row r="85" spans="255:256" ht="15" hidden="1" x14ac:dyDescent="0.25">
      <c r="IU85"/>
      <c r="IV85"/>
    </row>
    <row r="86" spans="255:256" ht="15" hidden="1" x14ac:dyDescent="0.25">
      <c r="IU86"/>
      <c r="IV86"/>
    </row>
    <row r="87" spans="255:256" ht="15" hidden="1" x14ac:dyDescent="0.25">
      <c r="IU87"/>
      <c r="IV87"/>
    </row>
    <row r="88" spans="255:256" ht="15" hidden="1" x14ac:dyDescent="0.25">
      <c r="IU88"/>
      <c r="IV88"/>
    </row>
    <row r="89" spans="255:256" ht="15" hidden="1" x14ac:dyDescent="0.25">
      <c r="IU89"/>
      <c r="IV89"/>
    </row>
    <row r="90" spans="255:256" ht="15" hidden="1" x14ac:dyDescent="0.25">
      <c r="IU90"/>
      <c r="IV90"/>
    </row>
    <row r="91" spans="255:256" ht="15" hidden="1" x14ac:dyDescent="0.25">
      <c r="IU91"/>
      <c r="IV91"/>
    </row>
    <row r="92" spans="255:256" ht="15" hidden="1" x14ac:dyDescent="0.25">
      <c r="IU92"/>
      <c r="IV92"/>
    </row>
    <row r="93" spans="255:256" ht="15" hidden="1" x14ac:dyDescent="0.25">
      <c r="IU93"/>
      <c r="IV93"/>
    </row>
    <row r="94" spans="255:256" ht="15" hidden="1" x14ac:dyDescent="0.25">
      <c r="IU94"/>
      <c r="IV94"/>
    </row>
    <row r="95" spans="255:256" ht="15" hidden="1" x14ac:dyDescent="0.25">
      <c r="IU95"/>
      <c r="IV95"/>
    </row>
    <row r="96" spans="255:256" ht="15" hidden="1" x14ac:dyDescent="0.25">
      <c r="IU96"/>
      <c r="IV96"/>
    </row>
    <row r="97" spans="255:256" ht="15" hidden="1" x14ac:dyDescent="0.25">
      <c r="IU97"/>
      <c r="IV97"/>
    </row>
    <row r="98" spans="255:256" ht="15" hidden="1" x14ac:dyDescent="0.25">
      <c r="IU98"/>
      <c r="IV98"/>
    </row>
    <row r="99" spans="255:256" ht="15" hidden="1" x14ac:dyDescent="0.25">
      <c r="IU99"/>
      <c r="IV99"/>
    </row>
    <row r="100" spans="255:256" ht="15" hidden="1" x14ac:dyDescent="0.25">
      <c r="IU100"/>
      <c r="IV100"/>
    </row>
    <row r="101" spans="255:256" ht="15" hidden="1" x14ac:dyDescent="0.25">
      <c r="IU101"/>
      <c r="IV101"/>
    </row>
    <row r="102" spans="255:256" ht="15" hidden="1" x14ac:dyDescent="0.25">
      <c r="IU102"/>
      <c r="IV102"/>
    </row>
    <row r="103" spans="255:256" ht="15" hidden="1" x14ac:dyDescent="0.25">
      <c r="IU103"/>
      <c r="IV103"/>
    </row>
    <row r="104" spans="255:256" ht="15" hidden="1" x14ac:dyDescent="0.25">
      <c r="IU104"/>
      <c r="IV104"/>
    </row>
    <row r="105" spans="255:256" ht="15" hidden="1" x14ac:dyDescent="0.25">
      <c r="IU105"/>
      <c r="IV105"/>
    </row>
    <row r="106" spans="255:256" ht="15" hidden="1" x14ac:dyDescent="0.25">
      <c r="IU106"/>
      <c r="IV106"/>
    </row>
    <row r="107" spans="255:256" ht="15" hidden="1" x14ac:dyDescent="0.25">
      <c r="IU107"/>
      <c r="IV107"/>
    </row>
    <row r="108" spans="255:256" ht="15" hidden="1" x14ac:dyDescent="0.25">
      <c r="IU108"/>
      <c r="IV108"/>
    </row>
    <row r="109" spans="255:256" ht="15" hidden="1" x14ac:dyDescent="0.25">
      <c r="IU109"/>
      <c r="IV109"/>
    </row>
    <row r="110" spans="255:256" ht="15" hidden="1" x14ac:dyDescent="0.25">
      <c r="IU110"/>
      <c r="IV110"/>
    </row>
    <row r="111" spans="255:256" ht="15" hidden="1" x14ac:dyDescent="0.25">
      <c r="IU111"/>
      <c r="IV111"/>
    </row>
    <row r="112" spans="255:256" ht="15" hidden="1" x14ac:dyDescent="0.25">
      <c r="IU112"/>
      <c r="IV112"/>
    </row>
    <row r="113" spans="255:256" ht="15" hidden="1" x14ac:dyDescent="0.25">
      <c r="IU113"/>
      <c r="IV113"/>
    </row>
    <row r="114" spans="255:256" ht="15" hidden="1" x14ac:dyDescent="0.25">
      <c r="IU114"/>
      <c r="IV114"/>
    </row>
    <row r="115" spans="255:256" ht="15" hidden="1" x14ac:dyDescent="0.25">
      <c r="IU115"/>
      <c r="IV115"/>
    </row>
    <row r="116" spans="255:256" ht="15" hidden="1" x14ac:dyDescent="0.25">
      <c r="IU116"/>
      <c r="IV116"/>
    </row>
    <row r="117" spans="255:256" ht="15" hidden="1" x14ac:dyDescent="0.25">
      <c r="IU117"/>
      <c r="IV117"/>
    </row>
    <row r="118" spans="255:256" ht="15" hidden="1" x14ac:dyDescent="0.25">
      <c r="IU118"/>
      <c r="IV118"/>
    </row>
    <row r="119" spans="255:256" ht="15" hidden="1" x14ac:dyDescent="0.25">
      <c r="IU119"/>
      <c r="IV119"/>
    </row>
    <row r="120" spans="255:256" ht="15" hidden="1" x14ac:dyDescent="0.25">
      <c r="IU120"/>
      <c r="IV120"/>
    </row>
    <row r="121" spans="255:256" ht="15" hidden="1" x14ac:dyDescent="0.25">
      <c r="IU121"/>
      <c r="IV121"/>
    </row>
    <row r="122" spans="255:256" ht="15" hidden="1" x14ac:dyDescent="0.25">
      <c r="IU122"/>
      <c r="IV122"/>
    </row>
    <row r="123" spans="255:256" ht="15" hidden="1" x14ac:dyDescent="0.25">
      <c r="IU123"/>
      <c r="IV123"/>
    </row>
    <row r="124" spans="255:256" ht="15" hidden="1" x14ac:dyDescent="0.25">
      <c r="IU124"/>
      <c r="IV124"/>
    </row>
    <row r="125" spans="255:256" ht="15" hidden="1" x14ac:dyDescent="0.25">
      <c r="IU125"/>
      <c r="IV125"/>
    </row>
    <row r="126" spans="255:256" ht="15" hidden="1" x14ac:dyDescent="0.25">
      <c r="IU126"/>
      <c r="IV126"/>
    </row>
    <row r="127" spans="255:256" ht="15" hidden="1" x14ac:dyDescent="0.25">
      <c r="IU127"/>
      <c r="IV127"/>
    </row>
    <row r="128" spans="255:256" ht="15" hidden="1" x14ac:dyDescent="0.25">
      <c r="IU128"/>
      <c r="IV128"/>
    </row>
    <row r="129" spans="255:256" ht="15" hidden="1" x14ac:dyDescent="0.25">
      <c r="IU129"/>
      <c r="IV129"/>
    </row>
    <row r="130" spans="255:256" ht="15" hidden="1" x14ac:dyDescent="0.25">
      <c r="IU130"/>
      <c r="IV130"/>
    </row>
    <row r="131" spans="255:256" ht="15" hidden="1" x14ac:dyDescent="0.25">
      <c r="IU131"/>
      <c r="IV131"/>
    </row>
    <row r="132" spans="255:256" ht="15" hidden="1" x14ac:dyDescent="0.25">
      <c r="IU132"/>
      <c r="IV132"/>
    </row>
    <row r="133" spans="255:256" ht="15" hidden="1" x14ac:dyDescent="0.25">
      <c r="IU133"/>
      <c r="IV133"/>
    </row>
    <row r="134" spans="255:256" ht="15" hidden="1" x14ac:dyDescent="0.25">
      <c r="IU134"/>
      <c r="IV134"/>
    </row>
    <row r="135" spans="255:256" ht="15" hidden="1" x14ac:dyDescent="0.25">
      <c r="IU135"/>
      <c r="IV135"/>
    </row>
    <row r="136" spans="255:256" ht="15" hidden="1" x14ac:dyDescent="0.25">
      <c r="IU136"/>
      <c r="IV136"/>
    </row>
    <row r="137" spans="255:256" ht="15" hidden="1" x14ac:dyDescent="0.25">
      <c r="IU137"/>
      <c r="IV137"/>
    </row>
    <row r="138" spans="255:256" ht="15" hidden="1" x14ac:dyDescent="0.25">
      <c r="IU138"/>
      <c r="IV138"/>
    </row>
    <row r="139" spans="255:256" ht="15" hidden="1" x14ac:dyDescent="0.25">
      <c r="IU139"/>
      <c r="IV139"/>
    </row>
    <row r="140" spans="255:256" ht="15" hidden="1" x14ac:dyDescent="0.25">
      <c r="IU140"/>
      <c r="IV140"/>
    </row>
    <row r="141" spans="255:256" ht="15" hidden="1" x14ac:dyDescent="0.25">
      <c r="IU141"/>
      <c r="IV141"/>
    </row>
    <row r="142" spans="255:256" ht="15" hidden="1" x14ac:dyDescent="0.25">
      <c r="IU142"/>
      <c r="IV142"/>
    </row>
    <row r="143" spans="255:256" ht="15" hidden="1" x14ac:dyDescent="0.25">
      <c r="IU143"/>
      <c r="IV143"/>
    </row>
    <row r="144" spans="255:256" ht="15" hidden="1" x14ac:dyDescent="0.25">
      <c r="IU144"/>
      <c r="IV144"/>
    </row>
    <row r="145" spans="255:256" ht="15" hidden="1" x14ac:dyDescent="0.25">
      <c r="IU145"/>
      <c r="IV145"/>
    </row>
    <row r="146" spans="255:256" ht="15" hidden="1" x14ac:dyDescent="0.25">
      <c r="IU146"/>
      <c r="IV146"/>
    </row>
    <row r="147" spans="255:256" ht="15" hidden="1" x14ac:dyDescent="0.25">
      <c r="IU147"/>
      <c r="IV147"/>
    </row>
    <row r="148" spans="255:256" ht="15" hidden="1" x14ac:dyDescent="0.25">
      <c r="IU148"/>
      <c r="IV148"/>
    </row>
    <row r="149" spans="255:256" ht="15" hidden="1" x14ac:dyDescent="0.25">
      <c r="IU149"/>
      <c r="IV149"/>
    </row>
    <row r="150" spans="255:256" ht="15" hidden="1" x14ac:dyDescent="0.25">
      <c r="IU150"/>
      <c r="IV150"/>
    </row>
    <row r="151" spans="255:256" ht="15" hidden="1" x14ac:dyDescent="0.25">
      <c r="IU151"/>
      <c r="IV151"/>
    </row>
    <row r="152" spans="255:256" ht="15" hidden="1" x14ac:dyDescent="0.25">
      <c r="IU152"/>
      <c r="IV152"/>
    </row>
    <row r="153" spans="255:256" ht="15" hidden="1" x14ac:dyDescent="0.25">
      <c r="IU153"/>
      <c r="IV153"/>
    </row>
    <row r="154" spans="255:256" ht="15" hidden="1" x14ac:dyDescent="0.25">
      <c r="IU154"/>
      <c r="IV154"/>
    </row>
    <row r="155" spans="255:256" ht="15" hidden="1" x14ac:dyDescent="0.25">
      <c r="IU155"/>
      <c r="IV155"/>
    </row>
    <row r="156" spans="255:256" ht="15" hidden="1" x14ac:dyDescent="0.25">
      <c r="IU156"/>
      <c r="IV156"/>
    </row>
    <row r="157" spans="255:256" ht="15" hidden="1" x14ac:dyDescent="0.25">
      <c r="IU157"/>
      <c r="IV157"/>
    </row>
    <row r="158" spans="255:256" ht="15" hidden="1" x14ac:dyDescent="0.25">
      <c r="IU158"/>
      <c r="IV158"/>
    </row>
    <row r="159" spans="255:256" ht="15" hidden="1" x14ac:dyDescent="0.25">
      <c r="IU159"/>
      <c r="IV159"/>
    </row>
    <row r="160" spans="255:256" ht="15" hidden="1" x14ac:dyDescent="0.25">
      <c r="IU160"/>
      <c r="IV160"/>
    </row>
    <row r="161" spans="255:256" ht="15" hidden="1" x14ac:dyDescent="0.25">
      <c r="IU161"/>
      <c r="IV161"/>
    </row>
    <row r="162" spans="255:256" ht="15" hidden="1" x14ac:dyDescent="0.25">
      <c r="IU162"/>
      <c r="IV162"/>
    </row>
    <row r="163" spans="255:256" ht="15" hidden="1" x14ac:dyDescent="0.25">
      <c r="IU163"/>
      <c r="IV163"/>
    </row>
    <row r="164" spans="255:256" ht="15" hidden="1" x14ac:dyDescent="0.25">
      <c r="IU164"/>
      <c r="IV164"/>
    </row>
    <row r="165" spans="255:256" ht="15" hidden="1" x14ac:dyDescent="0.25">
      <c r="IU165"/>
      <c r="IV165"/>
    </row>
    <row r="166" spans="255:256" ht="15" hidden="1" x14ac:dyDescent="0.25">
      <c r="IU166"/>
      <c r="IV166"/>
    </row>
    <row r="167" spans="255:256" ht="15" hidden="1" x14ac:dyDescent="0.25">
      <c r="IU167"/>
      <c r="IV167"/>
    </row>
    <row r="168" spans="255:256" ht="15" hidden="1" x14ac:dyDescent="0.25">
      <c r="IU168"/>
      <c r="IV168"/>
    </row>
    <row r="169" spans="255:256" ht="15" hidden="1" x14ac:dyDescent="0.25">
      <c r="IU169"/>
      <c r="IV169"/>
    </row>
    <row r="170" spans="255:256" ht="15" hidden="1" x14ac:dyDescent="0.25">
      <c r="IU170"/>
      <c r="IV170"/>
    </row>
    <row r="171" spans="255:256" ht="15" hidden="1" x14ac:dyDescent="0.25">
      <c r="IU171"/>
      <c r="IV171"/>
    </row>
    <row r="172" spans="255:256" ht="15" hidden="1" x14ac:dyDescent="0.25">
      <c r="IU172"/>
      <c r="IV172"/>
    </row>
    <row r="173" spans="255:256" ht="15" hidden="1" x14ac:dyDescent="0.25">
      <c r="IU173"/>
      <c r="IV173"/>
    </row>
    <row r="174" spans="255:256" ht="15" hidden="1" x14ac:dyDescent="0.25">
      <c r="IU174"/>
      <c r="IV174"/>
    </row>
    <row r="175" spans="255:256" ht="15" hidden="1" x14ac:dyDescent="0.25">
      <c r="IU175"/>
      <c r="IV175"/>
    </row>
    <row r="176" spans="255:256" ht="15" hidden="1" x14ac:dyDescent="0.25">
      <c r="IU176"/>
      <c r="IV176"/>
    </row>
    <row r="177" spans="255:256" ht="15" hidden="1" x14ac:dyDescent="0.25">
      <c r="IU177"/>
      <c r="IV177"/>
    </row>
    <row r="178" spans="255:256" ht="15" hidden="1" x14ac:dyDescent="0.25">
      <c r="IU178"/>
      <c r="IV178"/>
    </row>
    <row r="179" spans="255:256" ht="15" hidden="1" x14ac:dyDescent="0.25">
      <c r="IU179"/>
      <c r="IV179"/>
    </row>
    <row r="180" spans="255:256" ht="15" hidden="1" x14ac:dyDescent="0.25">
      <c r="IU180"/>
      <c r="IV180"/>
    </row>
    <row r="181" spans="255:256" ht="15" hidden="1" x14ac:dyDescent="0.25">
      <c r="IU181"/>
      <c r="IV181"/>
    </row>
    <row r="182" spans="255:256" ht="15" hidden="1" x14ac:dyDescent="0.25">
      <c r="IU182"/>
      <c r="IV182"/>
    </row>
    <row r="183" spans="255:256" ht="15" hidden="1" x14ac:dyDescent="0.25">
      <c r="IU183"/>
      <c r="IV183"/>
    </row>
    <row r="184" spans="255:256" ht="15" hidden="1" x14ac:dyDescent="0.25">
      <c r="IU184"/>
      <c r="IV184"/>
    </row>
    <row r="185" spans="255:256" ht="15" hidden="1" x14ac:dyDescent="0.25">
      <c r="IU185"/>
      <c r="IV185"/>
    </row>
    <row r="186" spans="255:256" ht="15" hidden="1" x14ac:dyDescent="0.25">
      <c r="IU186"/>
      <c r="IV186"/>
    </row>
    <row r="187" spans="255:256" ht="15" hidden="1" x14ac:dyDescent="0.25">
      <c r="IU187"/>
      <c r="IV187"/>
    </row>
    <row r="188" spans="255:256" ht="15" hidden="1" x14ac:dyDescent="0.25">
      <c r="IU188"/>
      <c r="IV188"/>
    </row>
    <row r="189" spans="255:256" ht="15" hidden="1" x14ac:dyDescent="0.25">
      <c r="IU189"/>
      <c r="IV189"/>
    </row>
    <row r="190" spans="255:256" ht="15" hidden="1" x14ac:dyDescent="0.25">
      <c r="IU190"/>
      <c r="IV190"/>
    </row>
    <row r="191" spans="255:256" ht="15" hidden="1" x14ac:dyDescent="0.25">
      <c r="IU191"/>
      <c r="IV191"/>
    </row>
    <row r="192" spans="255:256" ht="15" hidden="1" x14ac:dyDescent="0.25">
      <c r="IU192"/>
      <c r="IV192"/>
    </row>
    <row r="193" spans="255:256" ht="15" hidden="1" x14ac:dyDescent="0.25">
      <c r="IU193"/>
      <c r="IV193"/>
    </row>
    <row r="194" spans="255:256" ht="15" hidden="1" x14ac:dyDescent="0.25">
      <c r="IU194"/>
      <c r="IV194"/>
    </row>
    <row r="195" spans="255:256" ht="15" hidden="1" x14ac:dyDescent="0.25">
      <c r="IU195"/>
      <c r="IV195"/>
    </row>
    <row r="196" spans="255:256" ht="15" hidden="1" x14ac:dyDescent="0.25">
      <c r="IU196"/>
      <c r="IV196"/>
    </row>
    <row r="197" spans="255:256" ht="15" hidden="1" x14ac:dyDescent="0.25">
      <c r="IU197"/>
      <c r="IV197"/>
    </row>
    <row r="198" spans="255:256" ht="15" hidden="1" x14ac:dyDescent="0.25">
      <c r="IU198"/>
      <c r="IV198"/>
    </row>
    <row r="199" spans="255:256" ht="15" hidden="1" x14ac:dyDescent="0.25">
      <c r="IU199"/>
      <c r="IV199"/>
    </row>
    <row r="200" spans="255:256" ht="15" hidden="1" x14ac:dyDescent="0.25">
      <c r="IU200"/>
      <c r="IV200"/>
    </row>
    <row r="201" spans="255:256" ht="15" hidden="1" x14ac:dyDescent="0.25">
      <c r="IU201"/>
      <c r="IV201"/>
    </row>
    <row r="202" spans="255:256" ht="15" hidden="1" x14ac:dyDescent="0.25">
      <c r="IU202"/>
      <c r="IV202"/>
    </row>
    <row r="203" spans="255:256" ht="15" hidden="1" x14ac:dyDescent="0.25">
      <c r="IU203"/>
      <c r="IV203"/>
    </row>
    <row r="204" spans="255:256" ht="15" hidden="1" x14ac:dyDescent="0.25">
      <c r="IU204"/>
      <c r="IV204"/>
    </row>
    <row r="205" spans="255:256" ht="15" hidden="1" x14ac:dyDescent="0.25">
      <c r="IU205"/>
      <c r="IV205"/>
    </row>
    <row r="206" spans="255:256" ht="15" hidden="1" x14ac:dyDescent="0.25">
      <c r="IU206"/>
      <c r="IV206"/>
    </row>
    <row r="207" spans="255:256" ht="15" hidden="1" x14ac:dyDescent="0.25">
      <c r="IU207"/>
      <c r="IV207"/>
    </row>
    <row r="208" spans="255:256" ht="15" hidden="1" x14ac:dyDescent="0.25">
      <c r="IU208"/>
      <c r="IV208"/>
    </row>
    <row r="209" spans="255:256" ht="15" hidden="1" x14ac:dyDescent="0.25">
      <c r="IU209"/>
      <c r="IV209"/>
    </row>
    <row r="210" spans="255:256" ht="15" hidden="1" x14ac:dyDescent="0.25">
      <c r="IU210"/>
      <c r="IV210"/>
    </row>
    <row r="211" spans="255:256" ht="15" hidden="1" x14ac:dyDescent="0.25">
      <c r="IU211"/>
      <c r="IV211"/>
    </row>
    <row r="212" spans="255:256" ht="15" hidden="1" x14ac:dyDescent="0.25">
      <c r="IU212"/>
      <c r="IV212"/>
    </row>
    <row r="213" spans="255:256" ht="15" hidden="1" x14ac:dyDescent="0.25">
      <c r="IU213"/>
      <c r="IV213"/>
    </row>
    <row r="214" spans="255:256" ht="15" hidden="1" x14ac:dyDescent="0.25">
      <c r="IU214"/>
      <c r="IV214"/>
    </row>
    <row r="215" spans="255:256" ht="15" hidden="1" x14ac:dyDescent="0.25">
      <c r="IU215"/>
      <c r="IV215"/>
    </row>
    <row r="216" spans="255:256" ht="15" hidden="1" x14ac:dyDescent="0.25">
      <c r="IU216"/>
      <c r="IV216"/>
    </row>
    <row r="217" spans="255:256" ht="15" hidden="1" x14ac:dyDescent="0.25">
      <c r="IU217"/>
      <c r="IV217"/>
    </row>
    <row r="218" spans="255:256" ht="15" hidden="1" x14ac:dyDescent="0.25">
      <c r="IU218"/>
      <c r="IV218"/>
    </row>
    <row r="219" spans="255:256" ht="15" hidden="1" x14ac:dyDescent="0.25">
      <c r="IU219"/>
      <c r="IV219"/>
    </row>
    <row r="220" spans="255:256" ht="15" hidden="1" x14ac:dyDescent="0.25">
      <c r="IU220"/>
      <c r="IV220"/>
    </row>
    <row r="221" spans="255:256" ht="15" hidden="1" x14ac:dyDescent="0.25">
      <c r="IU221"/>
      <c r="IV221"/>
    </row>
    <row r="222" spans="255:256" ht="15" hidden="1" x14ac:dyDescent="0.25">
      <c r="IU222"/>
      <c r="IV222"/>
    </row>
    <row r="223" spans="255:256" ht="15" hidden="1" x14ac:dyDescent="0.25">
      <c r="IU223"/>
      <c r="IV223"/>
    </row>
    <row r="224" spans="255:256" ht="15" hidden="1" x14ac:dyDescent="0.25">
      <c r="IU224"/>
      <c r="IV224"/>
    </row>
    <row r="225" spans="255:256" ht="15" hidden="1" x14ac:dyDescent="0.25">
      <c r="IU225"/>
      <c r="IV225"/>
    </row>
    <row r="226" spans="255:256" ht="15" hidden="1" x14ac:dyDescent="0.25">
      <c r="IU226"/>
      <c r="IV226"/>
    </row>
    <row r="227" spans="255:256" ht="15" hidden="1" x14ac:dyDescent="0.25">
      <c r="IU227"/>
      <c r="IV227"/>
    </row>
    <row r="228" spans="255:256" ht="15" hidden="1" x14ac:dyDescent="0.25">
      <c r="IU228"/>
      <c r="IV228"/>
    </row>
    <row r="229" spans="255:256" ht="15" hidden="1" x14ac:dyDescent="0.25">
      <c r="IU229"/>
      <c r="IV229"/>
    </row>
    <row r="230" spans="255:256" ht="15" hidden="1" x14ac:dyDescent="0.25">
      <c r="IU230"/>
      <c r="IV230"/>
    </row>
    <row r="231" spans="255:256" ht="15" hidden="1" x14ac:dyDescent="0.25">
      <c r="IU231"/>
      <c r="IV231"/>
    </row>
    <row r="232" spans="255:256" ht="15" hidden="1" x14ac:dyDescent="0.25">
      <c r="IU232"/>
      <c r="IV232"/>
    </row>
    <row r="233" spans="255:256" ht="15" hidden="1" x14ac:dyDescent="0.25">
      <c r="IU233"/>
      <c r="IV233"/>
    </row>
    <row r="234" spans="255:256" ht="15" hidden="1" x14ac:dyDescent="0.25">
      <c r="IU234"/>
      <c r="IV234"/>
    </row>
    <row r="235" spans="255:256" ht="15" hidden="1" x14ac:dyDescent="0.25">
      <c r="IU235"/>
      <c r="IV235"/>
    </row>
    <row r="236" spans="255:256" ht="15" hidden="1" x14ac:dyDescent="0.25">
      <c r="IU236"/>
      <c r="IV236"/>
    </row>
    <row r="237" spans="255:256" ht="15" hidden="1" x14ac:dyDescent="0.25">
      <c r="IU237"/>
      <c r="IV237"/>
    </row>
    <row r="238" spans="255:256" ht="15" hidden="1" x14ac:dyDescent="0.25">
      <c r="IU238"/>
      <c r="IV238"/>
    </row>
    <row r="239" spans="255:256" ht="15" hidden="1" x14ac:dyDescent="0.25">
      <c r="IU239"/>
      <c r="IV239"/>
    </row>
    <row r="240" spans="255:256" ht="15" hidden="1" x14ac:dyDescent="0.25">
      <c r="IU240"/>
      <c r="IV240"/>
    </row>
    <row r="241" spans="255:256" ht="15" hidden="1" x14ac:dyDescent="0.25">
      <c r="IU241"/>
      <c r="IV241"/>
    </row>
    <row r="242" spans="255:256" ht="15" hidden="1" x14ac:dyDescent="0.25">
      <c r="IU242"/>
      <c r="IV242"/>
    </row>
    <row r="243" spans="255:256" ht="15" hidden="1" x14ac:dyDescent="0.25">
      <c r="IU243"/>
      <c r="IV243"/>
    </row>
    <row r="244" spans="255:256" ht="15" hidden="1" x14ac:dyDescent="0.25">
      <c r="IU244"/>
      <c r="IV244"/>
    </row>
    <row r="245" spans="255:256" ht="15" hidden="1" x14ac:dyDescent="0.25">
      <c r="IU245"/>
      <c r="IV245"/>
    </row>
    <row r="246" spans="255:256" ht="15" hidden="1" x14ac:dyDescent="0.25">
      <c r="IU246"/>
      <c r="IV246"/>
    </row>
    <row r="247" spans="255:256" ht="15" hidden="1" x14ac:dyDescent="0.25">
      <c r="IU247"/>
      <c r="IV247"/>
    </row>
    <row r="248" spans="255:256" ht="15" hidden="1" x14ac:dyDescent="0.25">
      <c r="IU248"/>
      <c r="IV248"/>
    </row>
    <row r="249" spans="255:256" ht="15" hidden="1" x14ac:dyDescent="0.25">
      <c r="IU249"/>
      <c r="IV249"/>
    </row>
    <row r="250" spans="255:256" ht="15" hidden="1" x14ac:dyDescent="0.25">
      <c r="IU250"/>
      <c r="IV250"/>
    </row>
    <row r="251" spans="255:256" ht="15" hidden="1" x14ac:dyDescent="0.25">
      <c r="IU251"/>
      <c r="IV251"/>
    </row>
    <row r="252" spans="255:256" ht="15" hidden="1" x14ac:dyDescent="0.25">
      <c r="IU252"/>
      <c r="IV252"/>
    </row>
    <row r="253" spans="255:256" ht="15" hidden="1" x14ac:dyDescent="0.25">
      <c r="IU253"/>
      <c r="IV253"/>
    </row>
    <row r="254" spans="255:256" ht="15" hidden="1" x14ac:dyDescent="0.25">
      <c r="IU254"/>
      <c r="IV254"/>
    </row>
    <row r="255" spans="255:256" ht="15" hidden="1" x14ac:dyDescent="0.25">
      <c r="IU255"/>
      <c r="IV255"/>
    </row>
    <row r="256" spans="255:256" ht="15" hidden="1" x14ac:dyDescent="0.25">
      <c r="IU256"/>
      <c r="IV256"/>
    </row>
    <row r="257" spans="255:256" ht="15" hidden="1" x14ac:dyDescent="0.25">
      <c r="IU257"/>
      <c r="IV257"/>
    </row>
    <row r="258" spans="255:256" ht="15" hidden="1" x14ac:dyDescent="0.25">
      <c r="IU258"/>
      <c r="IV258"/>
    </row>
    <row r="259" spans="255:256" ht="15" hidden="1" x14ac:dyDescent="0.25">
      <c r="IU259"/>
      <c r="IV259"/>
    </row>
    <row r="260" spans="255:256" ht="15" hidden="1" x14ac:dyDescent="0.25">
      <c r="IU260"/>
      <c r="IV260"/>
    </row>
    <row r="261" spans="255:256" ht="15" hidden="1" x14ac:dyDescent="0.25">
      <c r="IU261"/>
      <c r="IV261"/>
    </row>
    <row r="262" spans="255:256" ht="15" hidden="1" x14ac:dyDescent="0.25">
      <c r="IU262"/>
      <c r="IV262"/>
    </row>
    <row r="263" spans="255:256" ht="15" hidden="1" x14ac:dyDescent="0.25">
      <c r="IU263"/>
      <c r="IV263"/>
    </row>
    <row r="264" spans="255:256" ht="15" hidden="1" x14ac:dyDescent="0.25">
      <c r="IU264"/>
      <c r="IV264"/>
    </row>
    <row r="265" spans="255:256" ht="15" hidden="1" x14ac:dyDescent="0.25">
      <c r="IU265"/>
      <c r="IV265"/>
    </row>
    <row r="266" spans="255:256" ht="15" hidden="1" x14ac:dyDescent="0.25">
      <c r="IU266"/>
      <c r="IV266"/>
    </row>
    <row r="267" spans="255:256" ht="15" hidden="1" x14ac:dyDescent="0.25">
      <c r="IU267"/>
      <c r="IV267"/>
    </row>
    <row r="268" spans="255:256" ht="15" hidden="1" x14ac:dyDescent="0.25">
      <c r="IU268"/>
      <c r="IV268"/>
    </row>
    <row r="269" spans="255:256" ht="15" hidden="1" x14ac:dyDescent="0.25">
      <c r="IU269"/>
      <c r="IV269"/>
    </row>
    <row r="270" spans="255:256" ht="15" hidden="1" x14ac:dyDescent="0.25">
      <c r="IU270"/>
      <c r="IV270"/>
    </row>
    <row r="271" spans="255:256" ht="15" hidden="1" x14ac:dyDescent="0.25">
      <c r="IU271"/>
      <c r="IV271"/>
    </row>
    <row r="272" spans="255:256" ht="15" hidden="1" x14ac:dyDescent="0.25">
      <c r="IU272"/>
      <c r="IV272"/>
    </row>
    <row r="273" spans="255:256" ht="15" hidden="1" x14ac:dyDescent="0.25">
      <c r="IU273"/>
      <c r="IV273"/>
    </row>
    <row r="274" spans="255:256" ht="15" hidden="1" x14ac:dyDescent="0.25">
      <c r="IU274"/>
      <c r="IV274"/>
    </row>
    <row r="275" spans="255:256" ht="15" hidden="1" x14ac:dyDescent="0.25">
      <c r="IU275"/>
      <c r="IV275"/>
    </row>
    <row r="276" spans="255:256" ht="15" hidden="1" x14ac:dyDescent="0.25">
      <c r="IU276"/>
      <c r="IV276"/>
    </row>
    <row r="277" spans="255:256" ht="15" hidden="1" x14ac:dyDescent="0.25">
      <c r="IU277"/>
      <c r="IV277"/>
    </row>
    <row r="278" spans="255:256" ht="15" hidden="1" x14ac:dyDescent="0.25">
      <c r="IU278"/>
      <c r="IV278"/>
    </row>
    <row r="279" spans="255:256" ht="15" hidden="1" x14ac:dyDescent="0.25">
      <c r="IU279"/>
      <c r="IV279"/>
    </row>
    <row r="280" spans="255:256" ht="15" hidden="1" x14ac:dyDescent="0.25">
      <c r="IU280"/>
      <c r="IV280"/>
    </row>
    <row r="281" spans="255:256" ht="15" hidden="1" x14ac:dyDescent="0.25">
      <c r="IU281"/>
      <c r="IV281"/>
    </row>
    <row r="282" spans="255:256" ht="15" hidden="1" x14ac:dyDescent="0.25">
      <c r="IU282"/>
      <c r="IV282"/>
    </row>
    <row r="283" spans="255:256" ht="15" hidden="1" x14ac:dyDescent="0.25">
      <c r="IU283"/>
      <c r="IV283"/>
    </row>
    <row r="284" spans="255:256" ht="15" hidden="1" x14ac:dyDescent="0.25">
      <c r="IU284"/>
      <c r="IV284"/>
    </row>
    <row r="285" spans="255:256" ht="15" hidden="1" x14ac:dyDescent="0.25">
      <c r="IU285"/>
      <c r="IV285"/>
    </row>
    <row r="286" spans="255:256" ht="15" hidden="1" x14ac:dyDescent="0.25">
      <c r="IU286"/>
      <c r="IV286"/>
    </row>
    <row r="287" spans="255:256" ht="15" hidden="1" x14ac:dyDescent="0.25">
      <c r="IU287"/>
      <c r="IV287"/>
    </row>
    <row r="288" spans="255:256" ht="15" hidden="1" x14ac:dyDescent="0.25">
      <c r="IU288"/>
      <c r="IV288"/>
    </row>
    <row r="289" spans="255:256" ht="15" hidden="1" x14ac:dyDescent="0.25">
      <c r="IU289"/>
      <c r="IV289"/>
    </row>
    <row r="290" spans="255:256" ht="15" hidden="1" x14ac:dyDescent="0.25">
      <c r="IU290"/>
      <c r="IV290"/>
    </row>
    <row r="291" spans="255:256" ht="15" hidden="1" x14ac:dyDescent="0.25">
      <c r="IU291"/>
      <c r="IV291"/>
    </row>
    <row r="292" spans="255:256" ht="15" hidden="1" x14ac:dyDescent="0.25">
      <c r="IU292"/>
      <c r="IV292"/>
    </row>
    <row r="293" spans="255:256" ht="15" hidden="1" x14ac:dyDescent="0.25">
      <c r="IU293"/>
      <c r="IV293"/>
    </row>
    <row r="294" spans="255:256" ht="15" hidden="1" x14ac:dyDescent="0.25">
      <c r="IU294"/>
      <c r="IV294"/>
    </row>
    <row r="295" spans="255:256" ht="15" hidden="1" x14ac:dyDescent="0.25">
      <c r="IU295"/>
      <c r="IV295"/>
    </row>
    <row r="296" spans="255:256" ht="15" hidden="1" x14ac:dyDescent="0.25">
      <c r="IU296"/>
      <c r="IV296"/>
    </row>
    <row r="297" spans="255:256" ht="15" hidden="1" x14ac:dyDescent="0.25">
      <c r="IU297"/>
      <c r="IV297"/>
    </row>
    <row r="298" spans="255:256" ht="15" hidden="1" x14ac:dyDescent="0.25">
      <c r="IU298"/>
      <c r="IV298"/>
    </row>
    <row r="299" spans="255:256" ht="15" hidden="1" x14ac:dyDescent="0.25">
      <c r="IU299"/>
      <c r="IV299"/>
    </row>
    <row r="300" spans="255:256" ht="15" hidden="1" x14ac:dyDescent="0.25">
      <c r="IU300"/>
      <c r="IV300"/>
    </row>
    <row r="301" spans="255:256" ht="15" hidden="1" x14ac:dyDescent="0.25">
      <c r="IU301"/>
      <c r="IV301"/>
    </row>
    <row r="302" spans="255:256" ht="15" hidden="1" x14ac:dyDescent="0.25">
      <c r="IU302"/>
      <c r="IV302"/>
    </row>
    <row r="303" spans="255:256" ht="15" hidden="1" x14ac:dyDescent="0.25">
      <c r="IU303"/>
      <c r="IV303"/>
    </row>
    <row r="304" spans="255:256" ht="15" hidden="1" x14ac:dyDescent="0.25">
      <c r="IU304"/>
      <c r="IV304"/>
    </row>
    <row r="305" spans="255:256" ht="15" hidden="1" x14ac:dyDescent="0.25">
      <c r="IU305"/>
      <c r="IV305"/>
    </row>
    <row r="306" spans="255:256" ht="15" hidden="1" x14ac:dyDescent="0.25">
      <c r="IU306"/>
      <c r="IV306"/>
    </row>
    <row r="307" spans="255:256" ht="15" hidden="1" x14ac:dyDescent="0.25">
      <c r="IU307"/>
      <c r="IV307"/>
    </row>
    <row r="308" spans="255:256" ht="15" hidden="1" x14ac:dyDescent="0.25">
      <c r="IU308"/>
      <c r="IV308"/>
    </row>
    <row r="309" spans="255:256" ht="15" hidden="1" x14ac:dyDescent="0.25">
      <c r="IU309"/>
      <c r="IV309"/>
    </row>
    <row r="310" spans="255:256" ht="15" hidden="1" x14ac:dyDescent="0.25">
      <c r="IU310"/>
      <c r="IV310"/>
    </row>
    <row r="311" spans="255:256" ht="15" hidden="1" x14ac:dyDescent="0.25">
      <c r="IU311"/>
      <c r="IV311"/>
    </row>
    <row r="312" spans="255:256" ht="15" hidden="1" x14ac:dyDescent="0.25">
      <c r="IU312"/>
      <c r="IV312"/>
    </row>
    <row r="313" spans="255:256" ht="15" hidden="1" x14ac:dyDescent="0.25">
      <c r="IU313"/>
      <c r="IV313"/>
    </row>
    <row r="314" spans="255:256" ht="15" hidden="1" x14ac:dyDescent="0.25">
      <c r="IU314"/>
      <c r="IV314"/>
    </row>
    <row r="315" spans="255:256" ht="15" hidden="1" x14ac:dyDescent="0.25">
      <c r="IU315"/>
      <c r="IV315"/>
    </row>
    <row r="316" spans="255:256" ht="15" hidden="1" x14ac:dyDescent="0.25">
      <c r="IU316"/>
      <c r="IV316"/>
    </row>
    <row r="317" spans="255:256" ht="15" hidden="1" x14ac:dyDescent="0.25">
      <c r="IU317"/>
      <c r="IV317"/>
    </row>
    <row r="318" spans="255:256" ht="15" hidden="1" x14ac:dyDescent="0.25">
      <c r="IU318"/>
      <c r="IV318"/>
    </row>
    <row r="319" spans="255:256" ht="15" hidden="1" x14ac:dyDescent="0.25">
      <c r="IU319"/>
      <c r="IV319"/>
    </row>
    <row r="320" spans="255:256" ht="15" hidden="1" x14ac:dyDescent="0.25">
      <c r="IU320"/>
      <c r="IV320"/>
    </row>
    <row r="321" spans="255:256" ht="15" hidden="1" x14ac:dyDescent="0.25">
      <c r="IU321"/>
      <c r="IV321"/>
    </row>
    <row r="322" spans="255:256" ht="15" hidden="1" x14ac:dyDescent="0.25">
      <c r="IU322"/>
      <c r="IV322"/>
    </row>
    <row r="323" spans="255:256" ht="15" hidden="1" x14ac:dyDescent="0.25">
      <c r="IU323"/>
      <c r="IV323"/>
    </row>
    <row r="324" spans="255:256" ht="15" hidden="1" x14ac:dyDescent="0.25">
      <c r="IU324"/>
      <c r="IV324"/>
    </row>
    <row r="325" spans="255:256" ht="15" hidden="1" x14ac:dyDescent="0.25">
      <c r="IU325"/>
      <c r="IV325"/>
    </row>
    <row r="326" spans="255:256" ht="15" hidden="1" x14ac:dyDescent="0.25">
      <c r="IU326"/>
      <c r="IV326"/>
    </row>
    <row r="327" spans="255:256" ht="15" hidden="1" x14ac:dyDescent="0.25">
      <c r="IU327"/>
      <c r="IV327"/>
    </row>
    <row r="328" spans="255:256" ht="15" hidden="1" x14ac:dyDescent="0.25">
      <c r="IU328"/>
      <c r="IV328"/>
    </row>
    <row r="329" spans="255:256" ht="15" hidden="1" x14ac:dyDescent="0.25">
      <c r="IU329"/>
      <c r="IV329"/>
    </row>
    <row r="330" spans="255:256" ht="15" hidden="1" x14ac:dyDescent="0.25">
      <c r="IU330"/>
      <c r="IV330"/>
    </row>
    <row r="331" spans="255:256" ht="15" hidden="1" x14ac:dyDescent="0.25">
      <c r="IU331"/>
      <c r="IV331"/>
    </row>
    <row r="332" spans="255:256" ht="15" hidden="1" x14ac:dyDescent="0.25">
      <c r="IU332"/>
      <c r="IV332"/>
    </row>
    <row r="333" spans="255:256" ht="15" hidden="1" x14ac:dyDescent="0.25">
      <c r="IU333"/>
      <c r="IV333"/>
    </row>
    <row r="334" spans="255:256" ht="15" hidden="1" x14ac:dyDescent="0.25">
      <c r="IU334"/>
      <c r="IV334"/>
    </row>
    <row r="335" spans="255:256" ht="15" hidden="1" x14ac:dyDescent="0.25">
      <c r="IU335"/>
      <c r="IV335"/>
    </row>
    <row r="336" spans="255:256" ht="15" hidden="1" x14ac:dyDescent="0.25">
      <c r="IU336"/>
      <c r="IV336"/>
    </row>
    <row r="337" spans="255:256" ht="15" hidden="1" x14ac:dyDescent="0.25">
      <c r="IU337"/>
      <c r="IV337"/>
    </row>
    <row r="338" spans="255:256" ht="15" hidden="1" x14ac:dyDescent="0.25">
      <c r="IU338"/>
      <c r="IV338"/>
    </row>
    <row r="339" spans="255:256" ht="15" hidden="1" x14ac:dyDescent="0.25">
      <c r="IU339"/>
      <c r="IV339"/>
    </row>
    <row r="340" spans="255:256" ht="15" hidden="1" x14ac:dyDescent="0.25">
      <c r="IU340"/>
      <c r="IV340"/>
    </row>
    <row r="341" spans="255:256" ht="15" hidden="1" x14ac:dyDescent="0.25">
      <c r="IU341"/>
      <c r="IV341"/>
    </row>
    <row r="342" spans="255:256" ht="15" hidden="1" x14ac:dyDescent="0.25">
      <c r="IU342"/>
      <c r="IV342"/>
    </row>
    <row r="343" spans="255:256" ht="15" hidden="1" x14ac:dyDescent="0.25">
      <c r="IU343"/>
      <c r="IV343"/>
    </row>
    <row r="344" spans="255:256" ht="15" hidden="1" x14ac:dyDescent="0.25">
      <c r="IU344"/>
      <c r="IV344"/>
    </row>
    <row r="345" spans="255:256" ht="15" hidden="1" x14ac:dyDescent="0.25">
      <c r="IU345"/>
      <c r="IV345"/>
    </row>
    <row r="346" spans="255:256" ht="15" hidden="1" x14ac:dyDescent="0.25">
      <c r="IU346"/>
      <c r="IV346"/>
    </row>
    <row r="347" spans="255:256" ht="15" hidden="1" x14ac:dyDescent="0.25">
      <c r="IU347"/>
      <c r="IV347"/>
    </row>
    <row r="348" spans="255:256" ht="15" hidden="1" x14ac:dyDescent="0.25">
      <c r="IU348"/>
      <c r="IV348"/>
    </row>
    <row r="349" spans="255:256" ht="15" hidden="1" x14ac:dyDescent="0.25">
      <c r="IU349"/>
      <c r="IV349"/>
    </row>
    <row r="350" spans="255:256" ht="15" hidden="1" x14ac:dyDescent="0.25">
      <c r="IU350"/>
      <c r="IV350"/>
    </row>
    <row r="351" spans="255:256" ht="15" hidden="1" x14ac:dyDescent="0.25">
      <c r="IU351"/>
      <c r="IV351"/>
    </row>
    <row r="352" spans="255:256" ht="15" hidden="1" x14ac:dyDescent="0.25">
      <c r="IU352"/>
      <c r="IV352"/>
    </row>
    <row r="353" spans="255:256" ht="15" hidden="1" x14ac:dyDescent="0.25">
      <c r="IU353"/>
      <c r="IV353"/>
    </row>
    <row r="354" spans="255:256" ht="15" hidden="1" x14ac:dyDescent="0.25">
      <c r="IU354"/>
      <c r="IV354"/>
    </row>
    <row r="355" spans="255:256" ht="15" hidden="1" x14ac:dyDescent="0.25">
      <c r="IU355"/>
      <c r="IV355"/>
    </row>
    <row r="356" spans="255:256" ht="15" hidden="1" x14ac:dyDescent="0.25">
      <c r="IU356"/>
      <c r="IV356"/>
    </row>
    <row r="357" spans="255:256" ht="15" hidden="1" x14ac:dyDescent="0.25">
      <c r="IU357"/>
      <c r="IV357"/>
    </row>
    <row r="358" spans="255:256" ht="15" hidden="1" x14ac:dyDescent="0.25">
      <c r="IU358"/>
      <c r="IV358"/>
    </row>
    <row r="359" spans="255:256" ht="15" hidden="1" x14ac:dyDescent="0.25">
      <c r="IU359"/>
      <c r="IV359"/>
    </row>
    <row r="360" spans="255:256" ht="15" hidden="1" x14ac:dyDescent="0.25">
      <c r="IU360"/>
      <c r="IV360"/>
    </row>
    <row r="361" spans="255:256" ht="15" hidden="1" x14ac:dyDescent="0.25">
      <c r="IU361"/>
      <c r="IV361"/>
    </row>
    <row r="362" spans="255:256" ht="15" hidden="1" x14ac:dyDescent="0.25">
      <c r="IU362"/>
      <c r="IV362"/>
    </row>
    <row r="363" spans="255:256" ht="15" hidden="1" x14ac:dyDescent="0.25">
      <c r="IU363"/>
      <c r="IV363"/>
    </row>
    <row r="364" spans="255:256" ht="15" hidden="1" x14ac:dyDescent="0.25">
      <c r="IU364"/>
      <c r="IV364"/>
    </row>
    <row r="365" spans="255:256" ht="15" hidden="1" x14ac:dyDescent="0.25">
      <c r="IU365"/>
      <c r="IV365"/>
    </row>
    <row r="366" spans="255:256" ht="15" hidden="1" x14ac:dyDescent="0.25">
      <c r="IU366"/>
      <c r="IV366"/>
    </row>
    <row r="367" spans="255:256" ht="15" hidden="1" x14ac:dyDescent="0.25">
      <c r="IU367"/>
      <c r="IV367"/>
    </row>
    <row r="368" spans="255:256" ht="15" hidden="1" x14ac:dyDescent="0.25">
      <c r="IU368"/>
      <c r="IV368"/>
    </row>
    <row r="369" spans="255:256" ht="15" hidden="1" x14ac:dyDescent="0.25">
      <c r="IU369"/>
      <c r="IV369"/>
    </row>
    <row r="370" spans="255:256" ht="15" hidden="1" x14ac:dyDescent="0.25">
      <c r="IU370"/>
      <c r="IV370"/>
    </row>
    <row r="371" spans="255:256" ht="15" hidden="1" x14ac:dyDescent="0.25">
      <c r="IU371"/>
      <c r="IV371"/>
    </row>
    <row r="372" spans="255:256" ht="15" hidden="1" x14ac:dyDescent="0.25">
      <c r="IU372"/>
      <c r="IV372"/>
    </row>
    <row r="373" spans="255:256" ht="15" hidden="1" x14ac:dyDescent="0.25">
      <c r="IU373"/>
      <c r="IV373"/>
    </row>
    <row r="374" spans="255:256" ht="15" hidden="1" x14ac:dyDescent="0.25">
      <c r="IU374"/>
      <c r="IV374"/>
    </row>
    <row r="375" spans="255:256" ht="15" hidden="1" x14ac:dyDescent="0.25">
      <c r="IU375"/>
      <c r="IV375"/>
    </row>
    <row r="376" spans="255:256" ht="15" hidden="1" x14ac:dyDescent="0.25">
      <c r="IU376"/>
      <c r="IV376"/>
    </row>
    <row r="377" spans="255:256" ht="15" hidden="1" x14ac:dyDescent="0.25">
      <c r="IU377"/>
      <c r="IV377"/>
    </row>
    <row r="378" spans="255:256" ht="15" hidden="1" x14ac:dyDescent="0.25">
      <c r="IU378"/>
      <c r="IV378"/>
    </row>
    <row r="379" spans="255:256" ht="15" hidden="1" x14ac:dyDescent="0.25">
      <c r="IU379"/>
      <c r="IV379"/>
    </row>
    <row r="380" spans="255:256" ht="15" hidden="1" x14ac:dyDescent="0.25">
      <c r="IU380"/>
      <c r="IV380"/>
    </row>
    <row r="381" spans="255:256" ht="15" hidden="1" x14ac:dyDescent="0.25">
      <c r="IU381"/>
      <c r="IV381"/>
    </row>
    <row r="382" spans="255:256" ht="15" hidden="1" x14ac:dyDescent="0.25">
      <c r="IU382"/>
      <c r="IV382"/>
    </row>
    <row r="383" spans="255:256" ht="15" hidden="1" x14ac:dyDescent="0.25">
      <c r="IU383"/>
      <c r="IV383"/>
    </row>
    <row r="384" spans="255:256" ht="15" hidden="1" x14ac:dyDescent="0.25">
      <c r="IU384"/>
      <c r="IV384"/>
    </row>
    <row r="385" spans="255:256" ht="15" hidden="1" x14ac:dyDescent="0.25">
      <c r="IU385"/>
      <c r="IV385"/>
    </row>
    <row r="386" spans="255:256" ht="15" hidden="1" x14ac:dyDescent="0.25">
      <c r="IU386"/>
      <c r="IV386"/>
    </row>
    <row r="387" spans="255:256" ht="15" hidden="1" x14ac:dyDescent="0.25">
      <c r="IU387"/>
      <c r="IV387"/>
    </row>
    <row r="388" spans="255:256" ht="15" hidden="1" x14ac:dyDescent="0.25">
      <c r="IU388"/>
      <c r="IV388"/>
    </row>
    <row r="389" spans="255:256" ht="15" hidden="1" x14ac:dyDescent="0.25">
      <c r="IU389"/>
      <c r="IV389"/>
    </row>
    <row r="390" spans="255:256" ht="15" hidden="1" x14ac:dyDescent="0.25">
      <c r="IU390"/>
      <c r="IV390"/>
    </row>
    <row r="391" spans="255:256" ht="15" hidden="1" x14ac:dyDescent="0.25">
      <c r="IU391"/>
      <c r="IV391"/>
    </row>
    <row r="392" spans="255:256" ht="15" hidden="1" x14ac:dyDescent="0.25">
      <c r="IU392"/>
      <c r="IV392"/>
    </row>
    <row r="393" spans="255:256" ht="15" hidden="1" x14ac:dyDescent="0.25">
      <c r="IU393"/>
      <c r="IV393"/>
    </row>
    <row r="394" spans="255:256" ht="15" hidden="1" x14ac:dyDescent="0.25">
      <c r="IU394"/>
      <c r="IV394"/>
    </row>
    <row r="395" spans="255:256" ht="15" hidden="1" x14ac:dyDescent="0.25">
      <c r="IU395"/>
      <c r="IV395"/>
    </row>
    <row r="396" spans="255:256" ht="15" hidden="1" x14ac:dyDescent="0.25">
      <c r="IU396"/>
      <c r="IV396"/>
    </row>
    <row r="397" spans="255:256" ht="15" hidden="1" x14ac:dyDescent="0.25">
      <c r="IU397"/>
      <c r="IV397"/>
    </row>
    <row r="398" spans="255:256" ht="15" hidden="1" x14ac:dyDescent="0.25">
      <c r="IU398"/>
      <c r="IV398"/>
    </row>
    <row r="399" spans="255:256" ht="15" hidden="1" x14ac:dyDescent="0.25">
      <c r="IU399"/>
      <c r="IV399"/>
    </row>
    <row r="400" spans="255:256" ht="15" hidden="1" x14ac:dyDescent="0.25">
      <c r="IU400"/>
      <c r="IV400"/>
    </row>
    <row r="401" spans="255:256" ht="15" hidden="1" x14ac:dyDescent="0.25">
      <c r="IU401"/>
      <c r="IV401"/>
    </row>
    <row r="402" spans="255:256" ht="15" hidden="1" x14ac:dyDescent="0.25">
      <c r="IU402"/>
      <c r="IV402"/>
    </row>
    <row r="403" spans="255:256" ht="15" hidden="1" x14ac:dyDescent="0.25">
      <c r="IU403"/>
      <c r="IV403"/>
    </row>
    <row r="404" spans="255:256" ht="15" hidden="1" x14ac:dyDescent="0.25">
      <c r="IU404"/>
      <c r="IV404"/>
    </row>
    <row r="405" spans="255:256" ht="15" hidden="1" x14ac:dyDescent="0.25">
      <c r="IU405"/>
      <c r="IV405"/>
    </row>
    <row r="406" spans="255:256" ht="15" hidden="1" x14ac:dyDescent="0.25">
      <c r="IU406"/>
      <c r="IV406"/>
    </row>
    <row r="407" spans="255:256" ht="15" hidden="1" x14ac:dyDescent="0.25">
      <c r="IU407"/>
      <c r="IV407"/>
    </row>
    <row r="408" spans="255:256" ht="15" hidden="1" x14ac:dyDescent="0.25">
      <c r="IU408"/>
      <c r="IV408"/>
    </row>
    <row r="409" spans="255:256" ht="15" hidden="1" x14ac:dyDescent="0.25">
      <c r="IU409"/>
      <c r="IV409"/>
    </row>
    <row r="410" spans="255:256" ht="15" hidden="1" x14ac:dyDescent="0.25">
      <c r="IU410"/>
      <c r="IV410"/>
    </row>
    <row r="411" spans="255:256" ht="15" hidden="1" x14ac:dyDescent="0.25">
      <c r="IU411"/>
      <c r="IV411"/>
    </row>
    <row r="412" spans="255:256" ht="15" hidden="1" x14ac:dyDescent="0.25">
      <c r="IU412"/>
      <c r="IV412"/>
    </row>
    <row r="413" spans="255:256" ht="15" hidden="1" x14ac:dyDescent="0.25">
      <c r="IU413"/>
      <c r="IV413"/>
    </row>
    <row r="414" spans="255:256" ht="15" hidden="1" x14ac:dyDescent="0.25">
      <c r="IU414"/>
      <c r="IV414"/>
    </row>
    <row r="415" spans="255:256" ht="15" hidden="1" x14ac:dyDescent="0.25">
      <c r="IU415"/>
      <c r="IV415"/>
    </row>
    <row r="416" spans="255:256" ht="15" hidden="1" x14ac:dyDescent="0.25">
      <c r="IU416"/>
      <c r="IV416"/>
    </row>
    <row r="417" spans="255:256" ht="15" hidden="1" x14ac:dyDescent="0.25">
      <c r="IU417"/>
      <c r="IV417"/>
    </row>
    <row r="418" spans="255:256" ht="15" hidden="1" x14ac:dyDescent="0.25">
      <c r="IU418"/>
      <c r="IV418"/>
    </row>
    <row r="419" spans="255:256" ht="15" hidden="1" x14ac:dyDescent="0.25">
      <c r="IU419"/>
      <c r="IV419"/>
    </row>
    <row r="420" spans="255:256" ht="15" hidden="1" x14ac:dyDescent="0.25">
      <c r="IU420"/>
      <c r="IV420"/>
    </row>
    <row r="421" spans="255:256" ht="15" hidden="1" x14ac:dyDescent="0.25">
      <c r="IU421"/>
      <c r="IV421"/>
    </row>
    <row r="422" spans="255:256" ht="15" hidden="1" x14ac:dyDescent="0.25">
      <c r="IU422"/>
      <c r="IV422"/>
    </row>
    <row r="423" spans="255:256" ht="15" hidden="1" x14ac:dyDescent="0.25">
      <c r="IU423"/>
      <c r="IV423"/>
    </row>
    <row r="424" spans="255:256" ht="15" hidden="1" x14ac:dyDescent="0.25">
      <c r="IU424"/>
      <c r="IV424"/>
    </row>
    <row r="425" spans="255:256" ht="15" hidden="1" x14ac:dyDescent="0.25">
      <c r="IU425"/>
      <c r="IV425"/>
    </row>
    <row r="426" spans="255:256" ht="15" hidden="1" x14ac:dyDescent="0.25">
      <c r="IU426"/>
      <c r="IV426"/>
    </row>
    <row r="427" spans="255:256" ht="15" hidden="1" x14ac:dyDescent="0.25">
      <c r="IU427"/>
      <c r="IV427"/>
    </row>
    <row r="428" spans="255:256" ht="15" hidden="1" x14ac:dyDescent="0.25">
      <c r="IU428"/>
      <c r="IV428"/>
    </row>
    <row r="429" spans="255:256" ht="15" hidden="1" x14ac:dyDescent="0.25">
      <c r="IU429"/>
      <c r="IV429"/>
    </row>
    <row r="430" spans="255:256" ht="15" hidden="1" x14ac:dyDescent="0.25">
      <c r="IU430"/>
      <c r="IV430"/>
    </row>
    <row r="431" spans="255:256" ht="15" hidden="1" x14ac:dyDescent="0.25">
      <c r="IU431"/>
      <c r="IV431"/>
    </row>
    <row r="432" spans="255:256" ht="15" hidden="1" x14ac:dyDescent="0.25">
      <c r="IU432"/>
      <c r="IV432"/>
    </row>
    <row r="433" spans="255:256" ht="15" hidden="1" x14ac:dyDescent="0.25">
      <c r="IU433"/>
      <c r="IV433"/>
    </row>
    <row r="434" spans="255:256" ht="15" hidden="1" x14ac:dyDescent="0.25">
      <c r="IU434"/>
      <c r="IV434"/>
    </row>
    <row r="435" spans="255:256" ht="15" hidden="1" x14ac:dyDescent="0.25">
      <c r="IU435"/>
      <c r="IV435"/>
    </row>
    <row r="436" spans="255:256" ht="15" hidden="1" x14ac:dyDescent="0.25">
      <c r="IU436"/>
      <c r="IV436"/>
    </row>
    <row r="437" spans="255:256" ht="15" hidden="1" x14ac:dyDescent="0.25">
      <c r="IU437"/>
      <c r="IV437"/>
    </row>
    <row r="438" spans="255:256" ht="15" hidden="1" x14ac:dyDescent="0.25">
      <c r="IU438"/>
      <c r="IV438"/>
    </row>
    <row r="439" spans="255:256" ht="15" hidden="1" x14ac:dyDescent="0.25">
      <c r="IU439"/>
      <c r="IV439"/>
    </row>
    <row r="440" spans="255:256" ht="15" hidden="1" x14ac:dyDescent="0.25">
      <c r="IU440"/>
      <c r="IV440"/>
    </row>
    <row r="441" spans="255:256" ht="15" hidden="1" x14ac:dyDescent="0.25">
      <c r="IU441"/>
      <c r="IV441"/>
    </row>
    <row r="442" spans="255:256" ht="15" hidden="1" x14ac:dyDescent="0.25">
      <c r="IU442"/>
      <c r="IV442"/>
    </row>
    <row r="443" spans="255:256" ht="15" hidden="1" x14ac:dyDescent="0.25">
      <c r="IU443"/>
      <c r="IV443"/>
    </row>
    <row r="444" spans="255:256" ht="15" hidden="1" x14ac:dyDescent="0.25">
      <c r="IU444"/>
      <c r="IV444"/>
    </row>
    <row r="445" spans="255:256" ht="15" hidden="1" x14ac:dyDescent="0.25">
      <c r="IU445"/>
      <c r="IV445"/>
    </row>
    <row r="446" spans="255:256" ht="15" hidden="1" x14ac:dyDescent="0.25">
      <c r="IU446"/>
      <c r="IV446"/>
    </row>
    <row r="447" spans="255:256" ht="15" hidden="1" x14ac:dyDescent="0.25">
      <c r="IU447"/>
      <c r="IV447"/>
    </row>
    <row r="448" spans="255:256" ht="15" hidden="1" x14ac:dyDescent="0.25">
      <c r="IU448"/>
      <c r="IV448"/>
    </row>
    <row r="449" spans="255:256" ht="15" hidden="1" x14ac:dyDescent="0.25">
      <c r="IU449"/>
      <c r="IV449"/>
    </row>
    <row r="450" spans="255:256" ht="15" hidden="1" x14ac:dyDescent="0.25">
      <c r="IU450"/>
      <c r="IV450"/>
    </row>
    <row r="451" spans="255:256" ht="15" hidden="1" x14ac:dyDescent="0.25">
      <c r="IU451"/>
      <c r="IV451"/>
    </row>
    <row r="452" spans="255:256" ht="15" hidden="1" x14ac:dyDescent="0.25">
      <c r="IU452"/>
      <c r="IV452"/>
    </row>
    <row r="453" spans="255:256" ht="15" hidden="1" x14ac:dyDescent="0.25">
      <c r="IU453"/>
      <c r="IV453"/>
    </row>
    <row r="454" spans="255:256" ht="15" hidden="1" x14ac:dyDescent="0.25">
      <c r="IU454"/>
      <c r="IV454"/>
    </row>
    <row r="455" spans="255:256" ht="15" hidden="1" x14ac:dyDescent="0.25">
      <c r="IU455"/>
      <c r="IV455"/>
    </row>
    <row r="456" spans="255:256" ht="15" hidden="1" x14ac:dyDescent="0.25">
      <c r="IU456"/>
      <c r="IV456"/>
    </row>
    <row r="457" spans="255:256" ht="15" hidden="1" x14ac:dyDescent="0.25">
      <c r="IU457"/>
      <c r="IV457"/>
    </row>
    <row r="458" spans="255:256" ht="15" hidden="1" x14ac:dyDescent="0.25">
      <c r="IU458"/>
      <c r="IV458"/>
    </row>
    <row r="459" spans="255:256" ht="15" hidden="1" x14ac:dyDescent="0.25">
      <c r="IU459"/>
      <c r="IV459"/>
    </row>
    <row r="460" spans="255:256" ht="15" hidden="1" x14ac:dyDescent="0.25">
      <c r="IU460"/>
      <c r="IV460"/>
    </row>
    <row r="461" spans="255:256" ht="15" hidden="1" x14ac:dyDescent="0.25">
      <c r="IU461"/>
      <c r="IV461"/>
    </row>
    <row r="462" spans="255:256" ht="15" hidden="1" x14ac:dyDescent="0.25">
      <c r="IU462"/>
      <c r="IV462"/>
    </row>
    <row r="463" spans="255:256" ht="15" hidden="1" x14ac:dyDescent="0.25">
      <c r="IU463"/>
      <c r="IV463"/>
    </row>
    <row r="464" spans="255:256" ht="15" hidden="1" x14ac:dyDescent="0.25">
      <c r="IU464"/>
      <c r="IV464"/>
    </row>
    <row r="465" spans="255:256" ht="15" hidden="1" x14ac:dyDescent="0.25">
      <c r="IU465"/>
      <c r="IV465"/>
    </row>
    <row r="466" spans="255:256" ht="15" hidden="1" x14ac:dyDescent="0.25">
      <c r="IU466"/>
      <c r="IV466"/>
    </row>
    <row r="467" spans="255:256" ht="15" hidden="1" x14ac:dyDescent="0.25">
      <c r="IU467"/>
      <c r="IV467"/>
    </row>
    <row r="468" spans="255:256" ht="15" hidden="1" x14ac:dyDescent="0.25">
      <c r="IU468"/>
      <c r="IV468"/>
    </row>
    <row r="469" spans="255:256" ht="15" hidden="1" x14ac:dyDescent="0.25">
      <c r="IU469"/>
      <c r="IV469"/>
    </row>
    <row r="470" spans="255:256" ht="15" hidden="1" x14ac:dyDescent="0.25">
      <c r="IU470"/>
      <c r="IV470"/>
    </row>
    <row r="471" spans="255:256" ht="15" hidden="1" x14ac:dyDescent="0.25">
      <c r="IU471"/>
      <c r="IV471"/>
    </row>
    <row r="472" spans="255:256" ht="15" hidden="1" x14ac:dyDescent="0.25">
      <c r="IU472"/>
      <c r="IV472"/>
    </row>
    <row r="473" spans="255:256" ht="15" hidden="1" x14ac:dyDescent="0.25">
      <c r="IU473"/>
      <c r="IV473"/>
    </row>
    <row r="474" spans="255:256" ht="15" hidden="1" x14ac:dyDescent="0.25">
      <c r="IU474"/>
      <c r="IV474"/>
    </row>
    <row r="475" spans="255:256" ht="15" hidden="1" x14ac:dyDescent="0.25">
      <c r="IU475"/>
      <c r="IV475"/>
    </row>
    <row r="476" spans="255:256" ht="15" hidden="1" x14ac:dyDescent="0.25">
      <c r="IU476"/>
      <c r="IV476"/>
    </row>
    <row r="477" spans="255:256" ht="15" hidden="1" x14ac:dyDescent="0.25">
      <c r="IU477"/>
      <c r="IV477"/>
    </row>
    <row r="478" spans="255:256" ht="15" hidden="1" x14ac:dyDescent="0.25">
      <c r="IU478"/>
      <c r="IV478"/>
    </row>
    <row r="479" spans="255:256" ht="15" hidden="1" x14ac:dyDescent="0.25">
      <c r="IU479"/>
      <c r="IV479"/>
    </row>
    <row r="480" spans="255:256" ht="15" hidden="1" x14ac:dyDescent="0.25">
      <c r="IU480"/>
      <c r="IV480"/>
    </row>
    <row r="481" spans="255:256" ht="15" hidden="1" x14ac:dyDescent="0.25">
      <c r="IU481"/>
      <c r="IV481"/>
    </row>
    <row r="482" spans="255:256" ht="15" hidden="1" x14ac:dyDescent="0.25">
      <c r="IU482"/>
      <c r="IV482"/>
    </row>
    <row r="483" spans="255:256" ht="15" hidden="1" x14ac:dyDescent="0.25">
      <c r="IU483"/>
      <c r="IV483"/>
    </row>
    <row r="484" spans="255:256" ht="15" hidden="1" x14ac:dyDescent="0.25">
      <c r="IU484"/>
      <c r="IV484"/>
    </row>
    <row r="485" spans="255:256" ht="15" hidden="1" x14ac:dyDescent="0.25">
      <c r="IU485"/>
      <c r="IV485"/>
    </row>
    <row r="486" spans="255:256" ht="15" hidden="1" x14ac:dyDescent="0.25">
      <c r="IU486"/>
      <c r="IV486"/>
    </row>
    <row r="487" spans="255:256" ht="15" hidden="1" x14ac:dyDescent="0.25">
      <c r="IU487"/>
      <c r="IV487"/>
    </row>
    <row r="488" spans="255:256" ht="15" hidden="1" x14ac:dyDescent="0.25">
      <c r="IU488"/>
      <c r="IV488"/>
    </row>
    <row r="489" spans="255:256" ht="15" hidden="1" x14ac:dyDescent="0.25">
      <c r="IU489"/>
      <c r="IV489"/>
    </row>
    <row r="490" spans="255:256" ht="15" hidden="1" x14ac:dyDescent="0.25">
      <c r="IU490"/>
      <c r="IV490"/>
    </row>
    <row r="491" spans="255:256" ht="15" hidden="1" x14ac:dyDescent="0.25">
      <c r="IU491"/>
      <c r="IV491"/>
    </row>
    <row r="492" spans="255:256" ht="15" hidden="1" x14ac:dyDescent="0.25">
      <c r="IU492"/>
      <c r="IV492"/>
    </row>
    <row r="493" spans="255:256" ht="15" hidden="1" x14ac:dyDescent="0.25">
      <c r="IU493"/>
      <c r="IV493"/>
    </row>
    <row r="494" spans="255:256" ht="15" hidden="1" x14ac:dyDescent="0.25">
      <c r="IU494"/>
      <c r="IV494"/>
    </row>
    <row r="495" spans="255:256" ht="15" hidden="1" x14ac:dyDescent="0.25">
      <c r="IU495"/>
      <c r="IV495"/>
    </row>
    <row r="496" spans="255:256" ht="15" hidden="1" x14ac:dyDescent="0.25">
      <c r="IU496"/>
      <c r="IV496"/>
    </row>
    <row r="497" spans="255:256" ht="15" hidden="1" x14ac:dyDescent="0.25">
      <c r="IU497"/>
      <c r="IV497"/>
    </row>
    <row r="498" spans="255:256" ht="15" hidden="1" x14ac:dyDescent="0.25">
      <c r="IU498"/>
      <c r="IV498"/>
    </row>
    <row r="499" spans="255:256" ht="15" hidden="1" x14ac:dyDescent="0.25">
      <c r="IU499"/>
      <c r="IV499"/>
    </row>
    <row r="500" spans="255:256" ht="15" hidden="1" x14ac:dyDescent="0.25">
      <c r="IU500"/>
      <c r="IV500"/>
    </row>
    <row r="501" spans="255:256" ht="15" hidden="1" x14ac:dyDescent="0.25">
      <c r="IU501"/>
      <c r="IV501"/>
    </row>
    <row r="502" spans="255:256" ht="15" hidden="1" x14ac:dyDescent="0.25">
      <c r="IU502"/>
      <c r="IV502"/>
    </row>
    <row r="503" spans="255:256" ht="15" hidden="1" x14ac:dyDescent="0.25">
      <c r="IU503"/>
      <c r="IV503"/>
    </row>
    <row r="504" spans="255:256" ht="15" hidden="1" x14ac:dyDescent="0.25">
      <c r="IU504"/>
      <c r="IV504"/>
    </row>
    <row r="505" spans="255:256" ht="15" hidden="1" x14ac:dyDescent="0.25">
      <c r="IU505"/>
      <c r="IV505"/>
    </row>
    <row r="506" spans="255:256" ht="15" hidden="1" x14ac:dyDescent="0.25">
      <c r="IU506"/>
      <c r="IV506"/>
    </row>
    <row r="507" spans="255:256" ht="15" hidden="1" x14ac:dyDescent="0.25">
      <c r="IU507"/>
      <c r="IV507"/>
    </row>
    <row r="508" spans="255:256" ht="15" hidden="1" x14ac:dyDescent="0.25">
      <c r="IU508"/>
      <c r="IV508"/>
    </row>
    <row r="509" spans="255:256" ht="15" hidden="1" x14ac:dyDescent="0.25">
      <c r="IU509"/>
      <c r="IV509"/>
    </row>
    <row r="510" spans="255:256" ht="15" hidden="1" x14ac:dyDescent="0.25">
      <c r="IU510"/>
      <c r="IV510"/>
    </row>
    <row r="511" spans="255:256" ht="15" hidden="1" x14ac:dyDescent="0.25">
      <c r="IU511"/>
      <c r="IV511"/>
    </row>
    <row r="512" spans="255:256" ht="15" hidden="1" x14ac:dyDescent="0.25">
      <c r="IU512"/>
      <c r="IV512"/>
    </row>
    <row r="513" spans="255:256" ht="15" hidden="1" x14ac:dyDescent="0.25">
      <c r="IU513"/>
      <c r="IV513"/>
    </row>
    <row r="514" spans="255:256" ht="15" hidden="1" x14ac:dyDescent="0.25">
      <c r="IU514"/>
      <c r="IV514"/>
    </row>
    <row r="515" spans="255:256" ht="15" hidden="1" x14ac:dyDescent="0.25">
      <c r="IU515"/>
      <c r="IV515"/>
    </row>
    <row r="516" spans="255:256" ht="15" hidden="1" x14ac:dyDescent="0.25">
      <c r="IU516"/>
      <c r="IV516"/>
    </row>
    <row r="517" spans="255:256" ht="15" hidden="1" x14ac:dyDescent="0.25">
      <c r="IU517"/>
      <c r="IV517"/>
    </row>
    <row r="518" spans="255:256" ht="15" hidden="1" x14ac:dyDescent="0.25">
      <c r="IU518"/>
      <c r="IV518"/>
    </row>
    <row r="519" spans="255:256" ht="15" hidden="1" x14ac:dyDescent="0.25">
      <c r="IU519"/>
      <c r="IV519"/>
    </row>
    <row r="520" spans="255:256" ht="15" hidden="1" x14ac:dyDescent="0.25">
      <c r="IU520"/>
      <c r="IV520"/>
    </row>
    <row r="521" spans="255:256" ht="15" hidden="1" x14ac:dyDescent="0.25">
      <c r="IU521"/>
      <c r="IV521"/>
    </row>
    <row r="522" spans="255:256" ht="15" hidden="1" x14ac:dyDescent="0.25">
      <c r="IU522"/>
      <c r="IV522"/>
    </row>
    <row r="523" spans="255:256" ht="15" hidden="1" x14ac:dyDescent="0.25">
      <c r="IU523"/>
      <c r="IV523"/>
    </row>
    <row r="524" spans="255:256" ht="15" hidden="1" x14ac:dyDescent="0.25">
      <c r="IU524"/>
      <c r="IV524"/>
    </row>
    <row r="525" spans="255:256" ht="15" hidden="1" x14ac:dyDescent="0.25">
      <c r="IU525"/>
      <c r="IV525"/>
    </row>
    <row r="526" spans="255:256" ht="15" hidden="1" x14ac:dyDescent="0.25">
      <c r="IU526"/>
      <c r="IV526"/>
    </row>
    <row r="527" spans="255:256" ht="15" hidden="1" x14ac:dyDescent="0.25">
      <c r="IU527"/>
      <c r="IV527"/>
    </row>
    <row r="528" spans="255:256" ht="15" hidden="1" x14ac:dyDescent="0.25">
      <c r="IU528"/>
      <c r="IV528"/>
    </row>
    <row r="529" spans="255:256" ht="15" hidden="1" x14ac:dyDescent="0.25">
      <c r="IU529"/>
      <c r="IV529"/>
    </row>
    <row r="530" spans="255:256" ht="15" hidden="1" x14ac:dyDescent="0.25">
      <c r="IU530"/>
      <c r="IV530"/>
    </row>
    <row r="531" spans="255:256" ht="15" hidden="1" x14ac:dyDescent="0.25">
      <c r="IU531"/>
      <c r="IV531"/>
    </row>
    <row r="532" spans="255:256" ht="15" hidden="1" x14ac:dyDescent="0.25">
      <c r="IU532"/>
      <c r="IV532"/>
    </row>
    <row r="533" spans="255:256" ht="15" hidden="1" x14ac:dyDescent="0.25">
      <c r="IU533"/>
      <c r="IV533"/>
    </row>
    <row r="534" spans="255:256" ht="15" hidden="1" x14ac:dyDescent="0.25">
      <c r="IU534"/>
      <c r="IV534"/>
    </row>
    <row r="535" spans="255:256" ht="15" hidden="1" x14ac:dyDescent="0.25">
      <c r="IU535"/>
      <c r="IV535"/>
    </row>
    <row r="536" spans="255:256" ht="15" hidden="1" x14ac:dyDescent="0.25">
      <c r="IU536"/>
      <c r="IV536"/>
    </row>
    <row r="537" spans="255:256" ht="15" hidden="1" x14ac:dyDescent="0.25">
      <c r="IU537"/>
      <c r="IV537"/>
    </row>
    <row r="538" spans="255:256" ht="15" hidden="1" x14ac:dyDescent="0.25">
      <c r="IU538"/>
      <c r="IV538"/>
    </row>
    <row r="539" spans="255:256" ht="15" hidden="1" x14ac:dyDescent="0.25">
      <c r="IU539"/>
      <c r="IV539"/>
    </row>
    <row r="540" spans="255:256" ht="15" hidden="1" x14ac:dyDescent="0.25">
      <c r="IU540"/>
      <c r="IV540"/>
    </row>
    <row r="541" spans="255:256" ht="15" hidden="1" x14ac:dyDescent="0.25">
      <c r="IU541"/>
      <c r="IV541"/>
    </row>
    <row r="542" spans="255:256" ht="15" hidden="1" x14ac:dyDescent="0.25">
      <c r="IU542"/>
      <c r="IV542"/>
    </row>
    <row r="543" spans="255:256" ht="15" hidden="1" x14ac:dyDescent="0.25">
      <c r="IU543"/>
      <c r="IV543"/>
    </row>
    <row r="544" spans="255:256" ht="15" hidden="1" x14ac:dyDescent="0.25">
      <c r="IU544"/>
      <c r="IV544"/>
    </row>
    <row r="545" spans="255:256" ht="15" hidden="1" x14ac:dyDescent="0.25">
      <c r="IU545"/>
      <c r="IV545"/>
    </row>
    <row r="546" spans="255:256" ht="15" hidden="1" x14ac:dyDescent="0.25">
      <c r="IU546"/>
      <c r="IV546"/>
    </row>
    <row r="547" spans="255:256" ht="15" hidden="1" x14ac:dyDescent="0.25">
      <c r="IU547"/>
      <c r="IV547"/>
    </row>
    <row r="548" spans="255:256" ht="15" hidden="1" x14ac:dyDescent="0.25">
      <c r="IU548"/>
      <c r="IV548"/>
    </row>
    <row r="549" spans="255:256" ht="15" hidden="1" x14ac:dyDescent="0.25">
      <c r="IU549"/>
      <c r="IV549"/>
    </row>
    <row r="550" spans="255:256" ht="15" hidden="1" x14ac:dyDescent="0.25">
      <c r="IU550"/>
      <c r="IV550"/>
    </row>
    <row r="551" spans="255:256" ht="15" hidden="1" x14ac:dyDescent="0.25">
      <c r="IU551"/>
      <c r="IV551"/>
    </row>
    <row r="552" spans="255:256" ht="15" hidden="1" x14ac:dyDescent="0.25">
      <c r="IU552"/>
      <c r="IV552"/>
    </row>
    <row r="553" spans="255:256" ht="15" hidden="1" x14ac:dyDescent="0.25">
      <c r="IU553"/>
      <c r="IV553"/>
    </row>
    <row r="554" spans="255:256" ht="15" hidden="1" x14ac:dyDescent="0.25">
      <c r="IU554"/>
      <c r="IV554"/>
    </row>
    <row r="555" spans="255:256" ht="15" hidden="1" x14ac:dyDescent="0.25">
      <c r="IU555"/>
      <c r="IV555"/>
    </row>
    <row r="556" spans="255:256" ht="15" hidden="1" x14ac:dyDescent="0.25">
      <c r="IU556"/>
      <c r="IV556"/>
    </row>
    <row r="557" spans="255:256" ht="15" hidden="1" x14ac:dyDescent="0.25">
      <c r="IU557"/>
      <c r="IV557"/>
    </row>
    <row r="558" spans="255:256" ht="15" hidden="1" x14ac:dyDescent="0.25">
      <c r="IU558"/>
      <c r="IV558"/>
    </row>
    <row r="559" spans="255:256" ht="15" hidden="1" x14ac:dyDescent="0.25">
      <c r="IU559"/>
      <c r="IV559"/>
    </row>
    <row r="560" spans="255:256" ht="15" hidden="1" x14ac:dyDescent="0.25">
      <c r="IU560"/>
      <c r="IV560"/>
    </row>
    <row r="561" spans="255:256" ht="15" hidden="1" x14ac:dyDescent="0.25">
      <c r="IU561"/>
      <c r="IV561"/>
    </row>
    <row r="562" spans="255:256" ht="15" hidden="1" x14ac:dyDescent="0.25">
      <c r="IU562"/>
      <c r="IV562"/>
    </row>
    <row r="563" spans="255:256" ht="15" hidden="1" x14ac:dyDescent="0.25">
      <c r="IU563"/>
      <c r="IV563"/>
    </row>
    <row r="564" spans="255:256" ht="15" hidden="1" x14ac:dyDescent="0.25">
      <c r="IU564"/>
      <c r="IV564"/>
    </row>
    <row r="565" spans="255:256" ht="15" hidden="1" x14ac:dyDescent="0.25">
      <c r="IU565"/>
      <c r="IV565"/>
    </row>
    <row r="566" spans="255:256" ht="15" hidden="1" x14ac:dyDescent="0.25">
      <c r="IU566"/>
      <c r="IV566"/>
    </row>
    <row r="567" spans="255:256" ht="15" hidden="1" x14ac:dyDescent="0.25">
      <c r="IU567"/>
      <c r="IV567"/>
    </row>
    <row r="568" spans="255:256" ht="15" hidden="1" x14ac:dyDescent="0.25">
      <c r="IU568"/>
      <c r="IV568"/>
    </row>
    <row r="569" spans="255:256" ht="15" hidden="1" x14ac:dyDescent="0.25">
      <c r="IU569"/>
      <c r="IV569"/>
    </row>
    <row r="570" spans="255:256" ht="15" hidden="1" x14ac:dyDescent="0.25">
      <c r="IU570"/>
      <c r="IV570"/>
    </row>
    <row r="571" spans="255:256" ht="15" hidden="1" x14ac:dyDescent="0.25">
      <c r="IU571"/>
      <c r="IV571"/>
    </row>
    <row r="572" spans="255:256" ht="15" hidden="1" x14ac:dyDescent="0.25">
      <c r="IU572"/>
      <c r="IV572"/>
    </row>
    <row r="573" spans="255:256" ht="15" hidden="1" x14ac:dyDescent="0.25">
      <c r="IU573"/>
      <c r="IV573"/>
    </row>
    <row r="574" spans="255:256" ht="15" hidden="1" x14ac:dyDescent="0.25">
      <c r="IU574"/>
      <c r="IV574"/>
    </row>
    <row r="575" spans="255:256" ht="15" hidden="1" x14ac:dyDescent="0.25">
      <c r="IU575"/>
      <c r="IV575"/>
    </row>
    <row r="576" spans="255:256" ht="15" hidden="1" x14ac:dyDescent="0.25">
      <c r="IU576"/>
      <c r="IV576"/>
    </row>
    <row r="577" spans="255:256" ht="15" hidden="1" x14ac:dyDescent="0.25">
      <c r="IU577"/>
      <c r="IV577"/>
    </row>
    <row r="578" spans="255:256" ht="15" hidden="1" x14ac:dyDescent="0.25">
      <c r="IU578"/>
      <c r="IV578"/>
    </row>
    <row r="579" spans="255:256" ht="15" hidden="1" x14ac:dyDescent="0.25">
      <c r="IU579"/>
      <c r="IV579"/>
    </row>
    <row r="580" spans="255:256" ht="15" hidden="1" x14ac:dyDescent="0.25">
      <c r="IU580"/>
      <c r="IV580"/>
    </row>
    <row r="581" spans="255:256" ht="15" hidden="1" x14ac:dyDescent="0.25">
      <c r="IU581"/>
      <c r="IV581"/>
    </row>
    <row r="582" spans="255:256" ht="15" hidden="1" x14ac:dyDescent="0.25">
      <c r="IU582"/>
      <c r="IV582"/>
    </row>
    <row r="583" spans="255:256" ht="15" hidden="1" x14ac:dyDescent="0.25">
      <c r="IU583"/>
      <c r="IV583"/>
    </row>
    <row r="584" spans="255:256" ht="15" hidden="1" x14ac:dyDescent="0.25">
      <c r="IU584"/>
      <c r="IV584"/>
    </row>
    <row r="585" spans="255:256" ht="15" hidden="1" x14ac:dyDescent="0.25">
      <c r="IU585"/>
      <c r="IV585"/>
    </row>
    <row r="586" spans="255:256" ht="15" hidden="1" x14ac:dyDescent="0.25">
      <c r="IU586"/>
      <c r="IV586"/>
    </row>
    <row r="587" spans="255:256" ht="15" hidden="1" x14ac:dyDescent="0.25">
      <c r="IU587"/>
      <c r="IV587"/>
    </row>
    <row r="588" spans="255:256" ht="15" hidden="1" x14ac:dyDescent="0.25">
      <c r="IU588"/>
      <c r="IV588"/>
    </row>
    <row r="589" spans="255:256" ht="15" hidden="1" x14ac:dyDescent="0.25">
      <c r="IU589"/>
      <c r="IV589"/>
    </row>
    <row r="590" spans="255:256" ht="15" hidden="1" x14ac:dyDescent="0.25">
      <c r="IU590"/>
      <c r="IV590"/>
    </row>
    <row r="591" spans="255:256" ht="15" hidden="1" x14ac:dyDescent="0.25">
      <c r="IU591"/>
      <c r="IV591"/>
    </row>
    <row r="592" spans="255:256" ht="15" hidden="1" x14ac:dyDescent="0.25">
      <c r="IU592"/>
      <c r="IV592"/>
    </row>
    <row r="593" spans="255:256" ht="15" hidden="1" x14ac:dyDescent="0.25">
      <c r="IU593"/>
      <c r="IV593"/>
    </row>
    <row r="594" spans="255:256" ht="15" hidden="1" x14ac:dyDescent="0.25">
      <c r="IU594"/>
      <c r="IV594"/>
    </row>
    <row r="595" spans="255:256" ht="15" hidden="1" x14ac:dyDescent="0.25">
      <c r="IU595"/>
      <c r="IV595"/>
    </row>
    <row r="596" spans="255:256" ht="15" hidden="1" x14ac:dyDescent="0.25">
      <c r="IU596"/>
      <c r="IV596"/>
    </row>
    <row r="597" spans="255:256" ht="15" hidden="1" x14ac:dyDescent="0.25">
      <c r="IU597"/>
      <c r="IV597"/>
    </row>
    <row r="598" spans="255:256" ht="15" hidden="1" x14ac:dyDescent="0.25">
      <c r="IU598"/>
      <c r="IV598"/>
    </row>
    <row r="599" spans="255:256" ht="15" hidden="1" x14ac:dyDescent="0.25">
      <c r="IU599"/>
      <c r="IV599"/>
    </row>
    <row r="600" spans="255:256" ht="15" hidden="1" x14ac:dyDescent="0.25">
      <c r="IU600"/>
      <c r="IV600"/>
    </row>
    <row r="601" spans="255:256" ht="15" hidden="1" x14ac:dyDescent="0.25">
      <c r="IU601"/>
      <c r="IV601"/>
    </row>
    <row r="602" spans="255:256" ht="15" hidden="1" x14ac:dyDescent="0.25">
      <c r="IU602"/>
      <c r="IV602"/>
    </row>
    <row r="603" spans="255:256" ht="15" hidden="1" x14ac:dyDescent="0.25">
      <c r="IU603"/>
      <c r="IV603"/>
    </row>
    <row r="604" spans="255:256" ht="15" hidden="1" x14ac:dyDescent="0.25">
      <c r="IU604"/>
      <c r="IV604"/>
    </row>
    <row r="605" spans="255:256" ht="15" hidden="1" x14ac:dyDescent="0.25">
      <c r="IU605"/>
      <c r="IV605"/>
    </row>
    <row r="606" spans="255:256" ht="15" hidden="1" x14ac:dyDescent="0.25">
      <c r="IU606"/>
      <c r="IV606"/>
    </row>
    <row r="607" spans="255:256" ht="15" hidden="1" x14ac:dyDescent="0.25">
      <c r="IU607"/>
      <c r="IV607"/>
    </row>
    <row r="608" spans="255:256" ht="15" hidden="1" x14ac:dyDescent="0.25">
      <c r="IU608"/>
      <c r="IV608"/>
    </row>
    <row r="609" spans="255:256" ht="15" hidden="1" x14ac:dyDescent="0.25">
      <c r="IU609"/>
      <c r="IV609"/>
    </row>
    <row r="610" spans="255:256" ht="15" hidden="1" x14ac:dyDescent="0.25">
      <c r="IU610"/>
      <c r="IV610"/>
    </row>
    <row r="611" spans="255:256" ht="15" hidden="1" x14ac:dyDescent="0.25">
      <c r="IU611"/>
      <c r="IV611"/>
    </row>
    <row r="612" spans="255:256" ht="15" hidden="1" x14ac:dyDescent="0.25">
      <c r="IU612"/>
      <c r="IV612"/>
    </row>
    <row r="613" spans="255:256" ht="15" hidden="1" x14ac:dyDescent="0.25">
      <c r="IU613"/>
      <c r="IV613"/>
    </row>
    <row r="614" spans="255:256" ht="15" hidden="1" x14ac:dyDescent="0.25">
      <c r="IU614"/>
      <c r="IV614"/>
    </row>
    <row r="615" spans="255:256" ht="15" hidden="1" x14ac:dyDescent="0.25">
      <c r="IU615"/>
      <c r="IV615"/>
    </row>
    <row r="616" spans="255:256" ht="15" hidden="1" x14ac:dyDescent="0.25">
      <c r="IU616"/>
      <c r="IV616"/>
    </row>
    <row r="617" spans="255:256" ht="15" hidden="1" x14ac:dyDescent="0.25">
      <c r="IU617"/>
      <c r="IV617"/>
    </row>
    <row r="618" spans="255:256" ht="15" hidden="1" x14ac:dyDescent="0.25">
      <c r="IU618"/>
      <c r="IV618"/>
    </row>
    <row r="619" spans="255:256" ht="15" hidden="1" x14ac:dyDescent="0.25">
      <c r="IU619"/>
      <c r="IV619"/>
    </row>
    <row r="620" spans="255:256" ht="15" hidden="1" x14ac:dyDescent="0.25">
      <c r="IU620"/>
      <c r="IV620"/>
    </row>
    <row r="621" spans="255:256" ht="15" hidden="1" x14ac:dyDescent="0.25">
      <c r="IU621"/>
      <c r="IV621"/>
    </row>
    <row r="622" spans="255:256" ht="15" hidden="1" x14ac:dyDescent="0.25">
      <c r="IU622"/>
      <c r="IV622"/>
    </row>
    <row r="623" spans="255:256" ht="15" hidden="1" x14ac:dyDescent="0.25">
      <c r="IU623"/>
      <c r="IV623"/>
    </row>
    <row r="624" spans="255:256" ht="15" hidden="1" x14ac:dyDescent="0.25">
      <c r="IU624"/>
      <c r="IV624"/>
    </row>
    <row r="625" spans="255:256" ht="15" hidden="1" x14ac:dyDescent="0.25">
      <c r="IU625"/>
      <c r="IV625"/>
    </row>
    <row r="626" spans="255:256" ht="15" hidden="1" x14ac:dyDescent="0.25">
      <c r="IU626"/>
      <c r="IV626"/>
    </row>
    <row r="627" spans="255:256" ht="15" hidden="1" x14ac:dyDescent="0.25">
      <c r="IU627"/>
      <c r="IV627"/>
    </row>
    <row r="628" spans="255:256" ht="15" hidden="1" x14ac:dyDescent="0.25">
      <c r="IU628"/>
      <c r="IV628"/>
    </row>
    <row r="629" spans="255:256" ht="15" hidden="1" x14ac:dyDescent="0.25">
      <c r="IU629"/>
      <c r="IV629"/>
    </row>
    <row r="630" spans="255:256" ht="15" hidden="1" x14ac:dyDescent="0.25">
      <c r="IU630"/>
      <c r="IV630"/>
    </row>
    <row r="631" spans="255:256" ht="15" hidden="1" x14ac:dyDescent="0.25">
      <c r="IU631"/>
      <c r="IV631"/>
    </row>
    <row r="632" spans="255:256" ht="15" hidden="1" x14ac:dyDescent="0.25">
      <c r="IU632"/>
      <c r="IV632"/>
    </row>
    <row r="633" spans="255:256" ht="15" hidden="1" x14ac:dyDescent="0.25">
      <c r="IU633"/>
      <c r="IV633"/>
    </row>
    <row r="634" spans="255:256" ht="15" hidden="1" x14ac:dyDescent="0.25">
      <c r="IU634"/>
      <c r="IV634"/>
    </row>
    <row r="635" spans="255:256" ht="15" hidden="1" x14ac:dyDescent="0.25">
      <c r="IU635"/>
      <c r="IV635"/>
    </row>
    <row r="636" spans="255:256" ht="15" hidden="1" x14ac:dyDescent="0.25">
      <c r="IU636"/>
      <c r="IV636"/>
    </row>
    <row r="637" spans="255:256" ht="15" hidden="1" x14ac:dyDescent="0.25">
      <c r="IU637"/>
      <c r="IV637"/>
    </row>
    <row r="638" spans="255:256" ht="15" hidden="1" x14ac:dyDescent="0.25">
      <c r="IU638"/>
      <c r="IV638"/>
    </row>
    <row r="639" spans="255:256" ht="15" hidden="1" x14ac:dyDescent="0.25">
      <c r="IU639"/>
      <c r="IV639"/>
    </row>
    <row r="640" spans="255:256" ht="15" hidden="1" x14ac:dyDescent="0.25">
      <c r="IU640"/>
      <c r="IV640"/>
    </row>
    <row r="641" spans="255:256" ht="15" hidden="1" x14ac:dyDescent="0.25">
      <c r="IU641"/>
      <c r="IV641"/>
    </row>
    <row r="642" spans="255:256" ht="15" hidden="1" x14ac:dyDescent="0.25">
      <c r="IU642"/>
      <c r="IV642"/>
    </row>
    <row r="643" spans="255:256" ht="15" hidden="1" x14ac:dyDescent="0.25">
      <c r="IU643"/>
      <c r="IV643"/>
    </row>
    <row r="644" spans="255:256" ht="15" hidden="1" x14ac:dyDescent="0.25">
      <c r="IU644"/>
      <c r="IV644"/>
    </row>
    <row r="645" spans="255:256" ht="15" hidden="1" x14ac:dyDescent="0.25">
      <c r="IU645"/>
      <c r="IV645"/>
    </row>
    <row r="646" spans="255:256" ht="15" hidden="1" x14ac:dyDescent="0.25">
      <c r="IU646"/>
      <c r="IV646"/>
    </row>
    <row r="647" spans="255:256" ht="15" hidden="1" x14ac:dyDescent="0.25">
      <c r="IU647"/>
      <c r="IV647"/>
    </row>
    <row r="648" spans="255:256" ht="15" hidden="1" x14ac:dyDescent="0.25">
      <c r="IU648"/>
      <c r="IV648"/>
    </row>
    <row r="649" spans="255:256" ht="15" hidden="1" x14ac:dyDescent="0.25">
      <c r="IU649"/>
      <c r="IV649"/>
    </row>
    <row r="650" spans="255:256" ht="15" hidden="1" x14ac:dyDescent="0.25">
      <c r="IU650"/>
      <c r="IV650"/>
    </row>
    <row r="651" spans="255:256" ht="15" hidden="1" x14ac:dyDescent="0.25">
      <c r="IU651"/>
      <c r="IV651"/>
    </row>
    <row r="652" spans="255:256" ht="15" hidden="1" x14ac:dyDescent="0.25">
      <c r="IU652"/>
      <c r="IV652"/>
    </row>
    <row r="653" spans="255:256" ht="15" hidden="1" x14ac:dyDescent="0.25">
      <c r="IU653"/>
      <c r="IV653"/>
    </row>
    <row r="654" spans="255:256" ht="15" hidden="1" x14ac:dyDescent="0.25">
      <c r="IU654"/>
      <c r="IV654"/>
    </row>
    <row r="655" spans="255:256" ht="15" hidden="1" x14ac:dyDescent="0.25">
      <c r="IU655"/>
      <c r="IV655"/>
    </row>
    <row r="656" spans="255:256" ht="15" hidden="1" x14ac:dyDescent="0.25">
      <c r="IU656"/>
      <c r="IV656"/>
    </row>
    <row r="657" spans="255:256" ht="15" hidden="1" x14ac:dyDescent="0.25">
      <c r="IU657"/>
      <c r="IV657"/>
    </row>
    <row r="658" spans="255:256" ht="15" hidden="1" x14ac:dyDescent="0.25">
      <c r="IU658"/>
      <c r="IV658"/>
    </row>
    <row r="659" spans="255:256" ht="15" hidden="1" x14ac:dyDescent="0.25">
      <c r="IU659"/>
      <c r="IV659"/>
    </row>
    <row r="660" spans="255:256" ht="15" hidden="1" x14ac:dyDescent="0.25">
      <c r="IU660"/>
      <c r="IV660"/>
    </row>
    <row r="661" spans="255:256" ht="15" hidden="1" x14ac:dyDescent="0.25">
      <c r="IU661"/>
      <c r="IV661"/>
    </row>
    <row r="662" spans="255:256" ht="15" hidden="1" x14ac:dyDescent="0.25">
      <c r="IU662"/>
      <c r="IV662"/>
    </row>
    <row r="663" spans="255:256" ht="15" hidden="1" x14ac:dyDescent="0.25">
      <c r="IU663"/>
      <c r="IV663"/>
    </row>
    <row r="664" spans="255:256" ht="15" hidden="1" x14ac:dyDescent="0.25">
      <c r="IU664"/>
      <c r="IV664"/>
    </row>
    <row r="665" spans="255:256" ht="15" hidden="1" x14ac:dyDescent="0.25">
      <c r="IU665"/>
      <c r="IV665"/>
    </row>
    <row r="666" spans="255:256" ht="15" hidden="1" x14ac:dyDescent="0.25">
      <c r="IU666"/>
      <c r="IV666"/>
    </row>
    <row r="667" spans="255:256" ht="15" hidden="1" x14ac:dyDescent="0.25">
      <c r="IU667"/>
      <c r="IV667"/>
    </row>
    <row r="668" spans="255:256" ht="15" hidden="1" x14ac:dyDescent="0.25">
      <c r="IU668"/>
      <c r="IV668"/>
    </row>
    <row r="669" spans="255:256" ht="15" hidden="1" x14ac:dyDescent="0.25">
      <c r="IU669"/>
      <c r="IV669"/>
    </row>
    <row r="670" spans="255:256" ht="15" hidden="1" x14ac:dyDescent="0.25">
      <c r="IU670"/>
      <c r="IV670"/>
    </row>
    <row r="671" spans="255:256" ht="15" hidden="1" x14ac:dyDescent="0.25">
      <c r="IU671"/>
      <c r="IV671"/>
    </row>
    <row r="672" spans="255:256" ht="15" hidden="1" x14ac:dyDescent="0.25">
      <c r="IU672"/>
      <c r="IV672"/>
    </row>
    <row r="673" spans="255:256" ht="15" hidden="1" x14ac:dyDescent="0.25">
      <c r="IU673"/>
      <c r="IV673"/>
    </row>
    <row r="674" spans="255:256" ht="15" hidden="1" x14ac:dyDescent="0.25">
      <c r="IU674"/>
      <c r="IV674"/>
    </row>
    <row r="675" spans="255:256" ht="15" hidden="1" x14ac:dyDescent="0.25">
      <c r="IU675"/>
      <c r="IV675"/>
    </row>
    <row r="676" spans="255:256" ht="15" hidden="1" x14ac:dyDescent="0.25">
      <c r="IU676"/>
      <c r="IV676"/>
    </row>
    <row r="677" spans="255:256" ht="15" hidden="1" x14ac:dyDescent="0.25">
      <c r="IU677"/>
      <c r="IV677"/>
    </row>
    <row r="678" spans="255:256" ht="15" hidden="1" x14ac:dyDescent="0.25">
      <c r="IU678"/>
      <c r="IV678"/>
    </row>
    <row r="679" spans="255:256" ht="15" hidden="1" x14ac:dyDescent="0.25">
      <c r="IU679"/>
      <c r="IV679"/>
    </row>
    <row r="680" spans="255:256" ht="15" hidden="1" x14ac:dyDescent="0.25">
      <c r="IU680"/>
      <c r="IV680"/>
    </row>
    <row r="681" spans="255:256" ht="15" hidden="1" x14ac:dyDescent="0.25">
      <c r="IU681"/>
      <c r="IV681"/>
    </row>
    <row r="682" spans="255:256" ht="15" hidden="1" x14ac:dyDescent="0.25">
      <c r="IU682"/>
      <c r="IV682"/>
    </row>
    <row r="683" spans="255:256" ht="15" hidden="1" x14ac:dyDescent="0.25">
      <c r="IU683"/>
      <c r="IV683"/>
    </row>
    <row r="684" spans="255:256" ht="15" hidden="1" x14ac:dyDescent="0.25">
      <c r="IU684"/>
      <c r="IV684"/>
    </row>
    <row r="685" spans="255:256" ht="15" hidden="1" x14ac:dyDescent="0.25">
      <c r="IU685"/>
      <c r="IV685"/>
    </row>
    <row r="686" spans="255:256" ht="15" hidden="1" x14ac:dyDescent="0.25">
      <c r="IU686"/>
      <c r="IV686"/>
    </row>
    <row r="687" spans="255:256" ht="15" hidden="1" x14ac:dyDescent="0.25">
      <c r="IU687"/>
      <c r="IV687"/>
    </row>
    <row r="688" spans="255:256" ht="15" hidden="1" x14ac:dyDescent="0.25">
      <c r="IU688"/>
      <c r="IV688"/>
    </row>
    <row r="689" spans="255:256" ht="15" hidden="1" x14ac:dyDescent="0.25">
      <c r="IU689"/>
      <c r="IV689"/>
    </row>
    <row r="690" spans="255:256" ht="15" hidden="1" x14ac:dyDescent="0.25">
      <c r="IU690"/>
      <c r="IV690"/>
    </row>
    <row r="691" spans="255:256" ht="15" hidden="1" x14ac:dyDescent="0.25">
      <c r="IU691"/>
      <c r="IV691"/>
    </row>
    <row r="692" spans="255:256" ht="15" hidden="1" x14ac:dyDescent="0.25">
      <c r="IU692"/>
      <c r="IV692"/>
    </row>
    <row r="693" spans="255:256" ht="15" hidden="1" x14ac:dyDescent="0.25">
      <c r="IU693"/>
      <c r="IV693"/>
    </row>
    <row r="694" spans="255:256" ht="15" hidden="1" x14ac:dyDescent="0.25">
      <c r="IU694"/>
      <c r="IV694"/>
    </row>
    <row r="695" spans="255:256" ht="15" hidden="1" x14ac:dyDescent="0.25">
      <c r="IU695"/>
      <c r="IV695"/>
    </row>
    <row r="696" spans="255:256" ht="15" hidden="1" x14ac:dyDescent="0.25">
      <c r="IU696"/>
      <c r="IV696"/>
    </row>
    <row r="697" spans="255:256" ht="15" hidden="1" x14ac:dyDescent="0.25">
      <c r="IU697"/>
      <c r="IV697"/>
    </row>
    <row r="698" spans="255:256" ht="15" hidden="1" x14ac:dyDescent="0.25">
      <c r="IU698"/>
      <c r="IV698"/>
    </row>
    <row r="699" spans="255:256" ht="15" hidden="1" x14ac:dyDescent="0.25">
      <c r="IU699"/>
      <c r="IV699"/>
    </row>
    <row r="700" spans="255:256" ht="15" hidden="1" x14ac:dyDescent="0.25">
      <c r="IU700"/>
      <c r="IV700"/>
    </row>
    <row r="701" spans="255:256" ht="15" hidden="1" x14ac:dyDescent="0.25">
      <c r="IU701"/>
      <c r="IV701"/>
    </row>
    <row r="702" spans="255:256" ht="15" hidden="1" x14ac:dyDescent="0.25">
      <c r="IU702"/>
      <c r="IV702"/>
    </row>
    <row r="703" spans="255:256" ht="15" hidden="1" x14ac:dyDescent="0.25">
      <c r="IU703"/>
      <c r="IV703"/>
    </row>
    <row r="704" spans="255:256" ht="15" hidden="1" x14ac:dyDescent="0.25">
      <c r="IU704"/>
      <c r="IV704"/>
    </row>
    <row r="705" spans="255:256" ht="15" hidden="1" x14ac:dyDescent="0.25">
      <c r="IU705"/>
      <c r="IV705"/>
    </row>
    <row r="706" spans="255:256" ht="15" hidden="1" x14ac:dyDescent="0.25">
      <c r="IU706"/>
      <c r="IV706"/>
    </row>
    <row r="707" spans="255:256" ht="15" hidden="1" x14ac:dyDescent="0.25">
      <c r="IU707"/>
      <c r="IV707"/>
    </row>
    <row r="708" spans="255:256" ht="15" hidden="1" x14ac:dyDescent="0.25">
      <c r="IU708"/>
      <c r="IV708"/>
    </row>
    <row r="709" spans="255:256" ht="15" hidden="1" x14ac:dyDescent="0.25">
      <c r="IU709"/>
      <c r="IV709"/>
    </row>
    <row r="710" spans="255:256" ht="15" hidden="1" x14ac:dyDescent="0.25">
      <c r="IU710"/>
      <c r="IV710"/>
    </row>
    <row r="711" spans="255:256" ht="15" hidden="1" x14ac:dyDescent="0.25">
      <c r="IU711"/>
      <c r="IV711"/>
    </row>
    <row r="712" spans="255:256" ht="15" hidden="1" x14ac:dyDescent="0.25">
      <c r="IU712"/>
      <c r="IV712"/>
    </row>
    <row r="713" spans="255:256" ht="15" hidden="1" x14ac:dyDescent="0.25">
      <c r="IU713"/>
      <c r="IV713"/>
    </row>
    <row r="714" spans="255:256" ht="15" hidden="1" x14ac:dyDescent="0.25">
      <c r="IU714"/>
      <c r="IV714"/>
    </row>
    <row r="715" spans="255:256" ht="15" hidden="1" x14ac:dyDescent="0.25">
      <c r="IU715"/>
      <c r="IV715"/>
    </row>
    <row r="716" spans="255:256" ht="15" hidden="1" x14ac:dyDescent="0.25">
      <c r="IU716"/>
      <c r="IV716"/>
    </row>
    <row r="717" spans="255:256" ht="15" hidden="1" x14ac:dyDescent="0.25">
      <c r="IU717"/>
      <c r="IV717"/>
    </row>
    <row r="718" spans="255:256" ht="15" hidden="1" x14ac:dyDescent="0.25">
      <c r="IU718"/>
      <c r="IV718"/>
    </row>
    <row r="719" spans="255:256" ht="15" hidden="1" x14ac:dyDescent="0.25">
      <c r="IU719"/>
      <c r="IV719"/>
    </row>
    <row r="720" spans="255:256" ht="15" hidden="1" x14ac:dyDescent="0.25">
      <c r="IU720"/>
      <c r="IV720"/>
    </row>
    <row r="721" spans="255:256" ht="15" hidden="1" x14ac:dyDescent="0.25">
      <c r="IU721"/>
      <c r="IV721"/>
    </row>
    <row r="722" spans="255:256" ht="15" hidden="1" x14ac:dyDescent="0.25">
      <c r="IU722"/>
      <c r="IV722"/>
    </row>
    <row r="723" spans="255:256" ht="15" hidden="1" x14ac:dyDescent="0.25">
      <c r="IU723"/>
      <c r="IV723"/>
    </row>
    <row r="724" spans="255:256" ht="15" hidden="1" x14ac:dyDescent="0.25">
      <c r="IU724"/>
      <c r="IV724"/>
    </row>
    <row r="725" spans="255:256" ht="15" hidden="1" x14ac:dyDescent="0.25">
      <c r="IU725"/>
      <c r="IV725"/>
    </row>
    <row r="726" spans="255:256" ht="15" hidden="1" x14ac:dyDescent="0.25">
      <c r="IU726"/>
      <c r="IV726"/>
    </row>
    <row r="727" spans="255:256" ht="15" hidden="1" x14ac:dyDescent="0.25">
      <c r="IU727"/>
      <c r="IV727"/>
    </row>
    <row r="728" spans="255:256" ht="15" hidden="1" x14ac:dyDescent="0.25">
      <c r="IU728"/>
      <c r="IV728"/>
    </row>
    <row r="729" spans="255:256" ht="15" hidden="1" x14ac:dyDescent="0.25">
      <c r="IU729"/>
      <c r="IV729"/>
    </row>
    <row r="730" spans="255:256" ht="15" hidden="1" x14ac:dyDescent="0.25">
      <c r="IU730"/>
      <c r="IV730"/>
    </row>
    <row r="731" spans="255:256" ht="15" hidden="1" x14ac:dyDescent="0.25">
      <c r="IU731"/>
      <c r="IV731"/>
    </row>
    <row r="732" spans="255:256" ht="15" hidden="1" x14ac:dyDescent="0.25">
      <c r="IU732"/>
      <c r="IV732"/>
    </row>
    <row r="733" spans="255:256" ht="15" hidden="1" x14ac:dyDescent="0.25">
      <c r="IU733"/>
      <c r="IV733"/>
    </row>
    <row r="734" spans="255:256" ht="15" hidden="1" x14ac:dyDescent="0.25">
      <c r="IU734"/>
      <c r="IV734"/>
    </row>
    <row r="735" spans="255:256" ht="15" hidden="1" x14ac:dyDescent="0.25">
      <c r="IU735"/>
      <c r="IV735"/>
    </row>
    <row r="736" spans="255:256" ht="15" hidden="1" x14ac:dyDescent="0.25">
      <c r="IU736"/>
      <c r="IV736"/>
    </row>
    <row r="737" spans="255:256" ht="15" hidden="1" x14ac:dyDescent="0.25">
      <c r="IU737"/>
      <c r="IV737"/>
    </row>
    <row r="738" spans="255:256" ht="15" hidden="1" x14ac:dyDescent="0.25">
      <c r="IU738"/>
      <c r="IV738"/>
    </row>
    <row r="739" spans="255:256" ht="15" hidden="1" x14ac:dyDescent="0.25">
      <c r="IU739"/>
      <c r="IV739"/>
    </row>
    <row r="740" spans="255:256" ht="15" hidden="1" x14ac:dyDescent="0.25">
      <c r="IU740"/>
      <c r="IV740"/>
    </row>
    <row r="741" spans="255:256" ht="15" hidden="1" x14ac:dyDescent="0.25">
      <c r="IU741"/>
      <c r="IV741"/>
    </row>
    <row r="742" spans="255:256" ht="15" hidden="1" x14ac:dyDescent="0.25">
      <c r="IU742"/>
      <c r="IV742"/>
    </row>
    <row r="743" spans="255:256" ht="15" hidden="1" x14ac:dyDescent="0.25">
      <c r="IU743"/>
      <c r="IV743"/>
    </row>
    <row r="744" spans="255:256" ht="15" hidden="1" x14ac:dyDescent="0.25">
      <c r="IU744"/>
      <c r="IV744"/>
    </row>
    <row r="745" spans="255:256" ht="15" hidden="1" x14ac:dyDescent="0.25">
      <c r="IU745"/>
      <c r="IV745"/>
    </row>
    <row r="746" spans="255:256" ht="15" hidden="1" x14ac:dyDescent="0.25">
      <c r="IU746"/>
      <c r="IV746"/>
    </row>
    <row r="747" spans="255:256" ht="15" hidden="1" x14ac:dyDescent="0.25">
      <c r="IU747"/>
      <c r="IV747"/>
    </row>
    <row r="748" spans="255:256" ht="15" hidden="1" x14ac:dyDescent="0.25">
      <c r="IU748"/>
      <c r="IV748"/>
    </row>
    <row r="749" spans="255:256" ht="15" hidden="1" x14ac:dyDescent="0.25">
      <c r="IU749"/>
      <c r="IV749"/>
    </row>
    <row r="750" spans="255:256" ht="15" hidden="1" x14ac:dyDescent="0.25">
      <c r="IU750"/>
      <c r="IV750"/>
    </row>
    <row r="751" spans="255:256" ht="15" hidden="1" x14ac:dyDescent="0.25">
      <c r="IU751"/>
      <c r="IV751"/>
    </row>
    <row r="752" spans="255:256" ht="15" hidden="1" x14ac:dyDescent="0.25">
      <c r="IU752"/>
      <c r="IV752"/>
    </row>
    <row r="753" spans="255:256" ht="15" hidden="1" x14ac:dyDescent="0.25">
      <c r="IU753"/>
      <c r="IV753"/>
    </row>
    <row r="754" spans="255:256" ht="15" hidden="1" x14ac:dyDescent="0.25">
      <c r="IU754"/>
      <c r="IV754"/>
    </row>
    <row r="755" spans="255:256" ht="15" hidden="1" x14ac:dyDescent="0.25">
      <c r="IU755"/>
      <c r="IV755"/>
    </row>
    <row r="756" spans="255:256" ht="15" hidden="1" x14ac:dyDescent="0.25">
      <c r="IU756"/>
      <c r="IV756"/>
    </row>
    <row r="757" spans="255:256" ht="15" hidden="1" x14ac:dyDescent="0.25">
      <c r="IU757"/>
      <c r="IV757"/>
    </row>
    <row r="758" spans="255:256" ht="15" hidden="1" x14ac:dyDescent="0.25">
      <c r="IU758"/>
      <c r="IV758"/>
    </row>
    <row r="759" spans="255:256" ht="15" hidden="1" x14ac:dyDescent="0.25">
      <c r="IU759"/>
      <c r="IV759"/>
    </row>
    <row r="760" spans="255:256" ht="15" hidden="1" x14ac:dyDescent="0.25">
      <c r="IU760"/>
      <c r="IV760"/>
    </row>
    <row r="761" spans="255:256" ht="15" hidden="1" x14ac:dyDescent="0.25">
      <c r="IU761"/>
      <c r="IV761"/>
    </row>
    <row r="762" spans="255:256" ht="15" hidden="1" x14ac:dyDescent="0.25">
      <c r="IU762"/>
      <c r="IV762"/>
    </row>
    <row r="763" spans="255:256" ht="15" hidden="1" x14ac:dyDescent="0.25">
      <c r="IU763"/>
      <c r="IV763"/>
    </row>
    <row r="764" spans="255:256" ht="15" hidden="1" x14ac:dyDescent="0.25">
      <c r="IU764"/>
      <c r="IV764"/>
    </row>
    <row r="765" spans="255:256" ht="15" hidden="1" x14ac:dyDescent="0.25">
      <c r="IU765"/>
      <c r="IV765"/>
    </row>
    <row r="766" spans="255:256" ht="15" hidden="1" x14ac:dyDescent="0.25">
      <c r="IU766"/>
      <c r="IV766"/>
    </row>
    <row r="767" spans="255:256" ht="15" hidden="1" x14ac:dyDescent="0.25">
      <c r="IU767"/>
      <c r="IV767"/>
    </row>
    <row r="768" spans="255:256" ht="15" hidden="1" x14ac:dyDescent="0.25">
      <c r="IU768"/>
      <c r="IV768"/>
    </row>
    <row r="769" spans="255:256" ht="15" hidden="1" x14ac:dyDescent="0.25">
      <c r="IU769"/>
      <c r="IV769"/>
    </row>
    <row r="770" spans="255:256" ht="15" hidden="1" x14ac:dyDescent="0.25">
      <c r="IU770"/>
      <c r="IV770"/>
    </row>
    <row r="771" spans="255:256" ht="15" hidden="1" x14ac:dyDescent="0.25">
      <c r="IU771"/>
      <c r="IV771"/>
    </row>
    <row r="772" spans="255:256" ht="15" hidden="1" x14ac:dyDescent="0.25">
      <c r="IU772"/>
      <c r="IV772"/>
    </row>
    <row r="773" spans="255:256" ht="15" hidden="1" x14ac:dyDescent="0.25">
      <c r="IU773"/>
      <c r="IV773"/>
    </row>
    <row r="774" spans="255:256" ht="15" hidden="1" x14ac:dyDescent="0.25">
      <c r="IU774"/>
      <c r="IV774"/>
    </row>
    <row r="775" spans="255:256" ht="15" hidden="1" x14ac:dyDescent="0.25">
      <c r="IU775"/>
      <c r="IV775"/>
    </row>
    <row r="776" spans="255:256" ht="15" hidden="1" x14ac:dyDescent="0.25">
      <c r="IU776"/>
      <c r="IV776"/>
    </row>
    <row r="777" spans="255:256" ht="15" hidden="1" x14ac:dyDescent="0.25">
      <c r="IU777"/>
      <c r="IV777"/>
    </row>
    <row r="778" spans="255:256" ht="15" hidden="1" x14ac:dyDescent="0.25">
      <c r="IU778"/>
      <c r="IV778"/>
    </row>
    <row r="779" spans="255:256" ht="15" hidden="1" x14ac:dyDescent="0.25">
      <c r="IU779"/>
      <c r="IV779"/>
    </row>
    <row r="780" spans="255:256" ht="15" hidden="1" x14ac:dyDescent="0.25">
      <c r="IU780"/>
      <c r="IV780"/>
    </row>
    <row r="781" spans="255:256" ht="15" hidden="1" x14ac:dyDescent="0.25">
      <c r="IU781"/>
      <c r="IV781"/>
    </row>
    <row r="782" spans="255:256" ht="15" hidden="1" x14ac:dyDescent="0.25">
      <c r="IU782"/>
      <c r="IV782"/>
    </row>
    <row r="783" spans="255:256" ht="15" hidden="1" x14ac:dyDescent="0.25">
      <c r="IU783"/>
      <c r="IV783"/>
    </row>
    <row r="784" spans="255:256" ht="15" hidden="1" x14ac:dyDescent="0.25">
      <c r="IU784"/>
      <c r="IV784"/>
    </row>
    <row r="785" spans="255:256" ht="15" hidden="1" x14ac:dyDescent="0.25">
      <c r="IU785"/>
      <c r="IV785"/>
    </row>
    <row r="786" spans="255:256" ht="15" hidden="1" x14ac:dyDescent="0.25">
      <c r="IU786"/>
      <c r="IV786"/>
    </row>
    <row r="787" spans="255:256" ht="15" hidden="1" x14ac:dyDescent="0.25">
      <c r="IU787"/>
      <c r="IV787"/>
    </row>
    <row r="788" spans="255:256" ht="15" hidden="1" x14ac:dyDescent="0.25">
      <c r="IU788"/>
      <c r="IV788"/>
    </row>
    <row r="789" spans="255:256" ht="15" hidden="1" x14ac:dyDescent="0.25">
      <c r="IU789"/>
      <c r="IV789"/>
    </row>
    <row r="790" spans="255:256" ht="15" hidden="1" x14ac:dyDescent="0.25">
      <c r="IU790"/>
      <c r="IV790"/>
    </row>
    <row r="791" spans="255:256" ht="15" hidden="1" x14ac:dyDescent="0.25">
      <c r="IU791"/>
      <c r="IV791"/>
    </row>
    <row r="792" spans="255:256" ht="15" hidden="1" x14ac:dyDescent="0.25">
      <c r="IU792"/>
      <c r="IV792"/>
    </row>
    <row r="793" spans="255:256" ht="15" hidden="1" x14ac:dyDescent="0.25">
      <c r="IU793"/>
      <c r="IV793"/>
    </row>
    <row r="794" spans="255:256" ht="15" hidden="1" x14ac:dyDescent="0.25">
      <c r="IU794"/>
      <c r="IV794"/>
    </row>
    <row r="795" spans="255:256" ht="15" hidden="1" x14ac:dyDescent="0.25">
      <c r="IU795"/>
      <c r="IV795"/>
    </row>
    <row r="796" spans="255:256" ht="15" hidden="1" x14ac:dyDescent="0.25">
      <c r="IU796"/>
      <c r="IV796"/>
    </row>
    <row r="797" spans="255:256" ht="15" hidden="1" x14ac:dyDescent="0.25">
      <c r="IU797"/>
      <c r="IV797"/>
    </row>
    <row r="798" spans="255:256" ht="15" hidden="1" x14ac:dyDescent="0.25">
      <c r="IU798"/>
      <c r="IV798"/>
    </row>
    <row r="799" spans="255:256" ht="15" hidden="1" x14ac:dyDescent="0.25">
      <c r="IU799"/>
      <c r="IV799"/>
    </row>
    <row r="800" spans="255:256" ht="15" hidden="1" x14ac:dyDescent="0.25">
      <c r="IU800"/>
      <c r="IV800"/>
    </row>
    <row r="801" spans="255:256" ht="15" hidden="1" x14ac:dyDescent="0.25">
      <c r="IU801"/>
      <c r="IV801"/>
    </row>
    <row r="802" spans="255:256" ht="15" hidden="1" x14ac:dyDescent="0.25">
      <c r="IU802"/>
      <c r="IV802"/>
    </row>
    <row r="803" spans="255:256" ht="15" hidden="1" x14ac:dyDescent="0.25">
      <c r="IU803"/>
      <c r="IV803"/>
    </row>
    <row r="804" spans="255:256" ht="15" hidden="1" x14ac:dyDescent="0.25">
      <c r="IU804"/>
      <c r="IV804"/>
    </row>
    <row r="805" spans="255:256" ht="15" hidden="1" x14ac:dyDescent="0.25">
      <c r="IU805"/>
      <c r="IV805"/>
    </row>
    <row r="806" spans="255:256" ht="15" hidden="1" x14ac:dyDescent="0.25">
      <c r="IU806"/>
      <c r="IV806"/>
    </row>
    <row r="807" spans="255:256" ht="15" hidden="1" x14ac:dyDescent="0.25">
      <c r="IU807"/>
      <c r="IV807"/>
    </row>
    <row r="808" spans="255:256" ht="15" hidden="1" x14ac:dyDescent="0.25">
      <c r="IU808"/>
      <c r="IV808"/>
    </row>
    <row r="809" spans="255:256" ht="15" hidden="1" x14ac:dyDescent="0.25">
      <c r="IU809"/>
      <c r="IV809"/>
    </row>
    <row r="810" spans="255:256" ht="15" hidden="1" x14ac:dyDescent="0.25">
      <c r="IU810"/>
      <c r="IV810"/>
    </row>
    <row r="811" spans="255:256" ht="15" hidden="1" x14ac:dyDescent="0.25">
      <c r="IU811"/>
      <c r="IV811"/>
    </row>
    <row r="812" spans="255:256" ht="15" hidden="1" x14ac:dyDescent="0.25">
      <c r="IU812"/>
      <c r="IV812"/>
    </row>
    <row r="813" spans="255:256" ht="15" hidden="1" x14ac:dyDescent="0.25">
      <c r="IU813"/>
      <c r="IV813"/>
    </row>
    <row r="814" spans="255:256" ht="15" hidden="1" x14ac:dyDescent="0.25">
      <c r="IU814"/>
      <c r="IV814"/>
    </row>
    <row r="815" spans="255:256" ht="15" hidden="1" x14ac:dyDescent="0.25">
      <c r="IU815"/>
      <c r="IV815"/>
    </row>
    <row r="816" spans="255:256" ht="15" hidden="1" x14ac:dyDescent="0.25">
      <c r="IU816"/>
      <c r="IV816"/>
    </row>
    <row r="817" spans="255:256" ht="15" hidden="1" x14ac:dyDescent="0.25">
      <c r="IU817"/>
      <c r="IV817"/>
    </row>
    <row r="818" spans="255:256" ht="15" hidden="1" x14ac:dyDescent="0.25">
      <c r="IU818"/>
      <c r="IV818"/>
    </row>
    <row r="819" spans="255:256" ht="15" hidden="1" x14ac:dyDescent="0.25">
      <c r="IU819"/>
      <c r="IV819"/>
    </row>
    <row r="820" spans="255:256" ht="15" hidden="1" x14ac:dyDescent="0.25">
      <c r="IU820"/>
      <c r="IV820"/>
    </row>
    <row r="821" spans="255:256" ht="15" hidden="1" x14ac:dyDescent="0.25">
      <c r="IU821"/>
      <c r="IV821"/>
    </row>
    <row r="822" spans="255:256" ht="15" hidden="1" x14ac:dyDescent="0.25">
      <c r="IU822"/>
      <c r="IV822"/>
    </row>
    <row r="823" spans="255:256" ht="15" hidden="1" x14ac:dyDescent="0.25">
      <c r="IU823"/>
      <c r="IV823"/>
    </row>
    <row r="824" spans="255:256" ht="15" hidden="1" x14ac:dyDescent="0.25">
      <c r="IU824"/>
      <c r="IV824"/>
    </row>
    <row r="825" spans="255:256" ht="15" hidden="1" x14ac:dyDescent="0.25">
      <c r="IU825"/>
      <c r="IV825"/>
    </row>
    <row r="826" spans="255:256" ht="15" hidden="1" x14ac:dyDescent="0.25">
      <c r="IU826"/>
      <c r="IV826"/>
    </row>
    <row r="827" spans="255:256" ht="15" hidden="1" x14ac:dyDescent="0.25">
      <c r="IU827"/>
      <c r="IV827"/>
    </row>
    <row r="828" spans="255:256" ht="15" hidden="1" x14ac:dyDescent="0.25">
      <c r="IU828"/>
      <c r="IV828"/>
    </row>
    <row r="829" spans="255:256" ht="15" hidden="1" x14ac:dyDescent="0.25">
      <c r="IU829"/>
      <c r="IV829"/>
    </row>
    <row r="830" spans="255:256" ht="15" hidden="1" x14ac:dyDescent="0.25">
      <c r="IU830"/>
      <c r="IV830"/>
    </row>
    <row r="831" spans="255:256" ht="15" hidden="1" x14ac:dyDescent="0.25">
      <c r="IU831"/>
      <c r="IV831"/>
    </row>
    <row r="832" spans="255:256" ht="15" hidden="1" x14ac:dyDescent="0.25">
      <c r="IU832"/>
      <c r="IV832"/>
    </row>
    <row r="833" spans="255:256" ht="15" hidden="1" x14ac:dyDescent="0.25">
      <c r="IU833"/>
      <c r="IV833"/>
    </row>
    <row r="834" spans="255:256" ht="15" hidden="1" x14ac:dyDescent="0.25">
      <c r="IU834"/>
      <c r="IV834"/>
    </row>
    <row r="835" spans="255:256" ht="15" hidden="1" x14ac:dyDescent="0.25">
      <c r="IU835"/>
      <c r="IV835"/>
    </row>
    <row r="836" spans="255:256" ht="15" hidden="1" x14ac:dyDescent="0.25">
      <c r="IU836"/>
      <c r="IV836"/>
    </row>
    <row r="837" spans="255:256" ht="15" hidden="1" x14ac:dyDescent="0.25">
      <c r="IU837"/>
      <c r="IV837"/>
    </row>
    <row r="838" spans="255:256" ht="15" hidden="1" x14ac:dyDescent="0.25">
      <c r="IU838"/>
      <c r="IV838"/>
    </row>
    <row r="839" spans="255:256" ht="15" hidden="1" x14ac:dyDescent="0.25">
      <c r="IU839"/>
      <c r="IV839"/>
    </row>
    <row r="840" spans="255:256" ht="15" hidden="1" x14ac:dyDescent="0.25">
      <c r="IU840"/>
      <c r="IV840"/>
    </row>
    <row r="841" spans="255:256" ht="15" hidden="1" x14ac:dyDescent="0.25">
      <c r="IU841"/>
      <c r="IV841"/>
    </row>
    <row r="842" spans="255:256" ht="15" hidden="1" x14ac:dyDescent="0.25">
      <c r="IU842"/>
      <c r="IV842"/>
    </row>
    <row r="843" spans="255:256" ht="15" hidden="1" x14ac:dyDescent="0.25">
      <c r="IU843"/>
      <c r="IV843"/>
    </row>
    <row r="844" spans="255:256" ht="15" hidden="1" x14ac:dyDescent="0.25">
      <c r="IU844"/>
      <c r="IV844"/>
    </row>
    <row r="845" spans="255:256" ht="15" hidden="1" x14ac:dyDescent="0.25">
      <c r="IU845"/>
      <c r="IV845"/>
    </row>
    <row r="846" spans="255:256" ht="15" hidden="1" x14ac:dyDescent="0.25">
      <c r="IU846"/>
      <c r="IV846"/>
    </row>
    <row r="847" spans="255:256" ht="15" hidden="1" x14ac:dyDescent="0.25">
      <c r="IU847"/>
      <c r="IV847"/>
    </row>
    <row r="848" spans="255:256" ht="15" hidden="1" x14ac:dyDescent="0.25">
      <c r="IU848"/>
      <c r="IV848"/>
    </row>
    <row r="849" spans="255:256" ht="15" hidden="1" x14ac:dyDescent="0.25">
      <c r="IU849"/>
      <c r="IV849"/>
    </row>
    <row r="850" spans="255:256" ht="15" hidden="1" x14ac:dyDescent="0.25">
      <c r="IU850"/>
      <c r="IV850"/>
    </row>
    <row r="851" spans="255:256" ht="15" hidden="1" x14ac:dyDescent="0.25">
      <c r="IU851"/>
      <c r="IV851"/>
    </row>
    <row r="852" spans="255:256" ht="15" hidden="1" x14ac:dyDescent="0.25">
      <c r="IU852"/>
      <c r="IV852"/>
    </row>
    <row r="853" spans="255:256" ht="15" hidden="1" x14ac:dyDescent="0.25">
      <c r="IU853"/>
      <c r="IV853"/>
    </row>
    <row r="854" spans="255:256" ht="15" hidden="1" x14ac:dyDescent="0.25">
      <c r="IU854"/>
      <c r="IV854"/>
    </row>
    <row r="855" spans="255:256" ht="15" hidden="1" x14ac:dyDescent="0.25">
      <c r="IU855"/>
      <c r="IV855"/>
    </row>
    <row r="856" spans="255:256" ht="15" hidden="1" x14ac:dyDescent="0.25">
      <c r="IU856"/>
      <c r="IV856"/>
    </row>
    <row r="857" spans="255:256" ht="15" hidden="1" x14ac:dyDescent="0.25">
      <c r="IU857"/>
      <c r="IV857"/>
    </row>
    <row r="858" spans="255:256" ht="15" hidden="1" x14ac:dyDescent="0.25">
      <c r="IU858"/>
      <c r="IV858"/>
    </row>
    <row r="859" spans="255:256" ht="15" hidden="1" x14ac:dyDescent="0.25">
      <c r="IU859"/>
      <c r="IV859"/>
    </row>
    <row r="860" spans="255:256" ht="15" hidden="1" x14ac:dyDescent="0.25">
      <c r="IU860"/>
      <c r="IV860"/>
    </row>
    <row r="861" spans="255:256" ht="15" hidden="1" x14ac:dyDescent="0.25">
      <c r="IU861"/>
      <c r="IV861"/>
    </row>
    <row r="862" spans="255:256" ht="15" hidden="1" x14ac:dyDescent="0.25">
      <c r="IU862"/>
      <c r="IV862"/>
    </row>
    <row r="863" spans="255:256" ht="15" hidden="1" x14ac:dyDescent="0.25">
      <c r="IU863"/>
      <c r="IV863"/>
    </row>
    <row r="864" spans="255:256" ht="15" hidden="1" x14ac:dyDescent="0.25">
      <c r="IU864"/>
      <c r="IV864"/>
    </row>
    <row r="865" spans="255:256" ht="15" hidden="1" x14ac:dyDescent="0.25">
      <c r="IU865"/>
      <c r="IV865"/>
    </row>
    <row r="866" spans="255:256" ht="15" hidden="1" x14ac:dyDescent="0.25">
      <c r="IU866"/>
      <c r="IV866"/>
    </row>
    <row r="867" spans="255:256" ht="15" hidden="1" x14ac:dyDescent="0.25">
      <c r="IU867"/>
      <c r="IV867"/>
    </row>
    <row r="868" spans="255:256" ht="15" hidden="1" x14ac:dyDescent="0.25">
      <c r="IU868"/>
      <c r="IV868"/>
    </row>
    <row r="869" spans="255:256" ht="15" hidden="1" x14ac:dyDescent="0.25">
      <c r="IU869"/>
      <c r="IV869"/>
    </row>
    <row r="870" spans="255:256" ht="15" hidden="1" x14ac:dyDescent="0.25">
      <c r="IU870"/>
      <c r="IV870"/>
    </row>
    <row r="871" spans="255:256" ht="15" hidden="1" x14ac:dyDescent="0.25">
      <c r="IU871"/>
      <c r="IV871"/>
    </row>
    <row r="872" spans="255:256" ht="15" hidden="1" x14ac:dyDescent="0.25">
      <c r="IU872"/>
      <c r="IV872"/>
    </row>
    <row r="873" spans="255:256" ht="15" hidden="1" x14ac:dyDescent="0.25">
      <c r="IU873"/>
      <c r="IV873"/>
    </row>
    <row r="874" spans="255:256" ht="15" hidden="1" x14ac:dyDescent="0.25">
      <c r="IU874"/>
      <c r="IV874"/>
    </row>
    <row r="875" spans="255:256" ht="15" hidden="1" x14ac:dyDescent="0.25">
      <c r="IU875"/>
      <c r="IV875"/>
    </row>
    <row r="876" spans="255:256" ht="15" hidden="1" x14ac:dyDescent="0.25">
      <c r="IU876"/>
      <c r="IV876"/>
    </row>
    <row r="877" spans="255:256" ht="15" hidden="1" x14ac:dyDescent="0.25">
      <c r="IU877"/>
      <c r="IV877"/>
    </row>
    <row r="878" spans="255:256" ht="15" hidden="1" x14ac:dyDescent="0.25">
      <c r="IU878"/>
      <c r="IV878"/>
    </row>
    <row r="879" spans="255:256" ht="15" hidden="1" x14ac:dyDescent="0.25">
      <c r="IU879"/>
      <c r="IV879"/>
    </row>
    <row r="880" spans="255:256" ht="15" hidden="1" x14ac:dyDescent="0.25">
      <c r="IU880"/>
      <c r="IV880"/>
    </row>
    <row r="881" spans="255:256" ht="15" hidden="1" x14ac:dyDescent="0.25">
      <c r="IU881"/>
      <c r="IV881"/>
    </row>
    <row r="882" spans="255:256" ht="15" hidden="1" x14ac:dyDescent="0.25">
      <c r="IU882"/>
      <c r="IV882"/>
    </row>
    <row r="883" spans="255:256" ht="15" hidden="1" x14ac:dyDescent="0.25">
      <c r="IU883"/>
      <c r="IV883"/>
    </row>
    <row r="884" spans="255:256" ht="15" hidden="1" x14ac:dyDescent="0.25">
      <c r="IU884"/>
      <c r="IV884"/>
    </row>
    <row r="885" spans="255:256" ht="15" hidden="1" x14ac:dyDescent="0.25">
      <c r="IU885"/>
      <c r="IV885"/>
    </row>
    <row r="886" spans="255:256" ht="15" hidden="1" x14ac:dyDescent="0.25">
      <c r="IU886"/>
      <c r="IV886"/>
    </row>
    <row r="887" spans="255:256" ht="15" hidden="1" x14ac:dyDescent="0.25">
      <c r="IU887"/>
      <c r="IV887"/>
    </row>
    <row r="888" spans="255:256" ht="15" hidden="1" x14ac:dyDescent="0.25">
      <c r="IU888"/>
      <c r="IV888"/>
    </row>
    <row r="889" spans="255:256" ht="15" hidden="1" x14ac:dyDescent="0.25">
      <c r="IU889"/>
      <c r="IV889"/>
    </row>
    <row r="890" spans="255:256" ht="15" hidden="1" x14ac:dyDescent="0.25">
      <c r="IU890"/>
      <c r="IV890"/>
    </row>
    <row r="891" spans="255:256" ht="15" hidden="1" x14ac:dyDescent="0.25">
      <c r="IU891"/>
      <c r="IV891"/>
    </row>
    <row r="892" spans="255:256" ht="15" hidden="1" x14ac:dyDescent="0.25">
      <c r="IU892"/>
      <c r="IV892"/>
    </row>
    <row r="893" spans="255:256" ht="15" hidden="1" x14ac:dyDescent="0.25">
      <c r="IU893"/>
      <c r="IV893"/>
    </row>
    <row r="894" spans="255:256" ht="15" hidden="1" x14ac:dyDescent="0.25">
      <c r="IU894"/>
      <c r="IV894"/>
    </row>
    <row r="895" spans="255:256" ht="15" hidden="1" x14ac:dyDescent="0.25">
      <c r="IU895"/>
      <c r="IV895"/>
    </row>
    <row r="896" spans="255:256" ht="15" hidden="1" x14ac:dyDescent="0.25">
      <c r="IU896"/>
      <c r="IV896"/>
    </row>
    <row r="897" spans="255:256" ht="15" hidden="1" x14ac:dyDescent="0.25">
      <c r="IU897"/>
      <c r="IV897"/>
    </row>
    <row r="898" spans="255:256" ht="15" hidden="1" x14ac:dyDescent="0.25">
      <c r="IU898"/>
      <c r="IV898"/>
    </row>
    <row r="899" spans="255:256" ht="15" hidden="1" x14ac:dyDescent="0.25">
      <c r="IU899"/>
      <c r="IV899"/>
    </row>
    <row r="900" spans="255:256" ht="15" hidden="1" x14ac:dyDescent="0.25">
      <c r="IU900"/>
      <c r="IV900"/>
    </row>
    <row r="901" spans="255:256" ht="15" hidden="1" x14ac:dyDescent="0.25">
      <c r="IU901"/>
      <c r="IV901"/>
    </row>
    <row r="902" spans="255:256" ht="15" hidden="1" x14ac:dyDescent="0.25">
      <c r="IU902"/>
      <c r="IV902"/>
    </row>
    <row r="903" spans="255:256" ht="15" hidden="1" x14ac:dyDescent="0.25">
      <c r="IU903"/>
      <c r="IV903"/>
    </row>
    <row r="904" spans="255:256" ht="15" hidden="1" x14ac:dyDescent="0.25">
      <c r="IU904"/>
      <c r="IV904"/>
    </row>
    <row r="905" spans="255:256" ht="15" hidden="1" x14ac:dyDescent="0.25">
      <c r="IU905"/>
      <c r="IV905"/>
    </row>
    <row r="906" spans="255:256" ht="15" hidden="1" x14ac:dyDescent="0.25">
      <c r="IU906"/>
      <c r="IV906"/>
    </row>
    <row r="907" spans="255:256" ht="15" hidden="1" x14ac:dyDescent="0.25">
      <c r="IU907"/>
      <c r="IV907"/>
    </row>
    <row r="908" spans="255:256" ht="15" hidden="1" x14ac:dyDescent="0.25">
      <c r="IU908"/>
      <c r="IV908"/>
    </row>
    <row r="909" spans="255:256" ht="15" hidden="1" x14ac:dyDescent="0.25">
      <c r="IU909"/>
      <c r="IV909"/>
    </row>
    <row r="910" spans="255:256" ht="15" hidden="1" x14ac:dyDescent="0.25">
      <c r="IU910"/>
      <c r="IV910"/>
    </row>
    <row r="911" spans="255:256" ht="15" hidden="1" x14ac:dyDescent="0.25">
      <c r="IU911"/>
      <c r="IV911"/>
    </row>
    <row r="912" spans="255:256" ht="15" hidden="1" x14ac:dyDescent="0.25">
      <c r="IU912"/>
      <c r="IV912"/>
    </row>
    <row r="913" spans="255:256" ht="15" hidden="1" x14ac:dyDescent="0.25">
      <c r="IU913"/>
      <c r="IV913"/>
    </row>
    <row r="914" spans="255:256" ht="15" hidden="1" x14ac:dyDescent="0.25">
      <c r="IU914"/>
      <c r="IV914"/>
    </row>
    <row r="915" spans="255:256" ht="15" hidden="1" x14ac:dyDescent="0.25">
      <c r="IU915"/>
      <c r="IV915"/>
    </row>
    <row r="916" spans="255:256" ht="15" hidden="1" x14ac:dyDescent="0.25">
      <c r="IU916"/>
      <c r="IV916"/>
    </row>
    <row r="917" spans="255:256" ht="15" hidden="1" x14ac:dyDescent="0.25">
      <c r="IU917"/>
      <c r="IV917"/>
    </row>
    <row r="918" spans="255:256" ht="15" hidden="1" x14ac:dyDescent="0.25">
      <c r="IU918"/>
      <c r="IV918"/>
    </row>
    <row r="919" spans="255:256" ht="15" hidden="1" x14ac:dyDescent="0.25">
      <c r="IU919"/>
      <c r="IV919"/>
    </row>
    <row r="920" spans="255:256" ht="15" hidden="1" x14ac:dyDescent="0.25">
      <c r="IU920"/>
      <c r="IV920"/>
    </row>
    <row r="921" spans="255:256" ht="15" hidden="1" x14ac:dyDescent="0.25">
      <c r="IU921"/>
      <c r="IV921"/>
    </row>
    <row r="922" spans="255:256" ht="15" hidden="1" x14ac:dyDescent="0.25">
      <c r="IU922"/>
      <c r="IV922"/>
    </row>
    <row r="923" spans="255:256" ht="15" hidden="1" x14ac:dyDescent="0.25">
      <c r="IU923"/>
      <c r="IV923"/>
    </row>
    <row r="924" spans="255:256" ht="15" hidden="1" x14ac:dyDescent="0.25">
      <c r="IU924"/>
      <c r="IV924"/>
    </row>
    <row r="925" spans="255:256" ht="15" hidden="1" x14ac:dyDescent="0.25">
      <c r="IU925"/>
      <c r="IV925"/>
    </row>
    <row r="926" spans="255:256" ht="15" hidden="1" x14ac:dyDescent="0.25">
      <c r="IU926"/>
      <c r="IV926"/>
    </row>
    <row r="927" spans="255:256" ht="15" hidden="1" x14ac:dyDescent="0.25">
      <c r="IU927"/>
      <c r="IV927"/>
    </row>
    <row r="928" spans="255:256" ht="15" hidden="1" x14ac:dyDescent="0.25">
      <c r="IU928"/>
      <c r="IV928"/>
    </row>
    <row r="929" spans="255:256" ht="15" hidden="1" x14ac:dyDescent="0.25">
      <c r="IU929"/>
      <c r="IV929"/>
    </row>
    <row r="930" spans="255:256" ht="15" hidden="1" x14ac:dyDescent="0.25">
      <c r="IU930"/>
      <c r="IV930"/>
    </row>
    <row r="931" spans="255:256" ht="15" hidden="1" x14ac:dyDescent="0.25">
      <c r="IU931"/>
      <c r="IV931"/>
    </row>
    <row r="932" spans="255:256" ht="15" hidden="1" x14ac:dyDescent="0.25">
      <c r="IU932"/>
      <c r="IV932"/>
    </row>
    <row r="933" spans="255:256" ht="15" hidden="1" x14ac:dyDescent="0.25">
      <c r="IU933"/>
      <c r="IV933"/>
    </row>
    <row r="934" spans="255:256" ht="15" hidden="1" x14ac:dyDescent="0.25">
      <c r="IU934"/>
      <c r="IV934"/>
    </row>
    <row r="935" spans="255:256" ht="15" hidden="1" x14ac:dyDescent="0.25">
      <c r="IU935"/>
      <c r="IV935"/>
    </row>
    <row r="936" spans="255:256" ht="15" hidden="1" x14ac:dyDescent="0.25">
      <c r="IU936"/>
      <c r="IV936"/>
    </row>
    <row r="937" spans="255:256" ht="15" hidden="1" x14ac:dyDescent="0.25">
      <c r="IU937"/>
      <c r="IV937"/>
    </row>
    <row r="938" spans="255:256" ht="15" hidden="1" x14ac:dyDescent="0.25">
      <c r="IU938"/>
      <c r="IV938"/>
    </row>
    <row r="939" spans="255:256" ht="15" hidden="1" x14ac:dyDescent="0.25">
      <c r="IU939"/>
      <c r="IV939"/>
    </row>
    <row r="940" spans="255:256" ht="15" hidden="1" x14ac:dyDescent="0.25">
      <c r="IU940"/>
      <c r="IV940"/>
    </row>
    <row r="941" spans="255:256" ht="15" hidden="1" x14ac:dyDescent="0.25">
      <c r="IU941"/>
      <c r="IV941"/>
    </row>
    <row r="942" spans="255:256" ht="15" hidden="1" x14ac:dyDescent="0.25">
      <c r="IU942"/>
      <c r="IV942"/>
    </row>
    <row r="943" spans="255:256" ht="15" hidden="1" x14ac:dyDescent="0.25">
      <c r="IU943"/>
      <c r="IV943"/>
    </row>
    <row r="944" spans="255:256" ht="15" hidden="1" x14ac:dyDescent="0.25">
      <c r="IU944"/>
      <c r="IV944"/>
    </row>
    <row r="945" spans="255:256" ht="15" hidden="1" x14ac:dyDescent="0.25">
      <c r="IU945"/>
      <c r="IV945"/>
    </row>
    <row r="946" spans="255:256" ht="15" hidden="1" x14ac:dyDescent="0.25">
      <c r="IU946"/>
      <c r="IV946"/>
    </row>
    <row r="947" spans="255:256" ht="15" hidden="1" x14ac:dyDescent="0.25">
      <c r="IU947"/>
      <c r="IV947"/>
    </row>
    <row r="948" spans="255:256" ht="15" hidden="1" x14ac:dyDescent="0.25">
      <c r="IU948"/>
      <c r="IV948"/>
    </row>
    <row r="949" spans="255:256" ht="15" hidden="1" x14ac:dyDescent="0.25">
      <c r="IU949"/>
      <c r="IV949"/>
    </row>
    <row r="950" spans="255:256" ht="15" hidden="1" x14ac:dyDescent="0.25">
      <c r="IU950"/>
      <c r="IV950"/>
    </row>
    <row r="951" spans="255:256" ht="15" hidden="1" x14ac:dyDescent="0.25">
      <c r="IU951"/>
      <c r="IV951"/>
    </row>
    <row r="952" spans="255:256" ht="15" hidden="1" x14ac:dyDescent="0.25">
      <c r="IU952"/>
      <c r="IV952"/>
    </row>
    <row r="953" spans="255:256" ht="15" hidden="1" x14ac:dyDescent="0.25">
      <c r="IU953"/>
      <c r="IV953"/>
    </row>
    <row r="954" spans="255:256" ht="15" hidden="1" x14ac:dyDescent="0.25">
      <c r="IU954"/>
      <c r="IV954"/>
    </row>
    <row r="955" spans="255:256" ht="15" hidden="1" x14ac:dyDescent="0.25">
      <c r="IU955"/>
      <c r="IV955"/>
    </row>
    <row r="956" spans="255:256" ht="15" hidden="1" x14ac:dyDescent="0.25">
      <c r="IU956"/>
      <c r="IV956"/>
    </row>
    <row r="957" spans="255:256" ht="15" hidden="1" x14ac:dyDescent="0.25">
      <c r="IU957"/>
      <c r="IV957"/>
    </row>
    <row r="958" spans="255:256" ht="15" hidden="1" x14ac:dyDescent="0.25">
      <c r="IU958"/>
      <c r="IV958"/>
    </row>
    <row r="959" spans="255:256" ht="15" hidden="1" x14ac:dyDescent="0.25">
      <c r="IU959"/>
      <c r="IV959"/>
    </row>
    <row r="960" spans="255:256" ht="15" hidden="1" x14ac:dyDescent="0.25">
      <c r="IU960"/>
      <c r="IV960"/>
    </row>
    <row r="961" spans="255:256" ht="15" hidden="1" x14ac:dyDescent="0.25">
      <c r="IU961"/>
      <c r="IV961"/>
    </row>
    <row r="962" spans="255:256" ht="15" hidden="1" x14ac:dyDescent="0.25">
      <c r="IU962"/>
      <c r="IV962"/>
    </row>
    <row r="963" spans="255:256" ht="15" hidden="1" x14ac:dyDescent="0.25">
      <c r="IU963"/>
      <c r="IV963"/>
    </row>
    <row r="964" spans="255:256" ht="15" hidden="1" x14ac:dyDescent="0.25">
      <c r="IU964"/>
      <c r="IV964"/>
    </row>
    <row r="965" spans="255:256" ht="15" hidden="1" x14ac:dyDescent="0.25">
      <c r="IU965"/>
      <c r="IV965"/>
    </row>
    <row r="966" spans="255:256" ht="15" hidden="1" x14ac:dyDescent="0.25">
      <c r="IU966"/>
      <c r="IV966"/>
    </row>
    <row r="967" spans="255:256" ht="15" hidden="1" x14ac:dyDescent="0.25">
      <c r="IU967"/>
      <c r="IV967"/>
    </row>
    <row r="968" spans="255:256" ht="15" hidden="1" x14ac:dyDescent="0.25">
      <c r="IU968"/>
      <c r="IV968"/>
    </row>
    <row r="969" spans="255:256" ht="15" hidden="1" x14ac:dyDescent="0.25">
      <c r="IU969"/>
      <c r="IV969"/>
    </row>
    <row r="970" spans="255:256" ht="15" hidden="1" x14ac:dyDescent="0.25">
      <c r="IU970"/>
      <c r="IV970"/>
    </row>
    <row r="971" spans="255:256" ht="15" hidden="1" x14ac:dyDescent="0.25">
      <c r="IU971"/>
      <c r="IV971"/>
    </row>
    <row r="972" spans="255:256" ht="15" hidden="1" x14ac:dyDescent="0.25">
      <c r="IU972"/>
      <c r="IV972"/>
    </row>
    <row r="973" spans="255:256" ht="15" hidden="1" x14ac:dyDescent="0.25">
      <c r="IU973"/>
      <c r="IV973"/>
    </row>
    <row r="974" spans="255:256" ht="15" hidden="1" x14ac:dyDescent="0.25">
      <c r="IU974"/>
      <c r="IV974"/>
    </row>
    <row r="975" spans="255:256" ht="15" hidden="1" x14ac:dyDescent="0.25">
      <c r="IU975"/>
      <c r="IV975"/>
    </row>
    <row r="976" spans="255:256" ht="15" hidden="1" x14ac:dyDescent="0.25">
      <c r="IU976"/>
      <c r="IV976"/>
    </row>
    <row r="977" spans="255:256" ht="15" hidden="1" x14ac:dyDescent="0.25">
      <c r="IU977"/>
      <c r="IV977"/>
    </row>
    <row r="978" spans="255:256" ht="15" hidden="1" x14ac:dyDescent="0.25">
      <c r="IU978"/>
      <c r="IV978"/>
    </row>
    <row r="979" spans="255:256" ht="15" hidden="1" x14ac:dyDescent="0.25">
      <c r="IU979"/>
      <c r="IV979"/>
    </row>
    <row r="980" spans="255:256" ht="15" hidden="1" x14ac:dyDescent="0.25">
      <c r="IU980"/>
      <c r="IV980"/>
    </row>
    <row r="981" spans="255:256" ht="15" hidden="1" x14ac:dyDescent="0.25">
      <c r="IU981"/>
      <c r="IV981"/>
    </row>
    <row r="982" spans="255:256" ht="15" hidden="1" x14ac:dyDescent="0.25">
      <c r="IU982"/>
      <c r="IV982"/>
    </row>
    <row r="983" spans="255:256" ht="15" hidden="1" x14ac:dyDescent="0.25">
      <c r="IU983"/>
      <c r="IV983"/>
    </row>
    <row r="984" spans="255:256" ht="15" hidden="1" x14ac:dyDescent="0.25">
      <c r="IU984"/>
      <c r="IV984"/>
    </row>
    <row r="985" spans="255:256" ht="15" hidden="1" x14ac:dyDescent="0.25">
      <c r="IU985"/>
      <c r="IV985"/>
    </row>
    <row r="986" spans="255:256" ht="15" hidden="1" x14ac:dyDescent="0.25">
      <c r="IU986"/>
      <c r="IV986"/>
    </row>
    <row r="987" spans="255:256" ht="15" hidden="1" x14ac:dyDescent="0.25">
      <c r="IU987"/>
      <c r="IV987"/>
    </row>
    <row r="988" spans="255:256" ht="15" hidden="1" x14ac:dyDescent="0.25">
      <c r="IU988"/>
      <c r="IV988"/>
    </row>
    <row r="989" spans="255:256" ht="15" hidden="1" x14ac:dyDescent="0.25">
      <c r="IU989"/>
      <c r="IV989"/>
    </row>
    <row r="990" spans="255:256" ht="15" hidden="1" x14ac:dyDescent="0.25">
      <c r="IU990"/>
      <c r="IV990"/>
    </row>
    <row r="991" spans="255:256" ht="15" hidden="1" x14ac:dyDescent="0.25">
      <c r="IU991"/>
      <c r="IV991"/>
    </row>
    <row r="992" spans="255:256" ht="15" hidden="1" x14ac:dyDescent="0.25">
      <c r="IU992"/>
      <c r="IV992"/>
    </row>
    <row r="993" spans="255:256" ht="15" hidden="1" x14ac:dyDescent="0.25">
      <c r="IU993"/>
      <c r="IV993"/>
    </row>
    <row r="994" spans="255:256" ht="15" hidden="1" x14ac:dyDescent="0.25">
      <c r="IU994"/>
      <c r="IV994"/>
    </row>
    <row r="995" spans="255:256" ht="15" hidden="1" x14ac:dyDescent="0.25">
      <c r="IU995"/>
      <c r="IV995"/>
    </row>
    <row r="996" spans="255:256" ht="15" hidden="1" x14ac:dyDescent="0.25">
      <c r="IU996"/>
      <c r="IV996"/>
    </row>
    <row r="997" spans="255:256" ht="15" hidden="1" x14ac:dyDescent="0.25">
      <c r="IU997"/>
      <c r="IV997"/>
    </row>
    <row r="998" spans="255:256" ht="15" hidden="1" x14ac:dyDescent="0.25">
      <c r="IU998"/>
      <c r="IV998"/>
    </row>
    <row r="999" spans="255:256" ht="15" hidden="1" x14ac:dyDescent="0.25">
      <c r="IU999"/>
      <c r="IV999"/>
    </row>
    <row r="1000" spans="255:256" ht="15" hidden="1" x14ac:dyDescent="0.25">
      <c r="IU1000"/>
      <c r="IV1000"/>
    </row>
  </sheetData>
  <sheetProtection algorithmName="SHA-512" hashValue="2+f2ixe6WR66jcBAIMIU6pyGmvY016nwjFo3jZdpMknVO3cbtTM+lyhnCdD18/NJQJeKwIeM99Pel2zh/23igQ==" saltValue="nQJSxdjwghr+ApXm2h4HEw==" spinCount="100000" sheet="1" objects="1" scenarios="1"/>
  <mergeCells count="9">
    <mergeCell ref="C1:E1"/>
    <mergeCell ref="E10:G10"/>
    <mergeCell ref="E3:G3"/>
    <mergeCell ref="C16:I16"/>
    <mergeCell ref="C18:I18"/>
    <mergeCell ref="C8:E8"/>
    <mergeCell ref="F8:I8"/>
    <mergeCell ref="F14:H14"/>
    <mergeCell ref="C9:C11"/>
  </mergeCells>
  <dataValidations count="4">
    <dataValidation type="whole" allowBlank="1" showErrorMessage="1" error="Amount should be Non negative, no deciaml, not exceeding 14 digits" sqref="I4">
      <formula1>0</formula1>
      <formula2>99999999999999</formula2>
    </dataValidation>
    <dataValidation type="whole" allowBlank="1" showErrorMessage="1" errorTitle="TotalDedUs10Sub" error="TotalDedUs10Sub  Non negative, no decimal, upto 99,999,999,999,999" sqref="I5 I14">
      <formula1>0</formula1>
      <formula2>99999999999999</formula2>
    </dataValidation>
    <dataValidation type="list" allowBlank="1" showInputMessage="1" showErrorMessage="1" sqref="H4 H11:H13">
      <formula1>AssYearUnit</formula1>
    </dataValidation>
    <dataValidation type="whole" allowBlank="1" showErrorMessage="1" errorTitle="DedFromUndertaking" error="Amount should be Non negative, no deciaml, not exceeding 14 digits" sqref="I11:I13">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9708" r:id="rId5" name="Button 12">
              <controlPr defaultSize="0" print="0" autoFill="0" autoPict="0" macro="[0]!AddRows_AA10">
                <anchor moveWithCells="1">
                  <from>
                    <xdr:col>2</xdr:col>
                    <xdr:colOff>28575</xdr:colOff>
                    <xdr:row>15</xdr:row>
                    <xdr:rowOff>28575</xdr:rowOff>
                  </from>
                  <to>
                    <xdr:col>5</xdr:col>
                    <xdr:colOff>295275</xdr:colOff>
                    <xdr:row>15</xdr:row>
                    <xdr:rowOff>295275</xdr:rowOff>
                  </to>
                </anchor>
              </controlPr>
            </control>
          </mc:Choice>
        </mc:AlternateContent>
        <mc:AlternateContent xmlns:mc="http://schemas.openxmlformats.org/markup-compatibility/2006">
          <mc:Choice Requires="x14">
            <control shapeId="29712" r:id="rId6" name="Button 16">
              <controlPr defaultSize="0" print="0" autoFill="0" autoPict="0" macro="[0]!ValidateSheet10AClick">
                <anchor>
                  <from>
                    <xdr:col>10</xdr:col>
                    <xdr:colOff>133350</xdr:colOff>
                    <xdr:row>7</xdr:row>
                    <xdr:rowOff>133350</xdr:rowOff>
                  </from>
                  <to>
                    <xdr:col>10</xdr:col>
                    <xdr:colOff>1504950</xdr:colOff>
                    <xdr:row>8</xdr:row>
                    <xdr:rowOff>219075</xdr:rowOff>
                  </to>
                </anchor>
              </controlPr>
            </control>
          </mc:Choice>
        </mc:AlternateContent>
        <mc:AlternateContent xmlns:mc="http://schemas.openxmlformats.org/markup-compatibility/2006">
          <mc:Choice Requires="x14">
            <control shapeId="29714" r:id="rId7" name="Button 18">
              <controlPr defaultSize="0" print="0" autoFill="0" autoPict="0" macro="[0]!Prev_Sheet">
                <anchor>
                  <from>
                    <xdr:col>10</xdr:col>
                    <xdr:colOff>133350</xdr:colOff>
                    <xdr:row>9</xdr:row>
                    <xdr:rowOff>285750</xdr:rowOff>
                  </from>
                  <to>
                    <xdr:col>10</xdr:col>
                    <xdr:colOff>1504950</xdr:colOff>
                    <xdr:row>10</xdr:row>
                    <xdr:rowOff>114300</xdr:rowOff>
                  </to>
                </anchor>
              </controlPr>
            </control>
          </mc:Choice>
        </mc:AlternateContent>
        <mc:AlternateContent xmlns:mc="http://schemas.openxmlformats.org/markup-compatibility/2006">
          <mc:Choice Requires="x14">
            <control shapeId="29715" r:id="rId8" name="Button 19">
              <controlPr defaultSize="0" print="0" autoFill="0" autoPict="0" macro="[0]!Img_Home_Click">
                <anchor>
                  <from>
                    <xdr:col>10</xdr:col>
                    <xdr:colOff>133350</xdr:colOff>
                    <xdr:row>6</xdr:row>
                    <xdr:rowOff>28575</xdr:rowOff>
                  </from>
                  <to>
                    <xdr:col>10</xdr:col>
                    <xdr:colOff>1504950</xdr:colOff>
                    <xdr:row>7</xdr:row>
                    <xdr:rowOff>114300</xdr:rowOff>
                  </to>
                </anchor>
              </controlPr>
            </control>
          </mc:Choice>
        </mc:AlternateContent>
        <mc:AlternateContent xmlns:mc="http://schemas.openxmlformats.org/markup-compatibility/2006">
          <mc:Choice Requires="x14">
            <control shapeId="29717" r:id="rId9" name="Button 21">
              <controlPr defaultSize="0" print="0" autoFill="0" autoPict="0" macro="[0]!Next_Sheet">
                <anchor>
                  <from>
                    <xdr:col>10</xdr:col>
                    <xdr:colOff>133350</xdr:colOff>
                    <xdr:row>8</xdr:row>
                    <xdr:rowOff>247650</xdr:rowOff>
                  </from>
                  <to>
                    <xdr:col>10</xdr:col>
                    <xdr:colOff>1504950</xdr:colOff>
                    <xdr:row>9</xdr:row>
                    <xdr:rowOff>257175</xdr:rowOff>
                  </to>
                </anchor>
              </controlPr>
            </control>
          </mc:Choice>
        </mc:AlternateContent>
        <mc:AlternateContent xmlns:mc="http://schemas.openxmlformats.org/markup-compatibility/2006">
          <mc:Choice Requires="x14">
            <control shapeId="29718" r:id="rId10" name="Button 22">
              <controlPr defaultSize="0" print="0" autoFill="0" autoPict="0" macro="[0]!Instruction_Sheet">
                <anchor>
                  <from>
                    <xdr:col>10</xdr:col>
                    <xdr:colOff>133350</xdr:colOff>
                    <xdr:row>14</xdr:row>
                    <xdr:rowOff>38100</xdr:rowOff>
                  </from>
                  <to>
                    <xdr:col>10</xdr:col>
                    <xdr:colOff>1504950</xdr:colOff>
                    <xdr:row>15</xdr:row>
                    <xdr:rowOff>114300</xdr:rowOff>
                  </to>
                </anchor>
              </controlPr>
            </control>
          </mc:Choice>
        </mc:AlternateContent>
        <mc:AlternateContent xmlns:mc="http://schemas.openxmlformats.org/markup-compatibility/2006">
          <mc:Choice Requires="x14">
            <control shapeId="29719" r:id="rId11" name="Button 23">
              <controlPr defaultSize="0" print="0" autoFill="0" autoPict="0" macro="[0]!WorksheetsPrint">
                <anchor>
                  <from>
                    <xdr:col>10</xdr:col>
                    <xdr:colOff>133350</xdr:colOff>
                    <xdr:row>12</xdr:row>
                    <xdr:rowOff>95250</xdr:rowOff>
                  </from>
                  <to>
                    <xdr:col>10</xdr:col>
                    <xdr:colOff>1504950</xdr:colOff>
                    <xdr:row>14</xdr:row>
                    <xdr:rowOff>19050</xdr:rowOff>
                  </to>
                </anchor>
              </controlPr>
            </control>
          </mc:Choice>
        </mc:AlternateContent>
        <mc:AlternateContent xmlns:mc="http://schemas.openxmlformats.org/markup-compatibility/2006">
          <mc:Choice Requires="x14">
            <control shapeId="29720" r:id="rId12" name="Button 24">
              <controlPr defaultSize="0" print="0" autoFill="0" autoPict="0" macro="[0]!GenerateJSON.GenerateJSON">
                <anchor>
                  <from>
                    <xdr:col>10</xdr:col>
                    <xdr:colOff>133350</xdr:colOff>
                    <xdr:row>10</xdr:row>
                    <xdr:rowOff>142875</xdr:rowOff>
                  </from>
                  <to>
                    <xdr:col>10</xdr:col>
                    <xdr:colOff>1504950</xdr:colOff>
                    <xdr:row>12</xdr:row>
                    <xdr:rowOff>66675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XFC1000"/>
  <sheetViews>
    <sheetView showGridLines="0" showRowColHeaders="0" zoomScaleNormal="100" workbookViewId="0">
      <selection activeCell="H7" sqref="H7"/>
    </sheetView>
  </sheetViews>
  <sheetFormatPr defaultColWidth="0" defaultRowHeight="15" zeroHeight="1" x14ac:dyDescent="0.25"/>
  <cols>
    <col min="1" max="1" width="3.140625" style="113" customWidth="1"/>
    <col min="2" max="2" width="4" style="113" customWidth="1"/>
    <col min="3" max="3" width="14.5703125" style="113" customWidth="1"/>
    <col min="4" max="4" width="6.7109375" style="113" customWidth="1"/>
    <col min="5" max="5" width="13.85546875" style="113" customWidth="1"/>
    <col min="6" max="6" width="10.85546875" style="113" customWidth="1"/>
    <col min="7" max="7" width="12.28515625" style="113" customWidth="1"/>
    <col min="8" max="8" width="11.42578125" style="113" customWidth="1"/>
    <col min="9" max="9" width="12.7109375" style="113" customWidth="1"/>
    <col min="10" max="10" width="13.140625" style="113" customWidth="1"/>
    <col min="11" max="11" width="17.7109375" style="113" customWidth="1"/>
    <col min="12" max="12" width="18.42578125" style="113" customWidth="1"/>
    <col min="13" max="13" width="17.140625" style="117" customWidth="1"/>
    <col min="14" max="14" width="17.7109375" style="117" customWidth="1"/>
    <col min="15" max="15" width="4.28515625" style="117" customWidth="1"/>
    <col min="16" max="16" width="23.85546875" style="117" customWidth="1"/>
    <col min="17" max="20" width="2" style="113" hidden="1"/>
    <col min="21" max="21" width="8.140625" style="113" hidden="1"/>
    <col min="22" max="24" width="2" style="113" hidden="1"/>
    <col min="25" max="16383" width="2" hidden="1"/>
    <col min="16384" max="16384" width="2.140625" hidden="1"/>
  </cols>
  <sheetData>
    <row r="1" spans="1:256" ht="15.75" thickBot="1" x14ac:dyDescent="0.3"/>
    <row r="2" spans="1:256" x14ac:dyDescent="0.25">
      <c r="B2" s="1794"/>
      <c r="C2" s="1795"/>
      <c r="D2" s="1795"/>
      <c r="E2" s="1795"/>
      <c r="F2" s="1795"/>
      <c r="G2" s="1795"/>
      <c r="H2" s="1795"/>
      <c r="I2" s="1795"/>
      <c r="J2" s="1795"/>
      <c r="K2" s="1795"/>
      <c r="L2" s="1795"/>
      <c r="M2" s="1830"/>
      <c r="N2" s="1830"/>
      <c r="O2" s="1843"/>
      <c r="P2" s="354"/>
      <c r="Q2" s="117"/>
    </row>
    <row r="3" spans="1:256" ht="12.75" customHeight="1" x14ac:dyDescent="0.25">
      <c r="B3" s="1797"/>
      <c r="C3" s="1941" t="s">
        <v>1158</v>
      </c>
      <c r="D3" s="3097" t="s">
        <v>8227</v>
      </c>
      <c r="E3" s="3097"/>
      <c r="F3" s="3097"/>
      <c r="G3" s="3097"/>
      <c r="H3" s="3097"/>
      <c r="I3" s="3097"/>
      <c r="J3" s="3097"/>
      <c r="K3" s="3097"/>
      <c r="L3" s="3097"/>
      <c r="M3" s="3097"/>
      <c r="N3" s="3097"/>
      <c r="O3" s="1836"/>
      <c r="P3" s="354"/>
      <c r="Q3" s="117"/>
    </row>
    <row r="4" spans="1:256" ht="12.75" customHeight="1" x14ac:dyDescent="0.25">
      <c r="B4" s="1797"/>
      <c r="C4" s="201" t="s">
        <v>309</v>
      </c>
      <c r="D4" s="3068" t="s">
        <v>1159</v>
      </c>
      <c r="E4" s="3068"/>
      <c r="F4" s="3068"/>
      <c r="G4" s="3068"/>
      <c r="H4" s="3068"/>
      <c r="I4" s="3068"/>
      <c r="J4" s="3068"/>
      <c r="K4" s="3068"/>
      <c r="L4" s="3068"/>
      <c r="M4" s="3068"/>
      <c r="N4" s="3068"/>
      <c r="O4" s="1836"/>
      <c r="P4" s="354"/>
      <c r="Q4" s="117"/>
      <c r="S4" s="379">
        <f>SUM(PerYES10080G.EligibleAmt)</f>
        <v>0</v>
      </c>
      <c r="T4" s="379">
        <f>SUM(Per5080G.EligibleAmt)</f>
        <v>0</v>
      </c>
      <c r="U4" s="379">
        <f>ROUND(0.1*MAX(0,(TotalPendingIncome-(SUM('VI-A'!K6:K22)+SUM('VI-A'!K25)+SUM('VI-A'!K26)+MIN(60000,scvia.Section80GG)+SUM('VI-A'!K29:K38)+SUM('VI-A'!K41:K43)))),0)</f>
        <v>0</v>
      </c>
      <c r="V4" s="379">
        <f>QualifyingAmount80G</f>
        <v>0</v>
      </c>
      <c r="W4" s="379">
        <f>MAX(0,ROUND((CD_EligibleAmount-C_Eligible)/2,0))</f>
        <v>0</v>
      </c>
    </row>
    <row r="5" spans="1:256" ht="25.5" customHeight="1" x14ac:dyDescent="0.25">
      <c r="B5" s="1797"/>
      <c r="C5" s="1870"/>
      <c r="D5" s="3364" t="s">
        <v>9636</v>
      </c>
      <c r="E5" s="3778" t="s">
        <v>1160</v>
      </c>
      <c r="F5" s="3778" t="s">
        <v>1161</v>
      </c>
      <c r="G5" s="3778" t="s">
        <v>1162</v>
      </c>
      <c r="H5" s="3778" t="s">
        <v>1163</v>
      </c>
      <c r="I5" s="3778" t="s">
        <v>1164</v>
      </c>
      <c r="J5" s="3778" t="s">
        <v>1165</v>
      </c>
      <c r="K5" s="3780" t="s">
        <v>1166</v>
      </c>
      <c r="L5" s="3780"/>
      <c r="M5" s="3780"/>
      <c r="N5" s="3778" t="s">
        <v>1167</v>
      </c>
      <c r="O5" s="1836"/>
      <c r="P5" s="354"/>
      <c r="Q5" s="117"/>
      <c r="R5" s="379">
        <f>salary.IncOfCurYrAfterSetOffBFLosses+hp.IncOfCurYrAfterSetOffBFLosses1+busipofincl.IncOfCurYrAfterSetOffBFLosses2+busipofinclspec.IncOfCurYrAfterSetOffBFLosses2a+busipofinclspecified.IncOfCurYrAfterSetOffBFLosses2b+stcg.IncOfCurYrAfterSetOffBFLosses3b+othsrcincl.IncOfCurYrAfterSetOffBFLosses5+rh.IncOfCurYrAfterSetOffBFLosses6+SI_111+SI_115BBC+SI_115Ea</f>
        <v>0</v>
      </c>
    </row>
    <row r="6" spans="1:256" ht="25.5" x14ac:dyDescent="0.25">
      <c r="B6" s="1797"/>
      <c r="C6" s="1871"/>
      <c r="D6" s="3365"/>
      <c r="E6" s="3779"/>
      <c r="F6" s="3779"/>
      <c r="G6" s="3779"/>
      <c r="H6" s="3779"/>
      <c r="I6" s="3779"/>
      <c r="J6" s="3779"/>
      <c r="K6" s="108" t="s">
        <v>8961</v>
      </c>
      <c r="L6" s="1343" t="s">
        <v>8962</v>
      </c>
      <c r="M6" s="1343" t="s">
        <v>8976</v>
      </c>
      <c r="N6" s="3779"/>
      <c r="O6" s="1836"/>
      <c r="P6" s="354"/>
      <c r="Q6" s="117"/>
      <c r="R6" s="117"/>
    </row>
    <row r="7" spans="1:256" x14ac:dyDescent="0.25">
      <c r="B7" s="1797"/>
      <c r="C7" s="1871"/>
      <c r="D7" s="767">
        <v>1</v>
      </c>
      <c r="E7" s="2039" t="s">
        <v>23</v>
      </c>
      <c r="F7" s="2039" t="s">
        <v>23</v>
      </c>
      <c r="G7" s="2039" t="s">
        <v>23</v>
      </c>
      <c r="H7" s="285" t="s">
        <v>12672</v>
      </c>
      <c r="I7" s="1976"/>
      <c r="J7" s="40"/>
      <c r="K7" s="2034"/>
      <c r="L7" s="1973"/>
      <c r="M7" s="1391">
        <f>SUM(K7,L7)</f>
        <v>0</v>
      </c>
      <c r="N7" s="1391">
        <f>MIN(VALUE(SUM(IF(K7&gt;2000,0,K7),L7)),TotalPendingIncome)</f>
        <v>0</v>
      </c>
      <c r="O7" s="1836"/>
      <c r="P7" s="354"/>
      <c r="Q7" s="117"/>
      <c r="R7" s="117"/>
    </row>
    <row r="8" spans="1:256" x14ac:dyDescent="0.25">
      <c r="B8" s="1797"/>
      <c r="C8" s="1871"/>
      <c r="D8" s="767">
        <f>D7+1</f>
        <v>2</v>
      </c>
      <c r="E8" s="2596"/>
      <c r="F8" s="2596"/>
      <c r="G8" s="2596"/>
      <c r="H8" s="285" t="s">
        <v>12672</v>
      </c>
      <c r="I8" s="1976"/>
      <c r="J8" s="40" t="s">
        <v>23</v>
      </c>
      <c r="K8" s="2595"/>
      <c r="L8" s="1973"/>
      <c r="M8" s="1391">
        <f>SUM(K8,L8)</f>
        <v>0</v>
      </c>
      <c r="N8" s="1391">
        <f>MIN(VALUE(SUM(IF(K8&gt;2000,0,K8),L8)),TotalPendingIncome)</f>
        <v>0</v>
      </c>
      <c r="O8" s="1836"/>
      <c r="P8" s="354"/>
      <c r="Q8" s="117"/>
      <c r="R8" s="117"/>
    </row>
    <row r="9" spans="1:256" x14ac:dyDescent="0.25">
      <c r="B9" s="1797"/>
      <c r="C9" s="1871"/>
      <c r="D9" s="767">
        <f>D8+1</f>
        <v>3</v>
      </c>
      <c r="E9" s="2039"/>
      <c r="F9" s="2039"/>
      <c r="G9" s="2039"/>
      <c r="H9" s="285" t="s">
        <v>12672</v>
      </c>
      <c r="I9" s="1976"/>
      <c r="J9" s="40"/>
      <c r="K9" s="2034"/>
      <c r="L9" s="1973"/>
      <c r="M9" s="1391">
        <f>SUM(K9,L9)</f>
        <v>0</v>
      </c>
      <c r="N9" s="1391">
        <f>MIN(VALUE(SUM(IF(K9&gt;2000,0,K9),L9)),TotalPendingIncome)</f>
        <v>0</v>
      </c>
      <c r="O9" s="1836"/>
      <c r="P9" s="354"/>
      <c r="Q9" s="117"/>
      <c r="R9" s="117"/>
    </row>
    <row r="10" spans="1:256" x14ac:dyDescent="0.25">
      <c r="B10" s="1797"/>
      <c r="C10" s="1872"/>
      <c r="D10" s="767">
        <f>D9+1</f>
        <v>4</v>
      </c>
      <c r="E10" s="2039"/>
      <c r="F10" s="2039"/>
      <c r="G10" s="2039"/>
      <c r="H10" s="285" t="s">
        <v>12672</v>
      </c>
      <c r="I10" s="1976"/>
      <c r="J10" s="40"/>
      <c r="K10" s="2034"/>
      <c r="L10" s="1973"/>
      <c r="M10" s="1391">
        <f>SUM(K10,L10)</f>
        <v>0</v>
      </c>
      <c r="N10" s="1391">
        <f>MIN(VALUE(SUM(IF(K10&gt;2000,0,K10),L10)),TotalPendingIncome)</f>
        <v>0</v>
      </c>
      <c r="O10" s="1836"/>
      <c r="P10" s="354"/>
      <c r="Q10" s="117"/>
      <c r="R10" s="117"/>
    </row>
    <row r="11" spans="1:256" s="2155" customFormat="1" x14ac:dyDescent="0.25">
      <c r="A11" s="113"/>
      <c r="B11" s="1797"/>
      <c r="C11" s="1872"/>
      <c r="D11" s="767">
        <f>D10+1</f>
        <v>5</v>
      </c>
      <c r="E11" s="2153"/>
      <c r="F11" s="2153"/>
      <c r="G11" s="2153"/>
      <c r="H11" s="285" t="s">
        <v>12672</v>
      </c>
      <c r="I11" s="1976"/>
      <c r="J11" s="40"/>
      <c r="K11" s="2152"/>
      <c r="L11" s="1973"/>
      <c r="M11" s="2156">
        <f>SUM(K11,L11)</f>
        <v>0</v>
      </c>
      <c r="N11" s="2156">
        <f>MIN(VALUE(SUM(IF(K11&gt;2000,0,K11),L11)),TotalPendingIncome)</f>
        <v>0</v>
      </c>
      <c r="O11" s="1836"/>
      <c r="P11" s="354"/>
      <c r="Q11" s="117"/>
      <c r="R11" s="117"/>
      <c r="S11" s="113"/>
      <c r="T11" s="113"/>
      <c r="U11" s="113"/>
      <c r="V11" s="113"/>
      <c r="W11" s="113"/>
      <c r="X11" s="113"/>
    </row>
    <row r="12" spans="1:256" s="117" customFormat="1" ht="12.75" customHeight="1" x14ac:dyDescent="0.25">
      <c r="B12" s="1801"/>
      <c r="C12" s="1133"/>
      <c r="D12" s="1133"/>
      <c r="E12" s="1133"/>
      <c r="F12" s="1133"/>
      <c r="G12" s="1133"/>
      <c r="H12" s="1133"/>
      <c r="I12" s="1133"/>
      <c r="J12" s="1133"/>
      <c r="K12" s="1873"/>
      <c r="L12" s="1873"/>
      <c r="M12" s="1873"/>
      <c r="N12" s="1873"/>
      <c r="O12" s="1836"/>
      <c r="P12" s="35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75" customHeight="1" x14ac:dyDescent="0.25">
      <c r="B13" s="1797"/>
      <c r="C13" s="768"/>
      <c r="D13" s="3692" t="s">
        <v>8900</v>
      </c>
      <c r="E13" s="3714"/>
      <c r="F13" s="3714"/>
      <c r="G13" s="3714"/>
      <c r="H13" s="3714"/>
      <c r="I13" s="3714"/>
      <c r="J13" s="3777"/>
      <c r="K13" s="2030">
        <f>SUM(Per10080G.DonationInCash)</f>
        <v>0</v>
      </c>
      <c r="L13" s="2030">
        <f>SUM(Per10080G.DonationAmt)</f>
        <v>0</v>
      </c>
      <c r="M13" s="1391">
        <f>SUM(Per10080G.TotalDonationAmt)</f>
        <v>0</v>
      </c>
      <c r="N13" s="1391">
        <f>ROUND(MIN(SUM(Per10080G.EligibleAmt),TotalPendingIncome),0)</f>
        <v>0</v>
      </c>
      <c r="O13" s="1836"/>
      <c r="P13" s="354"/>
      <c r="Q13" s="117"/>
      <c r="R13" s="117"/>
    </row>
    <row r="14" spans="1:256" x14ac:dyDescent="0.25">
      <c r="B14" s="1797"/>
      <c r="C14" s="1133"/>
      <c r="D14" s="3309"/>
      <c r="E14" s="3309"/>
      <c r="F14" s="3309"/>
      <c r="G14" s="3309"/>
      <c r="H14" s="1133"/>
      <c r="I14" s="1133"/>
      <c r="J14" s="1133"/>
      <c r="K14" s="1133"/>
      <c r="L14" s="1133"/>
      <c r="M14" s="1133"/>
      <c r="N14" s="1133"/>
      <c r="O14" s="1836"/>
      <c r="P14" s="354"/>
      <c r="Q14" s="117"/>
    </row>
    <row r="15" spans="1:256" x14ac:dyDescent="0.25">
      <c r="B15" s="1797"/>
      <c r="C15" s="1133"/>
      <c r="D15" s="3309"/>
      <c r="E15" s="3309"/>
      <c r="F15" s="3309"/>
      <c r="G15" s="3309"/>
      <c r="H15" s="1133"/>
      <c r="I15" s="1133"/>
      <c r="J15" s="1133"/>
      <c r="K15" s="1133"/>
      <c r="L15" s="1133"/>
      <c r="M15" s="1133"/>
      <c r="N15" s="1133"/>
      <c r="O15" s="1836"/>
      <c r="P15" s="354"/>
      <c r="Q15" s="117"/>
    </row>
    <row r="16" spans="1:256" x14ac:dyDescent="0.25">
      <c r="B16" s="1797"/>
      <c r="C16" s="1133"/>
      <c r="D16" s="1133"/>
      <c r="E16" s="1133"/>
      <c r="F16" s="1133"/>
      <c r="G16" s="1133"/>
      <c r="H16" s="1133"/>
      <c r="I16" s="1133"/>
      <c r="J16" s="1133"/>
      <c r="K16" s="1133"/>
      <c r="L16" s="1133"/>
      <c r="M16" s="1133"/>
      <c r="N16" s="1133"/>
      <c r="O16" s="1836"/>
      <c r="P16" s="354"/>
      <c r="Q16" s="117"/>
    </row>
    <row r="17" spans="1:24" ht="12.75" customHeight="1" x14ac:dyDescent="0.25">
      <c r="B17" s="1797"/>
      <c r="C17" s="8" t="s">
        <v>312</v>
      </c>
      <c r="D17" s="3068" t="s">
        <v>1168</v>
      </c>
      <c r="E17" s="3068"/>
      <c r="F17" s="3068"/>
      <c r="G17" s="3068"/>
      <c r="H17" s="3068"/>
      <c r="I17" s="3068"/>
      <c r="J17" s="3068"/>
      <c r="K17" s="3068"/>
      <c r="L17" s="3068"/>
      <c r="M17" s="3068"/>
      <c r="N17" s="3068"/>
      <c r="O17" s="1836"/>
      <c r="P17" s="354"/>
      <c r="Q17" s="117"/>
    </row>
    <row r="18" spans="1:24" ht="25.5" customHeight="1" x14ac:dyDescent="0.25">
      <c r="B18" s="1797"/>
      <c r="C18" s="50"/>
      <c r="D18" s="3364" t="s">
        <v>9636</v>
      </c>
      <c r="E18" s="3778" t="s">
        <v>1160</v>
      </c>
      <c r="F18" s="3778" t="s">
        <v>1161</v>
      </c>
      <c r="G18" s="3778" t="s">
        <v>1162</v>
      </c>
      <c r="H18" s="3778" t="s">
        <v>1163</v>
      </c>
      <c r="I18" s="3778" t="s">
        <v>1164</v>
      </c>
      <c r="J18" s="3778" t="s">
        <v>1165</v>
      </c>
      <c r="K18" s="3780" t="s">
        <v>1166</v>
      </c>
      <c r="L18" s="3780"/>
      <c r="M18" s="3780"/>
      <c r="N18" s="3778" t="s">
        <v>1167</v>
      </c>
      <c r="O18" s="1836"/>
      <c r="P18" s="354"/>
      <c r="Q18" s="117"/>
      <c r="R18" s="117"/>
    </row>
    <row r="19" spans="1:24" ht="25.5" x14ac:dyDescent="0.25">
      <c r="B19" s="1797"/>
      <c r="C19" s="59"/>
      <c r="D19" s="3365"/>
      <c r="E19" s="3779"/>
      <c r="F19" s="3779"/>
      <c r="G19" s="3779"/>
      <c r="H19" s="3779"/>
      <c r="I19" s="3779"/>
      <c r="J19" s="3779"/>
      <c r="K19" s="31" t="s">
        <v>8961</v>
      </c>
      <c r="L19" s="35" t="s">
        <v>8962</v>
      </c>
      <c r="M19" s="35" t="s">
        <v>8976</v>
      </c>
      <c r="N19" s="3779"/>
      <c r="O19" s="1836"/>
      <c r="P19" s="354"/>
      <c r="Q19" s="117"/>
      <c r="R19" s="117"/>
    </row>
    <row r="20" spans="1:24" x14ac:dyDescent="0.25">
      <c r="B20" s="1797"/>
      <c r="C20" s="59"/>
      <c r="D20" s="770">
        <v>1</v>
      </c>
      <c r="E20" s="2596"/>
      <c r="F20" s="2596"/>
      <c r="G20" s="2596"/>
      <c r="H20" s="285" t="s">
        <v>12672</v>
      </c>
      <c r="I20" s="1976"/>
      <c r="J20" s="40"/>
      <c r="K20" s="2595"/>
      <c r="L20" s="1973"/>
      <c r="M20" s="1391">
        <f>SUM(K20,L20)</f>
        <v>0</v>
      </c>
      <c r="N20" s="1391">
        <f>ROUND(MIN(VALUE(SUM(IF(K20&gt;2000,0,K20),L20))/2,TotalPendingIncome),0)</f>
        <v>0</v>
      </c>
      <c r="O20" s="1836"/>
      <c r="P20" s="354"/>
      <c r="Q20" s="117"/>
      <c r="R20" s="117"/>
    </row>
    <row r="21" spans="1:24" x14ac:dyDescent="0.25">
      <c r="B21" s="1797"/>
      <c r="C21" s="59"/>
      <c r="D21" s="770">
        <f>D20+1</f>
        <v>2</v>
      </c>
      <c r="E21" s="2518"/>
      <c r="F21" s="2518"/>
      <c r="G21" s="2518"/>
      <c r="H21" s="285" t="s">
        <v>12672</v>
      </c>
      <c r="I21" s="1976"/>
      <c r="J21" s="40"/>
      <c r="K21" s="2517"/>
      <c r="L21" s="1973"/>
      <c r="M21" s="1391">
        <f>SUM(K21,L21)</f>
        <v>0</v>
      </c>
      <c r="N21" s="1391">
        <f>ROUND(MIN(VALUE(SUM(IF(K21&gt;2000,0,K21),L21))/2,TotalPendingIncome),0)</f>
        <v>0</v>
      </c>
      <c r="O21" s="1836"/>
      <c r="P21" s="354"/>
      <c r="Q21" s="117"/>
      <c r="R21" s="117"/>
      <c r="S21" s="1178"/>
      <c r="T21" s="309" t="s">
        <v>1600</v>
      </c>
      <c r="U21" s="144">
        <f>MIN(IF(AND(MID(sheet1.PAN,4,1)="P",MID(sheet1.Status,1,1)="I"),(VIASumWithout80G80GG+ scvia.Section80GG),( VIASumWithout80G80GG)),Sheet8b.GrossTotalIncome)</f>
        <v>0</v>
      </c>
    </row>
    <row r="22" spans="1:24" x14ac:dyDescent="0.25">
      <c r="B22" s="1797"/>
      <c r="C22" s="59"/>
      <c r="D22" s="770">
        <f>D21+1</f>
        <v>3</v>
      </c>
      <c r="E22" s="2039"/>
      <c r="F22" s="2039"/>
      <c r="G22" s="2039"/>
      <c r="H22" s="285" t="s">
        <v>12672</v>
      </c>
      <c r="I22" s="1976"/>
      <c r="J22" s="40"/>
      <c r="K22" s="2034"/>
      <c r="L22" s="1973"/>
      <c r="M22" s="1391">
        <f>SUM(K22,L22)</f>
        <v>0</v>
      </c>
      <c r="N22" s="1391">
        <f>ROUND(MIN(VALUE(SUM(IF(K22&gt;2000,0,K22),L22))/2,TotalPendingIncome),0)</f>
        <v>0</v>
      </c>
      <c r="O22" s="1836"/>
      <c r="P22" s="354"/>
      <c r="Q22" s="117"/>
      <c r="R22" s="117"/>
      <c r="S22" s="1151"/>
      <c r="T22" s="310" t="s">
        <v>1601</v>
      </c>
      <c r="U22" s="144">
        <f>MAX(0,IF(Sheet8b.GrossTotalIncome=Sheet8b.IncChargeableTaxSplRates,0,Sheet8b.GrossTotalIncome-deductionsSysTotal-Sheet8b.IncChargeableTaxSplRates+SI_111+SI_115Ea+SI_115BBC+SI_PTI_115EA+SI_PTI_115BBC))</f>
        <v>0</v>
      </c>
    </row>
    <row r="23" spans="1:24" x14ac:dyDescent="0.25">
      <c r="B23" s="1797"/>
      <c r="C23" s="60"/>
      <c r="D23" s="770">
        <f>D22+1</f>
        <v>4</v>
      </c>
      <c r="E23" s="2039"/>
      <c r="F23" s="2039"/>
      <c r="G23" s="2039"/>
      <c r="H23" s="285" t="s">
        <v>12672</v>
      </c>
      <c r="I23" s="1976"/>
      <c r="J23" s="40"/>
      <c r="K23" s="2034"/>
      <c r="L23" s="1973"/>
      <c r="M23" s="1391">
        <f>SUM(K23,L23)</f>
        <v>0</v>
      </c>
      <c r="N23" s="1391">
        <f>ROUND(MIN(VALUE(SUM(IF(K23&gt;2000,0,K23),L23))/2,TotalPendingIncome),0)</f>
        <v>0</v>
      </c>
      <c r="O23" s="1836"/>
      <c r="P23" s="354"/>
      <c r="Q23" s="117"/>
      <c r="R23" s="117"/>
      <c r="S23" s="1151"/>
      <c r="T23" s="310" t="s">
        <v>1602</v>
      </c>
      <c r="U23" s="144">
        <f>ROUND(MAX(adjstGTI*0.1),0)</f>
        <v>0</v>
      </c>
    </row>
    <row r="24" spans="1:24" s="2155" customFormat="1" x14ac:dyDescent="0.25">
      <c r="A24" s="113"/>
      <c r="B24" s="1797"/>
      <c r="C24" s="2157"/>
      <c r="D24" s="770">
        <f>D23+1</f>
        <v>5</v>
      </c>
      <c r="E24" s="2153"/>
      <c r="F24" s="2153"/>
      <c r="G24" s="2153"/>
      <c r="H24" s="285" t="s">
        <v>12672</v>
      </c>
      <c r="I24" s="1976"/>
      <c r="J24" s="40"/>
      <c r="K24" s="2152"/>
      <c r="L24" s="1973"/>
      <c r="M24" s="2156">
        <f>SUM(K24,L24)</f>
        <v>0</v>
      </c>
      <c r="N24" s="2156">
        <f>ROUND(MIN(VALUE(SUM(IF(K24&gt;2000,0,K24),L24))/2,TotalPendingIncome),0)</f>
        <v>0</v>
      </c>
      <c r="O24" s="1836"/>
      <c r="P24" s="354"/>
      <c r="Q24" s="117"/>
      <c r="R24" s="117"/>
      <c r="S24" s="2154"/>
      <c r="T24" s="310"/>
      <c r="U24" s="2151">
        <f>ROUND(MAX(adjstGTI*0.1),0)</f>
        <v>0</v>
      </c>
      <c r="V24" s="113"/>
      <c r="W24" s="113"/>
      <c r="X24" s="113"/>
    </row>
    <row r="25" spans="1:24" ht="12.75" customHeight="1" x14ac:dyDescent="0.25">
      <c r="B25" s="1797"/>
      <c r="C25" s="1133"/>
      <c r="D25" s="1133"/>
      <c r="E25" s="1133"/>
      <c r="F25" s="1133"/>
      <c r="G25" s="1133"/>
      <c r="H25" s="1133"/>
      <c r="I25" s="1133"/>
      <c r="J25" s="1133"/>
      <c r="K25" s="1873"/>
      <c r="L25" s="1873"/>
      <c r="M25" s="1873"/>
      <c r="N25" s="1873"/>
      <c r="O25" s="1836"/>
      <c r="P25" s="354"/>
      <c r="Q25" s="117"/>
      <c r="S25" s="1151" t="s">
        <v>1603</v>
      </c>
      <c r="T25" s="383">
        <f>IF(TRUNC(qualifyingLimit)&gt;PerYES10080G.TotElig100Percent,qualifyingLimit-PerYES10080G.TotElig100Percent,0)</f>
        <v>0</v>
      </c>
      <c r="U25" s="144"/>
    </row>
    <row r="26" spans="1:24" ht="12.75" customHeight="1" x14ac:dyDescent="0.25">
      <c r="B26" s="1797"/>
      <c r="C26" s="771"/>
      <c r="D26" s="3692" t="s">
        <v>8901</v>
      </c>
      <c r="E26" s="3714"/>
      <c r="F26" s="3714"/>
      <c r="G26" s="3714"/>
      <c r="H26" s="3714"/>
      <c r="I26" s="3714"/>
      <c r="J26" s="3777"/>
      <c r="K26" s="1508">
        <f>SUM(PerNO5080G.DonationInCash)</f>
        <v>0</v>
      </c>
      <c r="L26" s="1508">
        <f>SUM(PerNO5080G.DonationAmt)</f>
        <v>0</v>
      </c>
      <c r="M26" s="1391">
        <f>SUM(PerNO5080G.TotalDonationAmt)</f>
        <v>0</v>
      </c>
      <c r="N26" s="1391">
        <f>ROUND(MIN(SUM(PerNO5080G.EligibleAmt),TotalPendingIncome),0)</f>
        <v>0</v>
      </c>
      <c r="O26" s="1836"/>
      <c r="P26" s="354"/>
      <c r="Q26" s="117"/>
      <c r="R26" s="117"/>
      <c r="S26" s="263"/>
      <c r="T26" s="328" t="s">
        <v>1604</v>
      </c>
      <c r="U26" s="144"/>
    </row>
    <row r="27" spans="1:24" x14ac:dyDescent="0.25">
      <c r="B27" s="1797"/>
      <c r="C27" s="1133"/>
      <c r="D27" s="3309"/>
      <c r="E27" s="3309"/>
      <c r="F27" s="3309"/>
      <c r="G27" s="3309"/>
      <c r="H27" s="1133"/>
      <c r="I27" s="1133"/>
      <c r="J27" s="1133"/>
      <c r="K27" s="1133"/>
      <c r="L27" s="1133"/>
      <c r="M27" s="1133"/>
      <c r="N27" s="1133"/>
      <c r="O27" s="1836"/>
      <c r="P27" s="354"/>
      <c r="Q27" s="117"/>
    </row>
    <row r="28" spans="1:24" x14ac:dyDescent="0.25">
      <c r="B28" s="1797"/>
      <c r="C28" s="1133"/>
      <c r="D28" s="3309"/>
      <c r="E28" s="3309"/>
      <c r="F28" s="3309"/>
      <c r="G28" s="3309"/>
      <c r="H28" s="1133"/>
      <c r="I28" s="1133"/>
      <c r="J28" s="1133"/>
      <c r="K28" s="1133"/>
      <c r="L28" s="1133"/>
      <c r="M28" s="1133"/>
      <c r="N28" s="1133"/>
      <c r="O28" s="1836"/>
      <c r="P28" s="354"/>
      <c r="Q28" s="117"/>
    </row>
    <row r="29" spans="1:24" ht="9.75" hidden="1" customHeight="1" x14ac:dyDescent="0.25">
      <c r="B29" s="1797"/>
      <c r="C29" s="1133"/>
      <c r="D29" s="1133"/>
      <c r="E29" s="1133"/>
      <c r="F29" s="1133"/>
      <c r="G29" s="1133"/>
      <c r="H29" s="1133"/>
      <c r="I29" s="1133"/>
      <c r="J29" s="1133"/>
      <c r="K29" s="1133"/>
      <c r="L29" s="1133"/>
      <c r="M29" s="1133"/>
      <c r="N29" s="1133"/>
      <c r="O29" s="1836"/>
      <c r="P29" s="354"/>
      <c r="Q29" s="117"/>
      <c r="S29" s="735" t="s">
        <v>1605</v>
      </c>
      <c r="T29" s="294">
        <f>SUM('VI-A'!K6:K20,'VI-A'!K26,'VI-A'!K29:K38,'VI-A'!K41:K44)</f>
        <v>0</v>
      </c>
    </row>
    <row r="30" spans="1:24" x14ac:dyDescent="0.25">
      <c r="B30" s="1797"/>
      <c r="C30" s="1133"/>
      <c r="D30" s="1133"/>
      <c r="E30" s="1133"/>
      <c r="F30" s="1133"/>
      <c r="G30" s="1133"/>
      <c r="H30" s="1133"/>
      <c r="I30" s="1133"/>
      <c r="J30" s="1133"/>
      <c r="K30" s="1133"/>
      <c r="L30" s="1133"/>
      <c r="M30" s="1133"/>
      <c r="N30" s="1133"/>
      <c r="O30" s="1836"/>
      <c r="P30" s="354"/>
      <c r="Q30" s="117"/>
    </row>
    <row r="31" spans="1:24" ht="15" customHeight="1" x14ac:dyDescent="0.25">
      <c r="B31" s="1797"/>
      <c r="C31" s="8" t="s">
        <v>315</v>
      </c>
      <c r="D31" s="3776" t="s">
        <v>1169</v>
      </c>
      <c r="E31" s="3776"/>
      <c r="F31" s="3776"/>
      <c r="G31" s="3776"/>
      <c r="H31" s="3776"/>
      <c r="I31" s="3776"/>
      <c r="J31" s="3776"/>
      <c r="K31" s="3776"/>
      <c r="L31" s="3776"/>
      <c r="M31" s="3776"/>
      <c r="N31" s="3776"/>
      <c r="O31" s="1836"/>
      <c r="P31" s="354"/>
      <c r="Q31" s="117"/>
    </row>
    <row r="32" spans="1:24" x14ac:dyDescent="0.25">
      <c r="B32" s="1797"/>
      <c r="C32" s="50"/>
      <c r="D32" s="3364" t="s">
        <v>9636</v>
      </c>
      <c r="E32" s="3778" t="s">
        <v>1160</v>
      </c>
      <c r="F32" s="3778" t="s">
        <v>1161</v>
      </c>
      <c r="G32" s="3778" t="s">
        <v>1170</v>
      </c>
      <c r="H32" s="3778" t="s">
        <v>1163</v>
      </c>
      <c r="I32" s="3778" t="s">
        <v>1164</v>
      </c>
      <c r="J32" s="3778" t="s">
        <v>1165</v>
      </c>
      <c r="K32" s="3780" t="s">
        <v>1166</v>
      </c>
      <c r="L32" s="3780"/>
      <c r="M32" s="3780"/>
      <c r="N32" s="3778" t="s">
        <v>1167</v>
      </c>
      <c r="O32" s="1836"/>
      <c r="P32" s="354"/>
      <c r="Q32" s="117"/>
      <c r="R32" s="117"/>
    </row>
    <row r="33" spans="1:24" ht="25.5" x14ac:dyDescent="0.25">
      <c r="B33" s="1797"/>
      <c r="C33" s="59"/>
      <c r="D33" s="3365"/>
      <c r="E33" s="3779"/>
      <c r="F33" s="3779"/>
      <c r="G33" s="3779"/>
      <c r="H33" s="3779"/>
      <c r="I33" s="3779"/>
      <c r="J33" s="3779"/>
      <c r="K33" s="31" t="s">
        <v>8961</v>
      </c>
      <c r="L33" s="35" t="s">
        <v>8962</v>
      </c>
      <c r="M33" s="35" t="s">
        <v>8976</v>
      </c>
      <c r="N33" s="3779"/>
      <c r="O33" s="1836"/>
      <c r="P33" s="354"/>
      <c r="Q33" s="117"/>
      <c r="R33" s="117"/>
    </row>
    <row r="34" spans="1:24" x14ac:dyDescent="0.25">
      <c r="B34" s="1797"/>
      <c r="C34" s="59"/>
      <c r="D34" s="770">
        <v>1</v>
      </c>
      <c r="E34" s="2596"/>
      <c r="F34" s="2596"/>
      <c r="G34" s="2596"/>
      <c r="H34" s="285" t="s">
        <v>12672</v>
      </c>
      <c r="I34" s="1976"/>
      <c r="J34" s="40"/>
      <c r="K34" s="2595"/>
      <c r="L34" s="1973"/>
      <c r="M34" s="1391">
        <f>SUM(K34,L34)</f>
        <v>0</v>
      </c>
      <c r="N34" s="1391">
        <f>ROUND(MIN(MIN(VALUE(SUM(IF(K34&gt;2000,0,K34),L34)),TotalPendingIncome),QualifyingAmount80G),0)</f>
        <v>0</v>
      </c>
      <c r="O34" s="1836"/>
      <c r="P34" s="354"/>
      <c r="Q34" s="117"/>
      <c r="R34" s="117"/>
    </row>
    <row r="35" spans="1:24" x14ac:dyDescent="0.25">
      <c r="B35" s="1797"/>
      <c r="C35" s="59"/>
      <c r="D35" s="770">
        <f>D34+1</f>
        <v>2</v>
      </c>
      <c r="E35" s="2039"/>
      <c r="F35" s="2039"/>
      <c r="G35" s="2039"/>
      <c r="H35" s="285" t="s">
        <v>12672</v>
      </c>
      <c r="I35" s="1976"/>
      <c r="J35" s="40" t="s">
        <v>23</v>
      </c>
      <c r="K35" s="2034"/>
      <c r="L35" s="1973"/>
      <c r="M35" s="1391">
        <f>SUM(K35,L35)</f>
        <v>0</v>
      </c>
      <c r="N35" s="1391">
        <f>ROUND(MIN(MIN(VALUE(SUM(IF(K35&gt;2000,0,K35),L35)),TotalPendingIncome),QualifyingAmount80G),0)</f>
        <v>0</v>
      </c>
      <c r="O35" s="1836"/>
      <c r="P35" s="354"/>
      <c r="Q35" s="117"/>
      <c r="R35" s="117"/>
    </row>
    <row r="36" spans="1:24" x14ac:dyDescent="0.25">
      <c r="B36" s="1797"/>
      <c r="C36" s="59"/>
      <c r="D36" s="770">
        <f>D35+1</f>
        <v>3</v>
      </c>
      <c r="E36" s="2039"/>
      <c r="F36" s="2039"/>
      <c r="G36" s="2039"/>
      <c r="H36" s="285" t="s">
        <v>12672</v>
      </c>
      <c r="I36" s="1976"/>
      <c r="J36" s="40"/>
      <c r="K36" s="2034"/>
      <c r="L36" s="1973"/>
      <c r="M36" s="1391">
        <f>SUM(K36,L36)</f>
        <v>0</v>
      </c>
      <c r="N36" s="1391">
        <f>ROUND(MIN(MIN(VALUE(SUM(IF(K36&gt;2000,0,K36),L36)),TotalPendingIncome),QualifyingAmount80G),0)</f>
        <v>0</v>
      </c>
      <c r="O36" s="1836"/>
      <c r="P36" s="354"/>
      <c r="Q36" s="117"/>
      <c r="R36" s="117"/>
    </row>
    <row r="37" spans="1:24" x14ac:dyDescent="0.25">
      <c r="B37" s="1797"/>
      <c r="C37" s="60"/>
      <c r="D37" s="770">
        <f>D36+1</f>
        <v>4</v>
      </c>
      <c r="E37" s="2039"/>
      <c r="F37" s="2039"/>
      <c r="G37" s="2039"/>
      <c r="H37" s="285" t="s">
        <v>12672</v>
      </c>
      <c r="I37" s="1976"/>
      <c r="J37" s="40"/>
      <c r="K37" s="2034"/>
      <c r="L37" s="1973"/>
      <c r="M37" s="1391">
        <f>SUM(K37,L37)</f>
        <v>0</v>
      </c>
      <c r="N37" s="1391">
        <f>ROUND(MIN(MIN(VALUE(SUM(IF(K37&gt;2000,0,K37),L37)),TotalPendingIncome),QualifyingAmount80G),0)</f>
        <v>0</v>
      </c>
      <c r="O37" s="1836"/>
      <c r="P37" s="354"/>
      <c r="Q37" s="117"/>
      <c r="R37" s="117"/>
    </row>
    <row r="38" spans="1:24" s="2155" customFormat="1" x14ac:dyDescent="0.25">
      <c r="A38" s="113"/>
      <c r="B38" s="1797"/>
      <c r="C38" s="2157"/>
      <c r="D38" s="770">
        <f>D37+1</f>
        <v>5</v>
      </c>
      <c r="E38" s="2153"/>
      <c r="F38" s="2153"/>
      <c r="G38" s="2153"/>
      <c r="H38" s="285" t="s">
        <v>12672</v>
      </c>
      <c r="I38" s="1976"/>
      <c r="J38" s="40"/>
      <c r="K38" s="2152"/>
      <c r="L38" s="1973"/>
      <c r="M38" s="2156">
        <f>SUM(K38,L38)</f>
        <v>0</v>
      </c>
      <c r="N38" s="2156">
        <f>ROUND(MIN(MIN(VALUE(SUM(IF(K38&gt;2000,0,K38),L38)),TotalPendingIncome),QualifyingAmount80G),0)</f>
        <v>0</v>
      </c>
      <c r="O38" s="1836"/>
      <c r="P38" s="354"/>
      <c r="Q38" s="117"/>
      <c r="R38" s="117"/>
      <c r="S38" s="113"/>
      <c r="T38" s="113"/>
      <c r="U38" s="113"/>
      <c r="V38" s="113"/>
      <c r="W38" s="113"/>
      <c r="X38" s="113"/>
    </row>
    <row r="39" spans="1:24" ht="12.75" customHeight="1" x14ac:dyDescent="0.25">
      <c r="B39" s="1797"/>
      <c r="C39" s="1133"/>
      <c r="D39" s="1133"/>
      <c r="E39" s="1133"/>
      <c r="F39" s="1133"/>
      <c r="G39" s="1133"/>
      <c r="H39" s="1133"/>
      <c r="I39" s="1133"/>
      <c r="J39" s="1133"/>
      <c r="K39" s="1873"/>
      <c r="L39" s="1873"/>
      <c r="M39" s="1873"/>
      <c r="N39" s="1873"/>
      <c r="O39" s="1836"/>
      <c r="P39" s="354"/>
      <c r="Q39" s="117"/>
    </row>
    <row r="40" spans="1:24" ht="12.75" customHeight="1" x14ac:dyDescent="0.25">
      <c r="B40" s="1797"/>
      <c r="C40" s="771"/>
      <c r="D40" s="3781" t="s">
        <v>8902</v>
      </c>
      <c r="E40" s="3782"/>
      <c r="F40" s="3782"/>
      <c r="G40" s="3782"/>
      <c r="H40" s="3782"/>
      <c r="I40" s="3782"/>
      <c r="J40" s="3783"/>
      <c r="K40" s="1509">
        <f>SUM(PerYES10080G.DonationInCash)</f>
        <v>0</v>
      </c>
      <c r="L40" s="1509">
        <f>SUM(PerYES10080G.DonationAmt)</f>
        <v>0</v>
      </c>
      <c r="M40" s="1391">
        <f>SUM(PerYES10080G.TotalDonationAmt)</f>
        <v>0</v>
      </c>
      <c r="N40" s="1391">
        <f>ROUND(MIN(C_Eligible,CD_EligibleAmount),0)</f>
        <v>0</v>
      </c>
      <c r="O40" s="1836"/>
      <c r="P40" s="354"/>
      <c r="Q40" s="117"/>
      <c r="R40" s="117"/>
    </row>
    <row r="41" spans="1:24" x14ac:dyDescent="0.25">
      <c r="B41" s="1797"/>
      <c r="C41" s="1133"/>
      <c r="D41" s="3309"/>
      <c r="E41" s="3309"/>
      <c r="F41" s="3309"/>
      <c r="G41" s="3309"/>
      <c r="H41" s="1133"/>
      <c r="I41" s="1133"/>
      <c r="J41" s="1133"/>
      <c r="K41" s="1133"/>
      <c r="L41" s="1133"/>
      <c r="M41" s="1133"/>
      <c r="N41" s="1133"/>
      <c r="O41" s="1836"/>
      <c r="P41" s="354"/>
      <c r="Q41" s="117"/>
    </row>
    <row r="42" spans="1:24" x14ac:dyDescent="0.25">
      <c r="B42" s="1797"/>
      <c r="C42" s="1133"/>
      <c r="D42" s="3309"/>
      <c r="E42" s="3309"/>
      <c r="F42" s="3309"/>
      <c r="G42" s="3309"/>
      <c r="H42" s="1133"/>
      <c r="I42" s="1133"/>
      <c r="J42" s="1133"/>
      <c r="K42" s="1133"/>
      <c r="L42" s="1133"/>
      <c r="M42" s="1133"/>
      <c r="N42" s="1133"/>
      <c r="O42" s="1836"/>
      <c r="P42" s="354"/>
      <c r="Q42" s="117"/>
    </row>
    <row r="43" spans="1:24" x14ac:dyDescent="0.25">
      <c r="B43" s="1797"/>
      <c r="C43" s="1133"/>
      <c r="D43" s="1133"/>
      <c r="E43" s="1133"/>
      <c r="F43" s="1133"/>
      <c r="G43" s="1133"/>
      <c r="H43" s="1133"/>
      <c r="I43" s="1133"/>
      <c r="J43" s="1133"/>
      <c r="K43" s="1133"/>
      <c r="L43" s="1133"/>
      <c r="M43" s="1133"/>
      <c r="N43" s="1133"/>
      <c r="O43" s="1836"/>
      <c r="P43" s="354"/>
      <c r="Q43" s="117"/>
    </row>
    <row r="44" spans="1:24" ht="12.75" customHeight="1" x14ac:dyDescent="0.25">
      <c r="B44" s="1797"/>
      <c r="C44" s="8" t="s">
        <v>355</v>
      </c>
      <c r="D44" s="3776" t="s">
        <v>1171</v>
      </c>
      <c r="E44" s="3776"/>
      <c r="F44" s="3776"/>
      <c r="G44" s="3776"/>
      <c r="H44" s="3776"/>
      <c r="I44" s="3776"/>
      <c r="J44" s="3776"/>
      <c r="K44" s="3776"/>
      <c r="L44" s="3776"/>
      <c r="M44" s="3776"/>
      <c r="N44" s="3776"/>
      <c r="O44" s="1836"/>
      <c r="P44" s="354"/>
      <c r="Q44" s="117"/>
    </row>
    <row r="45" spans="1:24" x14ac:dyDescent="0.25">
      <c r="B45" s="1797"/>
      <c r="C45" s="50"/>
      <c r="D45" s="3364" t="s">
        <v>9636</v>
      </c>
      <c r="E45" s="3778" t="s">
        <v>1160</v>
      </c>
      <c r="F45" s="3778" t="s">
        <v>1161</v>
      </c>
      <c r="G45" s="3778" t="s">
        <v>1170</v>
      </c>
      <c r="H45" s="3778" t="s">
        <v>1163</v>
      </c>
      <c r="I45" s="3778" t="s">
        <v>1164</v>
      </c>
      <c r="J45" s="3778" t="s">
        <v>1165</v>
      </c>
      <c r="K45" s="3780" t="s">
        <v>1166</v>
      </c>
      <c r="L45" s="3780"/>
      <c r="M45" s="3780"/>
      <c r="N45" s="3778" t="s">
        <v>1167</v>
      </c>
      <c r="O45" s="1836"/>
      <c r="P45" s="354"/>
      <c r="Q45" s="117"/>
      <c r="R45" s="117"/>
    </row>
    <row r="46" spans="1:24" ht="25.5" x14ac:dyDescent="0.25">
      <c r="B46" s="1797"/>
      <c r="C46" s="59"/>
      <c r="D46" s="3365"/>
      <c r="E46" s="3779"/>
      <c r="F46" s="3779"/>
      <c r="G46" s="3779"/>
      <c r="H46" s="3779"/>
      <c r="I46" s="3779"/>
      <c r="J46" s="3779"/>
      <c r="K46" s="31" t="s">
        <v>8961</v>
      </c>
      <c r="L46" s="35" t="s">
        <v>8962</v>
      </c>
      <c r="M46" s="35" t="s">
        <v>8976</v>
      </c>
      <c r="N46" s="3779"/>
      <c r="O46" s="1836"/>
      <c r="P46" s="354"/>
      <c r="Q46" s="117"/>
      <c r="R46" s="117"/>
    </row>
    <row r="47" spans="1:24" x14ac:dyDescent="0.25">
      <c r="B47" s="1797"/>
      <c r="C47" s="59"/>
      <c r="D47" s="770">
        <v>1</v>
      </c>
      <c r="E47" s="2596"/>
      <c r="F47" s="2596"/>
      <c r="G47" s="2596"/>
      <c r="H47" s="285" t="s">
        <v>12672</v>
      </c>
      <c r="I47" s="1976"/>
      <c r="J47" s="40"/>
      <c r="K47" s="2595"/>
      <c r="L47" s="1973"/>
      <c r="M47" s="1391">
        <f>SUM(K47,L47)</f>
        <v>0</v>
      </c>
      <c r="N47" s="1391">
        <f>ROUND(MIN(TotalPendingIncome,MIN(CDE_EligibleAmount,VALUE(SUM(IF(K47&gt;2000,0,K47),L47)/2))),0)</f>
        <v>0</v>
      </c>
      <c r="O47" s="1836"/>
      <c r="P47" s="354"/>
      <c r="Q47" s="117"/>
      <c r="R47" s="1001">
        <f>IF(K47&gt;2000,0,K47)</f>
        <v>0</v>
      </c>
    </row>
    <row r="48" spans="1:24" x14ac:dyDescent="0.25">
      <c r="B48" s="1797"/>
      <c r="C48" s="59"/>
      <c r="D48" s="770">
        <f>D47+1</f>
        <v>2</v>
      </c>
      <c r="E48" s="2039"/>
      <c r="F48" s="2039"/>
      <c r="G48" s="2039"/>
      <c r="H48" s="285" t="s">
        <v>12672</v>
      </c>
      <c r="I48" s="1976"/>
      <c r="J48" s="40" t="s">
        <v>23</v>
      </c>
      <c r="K48" s="2034"/>
      <c r="L48" s="1973"/>
      <c r="M48" s="1391">
        <f>SUM(K48,L48)</f>
        <v>0</v>
      </c>
      <c r="N48" s="1391">
        <f>ROUND(MIN(TotalPendingIncome,MIN(CDE_EligibleAmount,VALUE(SUM(IF(K48&gt;2000,0,K48),L48)/2))),0)</f>
        <v>0</v>
      </c>
      <c r="O48" s="1836"/>
      <c r="P48" s="354"/>
      <c r="Q48" s="117"/>
      <c r="R48" s="1001">
        <f>IF(K48&gt;2000,0,K48)</f>
        <v>0</v>
      </c>
    </row>
    <row r="49" spans="1:24" x14ac:dyDescent="0.25">
      <c r="B49" s="1797"/>
      <c r="C49" s="59"/>
      <c r="D49" s="770">
        <f>D48+1</f>
        <v>3</v>
      </c>
      <c r="E49" s="2039"/>
      <c r="F49" s="2039"/>
      <c r="G49" s="2039"/>
      <c r="H49" s="285" t="s">
        <v>12672</v>
      </c>
      <c r="I49" s="1976"/>
      <c r="J49" s="40"/>
      <c r="K49" s="2034"/>
      <c r="L49" s="1973"/>
      <c r="M49" s="1391">
        <f>SUM(K49,L49)</f>
        <v>0</v>
      </c>
      <c r="N49" s="1391">
        <f>ROUND(MIN(TotalPendingIncome,MIN(CDE_EligibleAmount,VALUE(SUM(IF(K49&gt;2000,0,K49),L49)/2))),0)</f>
        <v>0</v>
      </c>
      <c r="O49" s="1836"/>
      <c r="P49" s="354"/>
      <c r="Q49" s="117"/>
      <c r="R49" s="1001">
        <f>IF(K49&gt;2000,0,K49)</f>
        <v>0</v>
      </c>
    </row>
    <row r="50" spans="1:24" x14ac:dyDescent="0.25">
      <c r="B50" s="1797"/>
      <c r="C50" s="60"/>
      <c r="D50" s="770">
        <f>D49+1</f>
        <v>4</v>
      </c>
      <c r="E50" s="2039"/>
      <c r="F50" s="2039"/>
      <c r="G50" s="2039"/>
      <c r="H50" s="285" t="s">
        <v>12672</v>
      </c>
      <c r="I50" s="1976"/>
      <c r="J50" s="40"/>
      <c r="K50" s="2034"/>
      <c r="L50" s="1973"/>
      <c r="M50" s="1391">
        <f>SUM(K50,L50)</f>
        <v>0</v>
      </c>
      <c r="N50" s="1391">
        <f>ROUND(MIN(TotalPendingIncome,MIN(CDE_EligibleAmount,VALUE(SUM(IF(K50&gt;2000,0,K50),L50)/2))),0)</f>
        <v>0</v>
      </c>
      <c r="O50" s="1836"/>
      <c r="P50" s="354"/>
      <c r="Q50" s="117"/>
      <c r="R50" s="1001">
        <f>IF(K50&gt;2000,0,K50)</f>
        <v>0</v>
      </c>
    </row>
    <row r="51" spans="1:24" s="2155" customFormat="1" x14ac:dyDescent="0.25">
      <c r="A51" s="113"/>
      <c r="B51" s="1797"/>
      <c r="C51" s="2157"/>
      <c r="D51" s="770">
        <f>D50+1</f>
        <v>5</v>
      </c>
      <c r="E51" s="2153"/>
      <c r="F51" s="2153"/>
      <c r="G51" s="2153"/>
      <c r="H51" s="285" t="s">
        <v>12672</v>
      </c>
      <c r="I51" s="1976"/>
      <c r="J51" s="40"/>
      <c r="K51" s="2152"/>
      <c r="L51" s="1973"/>
      <c r="M51" s="2156">
        <f>SUM(K51,L51)</f>
        <v>0</v>
      </c>
      <c r="N51" s="2156">
        <f>ROUND(MIN(TotalPendingIncome,MIN(CDE_EligibleAmount,VALUE(SUM(IF(K51&gt;2000,0,K51),L51)/2))),0)</f>
        <v>0</v>
      </c>
      <c r="O51" s="1836"/>
      <c r="P51" s="354"/>
      <c r="Q51" s="117"/>
      <c r="R51" s="1001">
        <f>IF(K51&gt;2000,0,K51)</f>
        <v>0</v>
      </c>
      <c r="S51" s="113"/>
      <c r="T51" s="113"/>
      <c r="U51" s="113"/>
      <c r="V51" s="113"/>
      <c r="W51" s="113"/>
      <c r="X51" s="113"/>
    </row>
    <row r="52" spans="1:24" ht="12.75" customHeight="1" x14ac:dyDescent="0.25">
      <c r="B52" s="1797"/>
      <c r="C52" s="1133"/>
      <c r="D52" s="1133"/>
      <c r="E52" s="1133"/>
      <c r="F52" s="1133"/>
      <c r="G52" s="1133"/>
      <c r="H52" s="1133"/>
      <c r="I52" s="1133"/>
      <c r="J52" s="1133"/>
      <c r="K52" s="1873"/>
      <c r="L52" s="1873"/>
      <c r="M52" s="1873"/>
      <c r="N52" s="1873"/>
      <c r="O52" s="1836"/>
      <c r="P52" s="354"/>
      <c r="Q52" s="117"/>
    </row>
    <row r="53" spans="1:24" ht="12.75" customHeight="1" x14ac:dyDescent="0.25">
      <c r="B53" s="1797"/>
      <c r="C53" s="771"/>
      <c r="D53" s="3692" t="s">
        <v>8903</v>
      </c>
      <c r="E53" s="3714"/>
      <c r="F53" s="3714"/>
      <c r="G53" s="3714"/>
      <c r="H53" s="3714"/>
      <c r="I53" s="3714"/>
      <c r="J53" s="3777"/>
      <c r="K53" s="1510">
        <f>SUM(Per5080G.DonationInCash)</f>
        <v>0</v>
      </c>
      <c r="L53" s="1510">
        <f>SUM(Per5080G.DonationAmt)</f>
        <v>0</v>
      </c>
      <c r="M53" s="1391">
        <f>SUM(Per5080G.TotalDonationAmt)</f>
        <v>0</v>
      </c>
      <c r="N53" s="1391">
        <f>ROUND(MIN(TotalPendingIncome,MIN(CDE_EligibleAmount,VALUE((SUM(Per5080G.DonationInCash1)+L53)/2))),0)</f>
        <v>0</v>
      </c>
      <c r="O53" s="1836"/>
      <c r="P53" s="354"/>
      <c r="Q53" s="117"/>
      <c r="R53" s="117"/>
      <c r="T53" s="144">
        <f>ROUND(MIN(TotalPendingIncome,MIN(CDE_EligibleAmount,VALUE(L53/2))),0)</f>
        <v>0</v>
      </c>
    </row>
    <row r="54" spans="1:24" x14ac:dyDescent="0.25">
      <c r="B54" s="1797"/>
      <c r="C54" s="1133"/>
      <c r="D54" s="3309"/>
      <c r="E54" s="3309"/>
      <c r="F54" s="3309"/>
      <c r="G54" s="3309"/>
      <c r="H54" s="1133"/>
      <c r="I54" s="1133"/>
      <c r="J54" s="1133"/>
      <c r="K54" s="1133"/>
      <c r="L54" s="1133"/>
      <c r="M54" s="1133"/>
      <c r="N54" s="1133"/>
      <c r="O54" s="1836"/>
      <c r="P54" s="354"/>
      <c r="Q54" s="117"/>
    </row>
    <row r="55" spans="1:24" x14ac:dyDescent="0.25">
      <c r="B55" s="1797"/>
      <c r="C55" s="1133"/>
      <c r="D55" s="3309"/>
      <c r="E55" s="3309"/>
      <c r="F55" s="3309"/>
      <c r="G55" s="3309"/>
      <c r="H55" s="1133"/>
      <c r="I55" s="1133"/>
      <c r="J55" s="1133"/>
      <c r="K55" s="1133"/>
      <c r="L55" s="1133"/>
      <c r="M55" s="1133"/>
      <c r="N55" s="1133"/>
      <c r="O55" s="1836"/>
      <c r="P55" s="354"/>
      <c r="Q55" s="117"/>
    </row>
    <row r="56" spans="1:24" x14ac:dyDescent="0.25">
      <c r="B56" s="1797"/>
      <c r="C56" s="1133"/>
      <c r="D56" s="1133"/>
      <c r="E56" s="1133"/>
      <c r="F56" s="1133"/>
      <c r="G56" s="1133"/>
      <c r="H56" s="1133"/>
      <c r="I56" s="1133"/>
      <c r="J56" s="1133"/>
      <c r="K56" s="1133"/>
      <c r="L56" s="1133"/>
      <c r="M56" s="1133"/>
      <c r="N56" s="1133"/>
      <c r="O56" s="1836"/>
      <c r="P56" s="354"/>
      <c r="Q56" s="117"/>
    </row>
    <row r="57" spans="1:24" x14ac:dyDescent="0.25">
      <c r="B57" s="1797"/>
      <c r="C57" s="1133"/>
      <c r="D57" s="1133"/>
      <c r="E57" s="1133"/>
      <c r="F57" s="1133"/>
      <c r="G57" s="1133"/>
      <c r="H57" s="1133"/>
      <c r="I57" s="1133"/>
      <c r="J57" s="1133"/>
      <c r="K57" s="1133"/>
      <c r="L57" s="1133"/>
      <c r="M57" s="1133"/>
      <c r="N57" s="1133"/>
      <c r="O57" s="1836"/>
      <c r="P57" s="354"/>
      <c r="Q57" s="117"/>
    </row>
    <row r="58" spans="1:24" ht="12.75" customHeight="1" x14ac:dyDescent="0.25">
      <c r="B58" s="1797"/>
      <c r="C58" s="8" t="s">
        <v>358</v>
      </c>
      <c r="D58" s="3017" t="s">
        <v>7371</v>
      </c>
      <c r="E58" s="3015"/>
      <c r="F58" s="3015"/>
      <c r="G58" s="3015"/>
      <c r="H58" s="3015"/>
      <c r="I58" s="3015"/>
      <c r="J58" s="3016"/>
      <c r="K58" s="1511">
        <f>SUM(Per10080G.TotDon100Percent_InCash,PerNO5080G.TotDon100Percent_InCash,PerYES10080G.TotDon100Percent_InCash,Per5080G.TotDon100Percent_InCash)</f>
        <v>0</v>
      </c>
      <c r="L58" s="1391">
        <f>SUM(Per5080G.TotDon100Percent,PerYES10080G.TotDon100Percent,PerNO5080G.TotDon100Percent,Per10080G.TotDon100Percent)</f>
        <v>0</v>
      </c>
      <c r="M58" s="1391">
        <f>SUM(Per5080G.TotDon100Percent_Total,PerYES10080G.TotDon100Percent_Total,PerNO5080G.TotDon100Percent_Total,Per10080G.TotDon100Percent_Total)</f>
        <v>0</v>
      </c>
      <c r="N58" s="1512">
        <f>IF(bacValue=1,0,ROUND(SUM(Per5080G.TotElig100Percent,PerYES10080G.TotElig100Percent,PerNO5080G.TotElig100Percent,Per10080G.TotElig100Percent),0))</f>
        <v>0</v>
      </c>
      <c r="O58" s="1836"/>
      <c r="P58" s="354"/>
      <c r="Q58" s="117"/>
      <c r="R58" s="117"/>
    </row>
    <row r="59" spans="1:24" x14ac:dyDescent="0.25">
      <c r="B59" s="1797"/>
      <c r="C59" s="3767" t="s">
        <v>11918</v>
      </c>
      <c r="D59" s="3768"/>
      <c r="E59" s="3768"/>
      <c r="F59" s="3768"/>
      <c r="G59" s="3768"/>
      <c r="H59" s="3768"/>
      <c r="I59" s="3768"/>
      <c r="J59" s="3768"/>
      <c r="K59" s="3768"/>
      <c r="L59" s="3768"/>
      <c r="M59" s="3768"/>
      <c r="N59" s="3769"/>
      <c r="O59" s="1836"/>
      <c r="P59" s="354"/>
      <c r="Q59" s="117"/>
    </row>
    <row r="60" spans="1:24" x14ac:dyDescent="0.25">
      <c r="B60" s="1797"/>
      <c r="C60" s="3770"/>
      <c r="D60" s="3771"/>
      <c r="E60" s="3771"/>
      <c r="F60" s="3771"/>
      <c r="G60" s="3771"/>
      <c r="H60" s="3771"/>
      <c r="I60" s="3771"/>
      <c r="J60" s="3771"/>
      <c r="K60" s="3771"/>
      <c r="L60" s="3771"/>
      <c r="M60" s="3771"/>
      <c r="N60" s="3772"/>
      <c r="O60" s="1836"/>
      <c r="P60" s="354"/>
      <c r="Q60" s="117"/>
    </row>
    <row r="61" spans="1:24" x14ac:dyDescent="0.25">
      <c r="B61" s="1797"/>
      <c r="C61" s="3773"/>
      <c r="D61" s="3774"/>
      <c r="E61" s="3774"/>
      <c r="F61" s="3774"/>
      <c r="G61" s="3774"/>
      <c r="H61" s="3774"/>
      <c r="I61" s="3774"/>
      <c r="J61" s="3774"/>
      <c r="K61" s="3774"/>
      <c r="L61" s="3774"/>
      <c r="M61" s="3774"/>
      <c r="N61" s="3775"/>
      <c r="O61" s="1836"/>
      <c r="P61" s="354"/>
      <c r="Q61" s="117"/>
    </row>
    <row r="62" spans="1:24" hidden="1" x14ac:dyDescent="0.25">
      <c r="B62" s="1797"/>
      <c r="C62" s="1941"/>
      <c r="D62" s="3097"/>
      <c r="E62" s="3097"/>
      <c r="F62" s="3097"/>
      <c r="G62" s="3097"/>
      <c r="H62" s="3097"/>
      <c r="I62" s="3097"/>
      <c r="J62" s="3097"/>
      <c r="K62" s="3097"/>
      <c r="L62" s="3097"/>
      <c r="M62" s="3097"/>
      <c r="N62" s="3097"/>
      <c r="O62" s="1836"/>
      <c r="P62" s="354"/>
      <c r="Q62" s="117"/>
    </row>
    <row r="63" spans="1:24" hidden="1" x14ac:dyDescent="0.25">
      <c r="B63" s="1797"/>
      <c r="C63" s="1193"/>
      <c r="D63" s="1133"/>
      <c r="E63" s="1133"/>
      <c r="F63" s="1133"/>
      <c r="G63" s="1133"/>
      <c r="H63" s="1133"/>
      <c r="I63" s="1133"/>
      <c r="J63" s="1133"/>
      <c r="K63" s="1133"/>
      <c r="L63" s="1133"/>
      <c r="M63" s="1133"/>
      <c r="N63" s="1133"/>
      <c r="O63" s="1836"/>
      <c r="P63" s="354"/>
      <c r="Q63" s="117"/>
    </row>
    <row r="64" spans="1:24" hidden="1" x14ac:dyDescent="0.25">
      <c r="B64" s="1797"/>
      <c r="C64" s="1133"/>
      <c r="D64" s="1133"/>
      <c r="E64" s="1133"/>
      <c r="F64" s="1133"/>
      <c r="G64" s="1133"/>
      <c r="H64" s="1133"/>
      <c r="I64" s="1133"/>
      <c r="J64" s="1133"/>
      <c r="K64" s="1133"/>
      <c r="L64" s="1133"/>
      <c r="M64" s="1133"/>
      <c r="N64" s="1133"/>
      <c r="O64" s="1836"/>
      <c r="P64" s="354"/>
      <c r="Q64" s="117"/>
    </row>
    <row r="65" spans="1:24" ht="15.75" thickBot="1" x14ac:dyDescent="0.3">
      <c r="B65" s="1824"/>
      <c r="C65" s="1841"/>
      <c r="D65" s="1841"/>
      <c r="E65" s="1841"/>
      <c r="F65" s="1841"/>
      <c r="G65" s="1841"/>
      <c r="H65" s="1841"/>
      <c r="I65" s="1841"/>
      <c r="J65" s="1841"/>
      <c r="K65" s="1841"/>
      <c r="L65" s="1841"/>
      <c r="M65" s="1841"/>
      <c r="N65" s="1841"/>
      <c r="O65" s="1845"/>
      <c r="P65" s="354"/>
      <c r="Q65" s="117"/>
    </row>
    <row r="66" spans="1:24" ht="20.25" customHeight="1" x14ac:dyDescent="0.25">
      <c r="C66" s="117"/>
      <c r="D66" s="117"/>
      <c r="E66" s="117"/>
      <c r="F66" s="117"/>
      <c r="G66" s="117"/>
      <c r="H66" s="117"/>
      <c r="I66" s="117"/>
      <c r="J66" s="117"/>
      <c r="K66" s="117"/>
      <c r="L66" s="117"/>
    </row>
    <row r="67" spans="1:24" hidden="1" x14ac:dyDescent="0.25">
      <c r="A67"/>
      <c r="B67"/>
      <c r="C67"/>
      <c r="D67"/>
      <c r="E67"/>
      <c r="F67"/>
      <c r="G67"/>
      <c r="H67"/>
      <c r="I67"/>
      <c r="J67"/>
      <c r="K67"/>
      <c r="L67"/>
      <c r="M67"/>
      <c r="N67"/>
      <c r="O67"/>
      <c r="P67"/>
      <c r="Q67"/>
      <c r="R67"/>
      <c r="S67"/>
      <c r="T67"/>
      <c r="U67"/>
      <c r="V67"/>
      <c r="W67"/>
      <c r="X67"/>
    </row>
    <row r="68" spans="1:24" hidden="1" x14ac:dyDescent="0.25">
      <c r="A68"/>
      <c r="B68"/>
      <c r="C68"/>
      <c r="D68"/>
      <c r="E68"/>
      <c r="F68"/>
      <c r="G68"/>
      <c r="H68"/>
      <c r="I68"/>
      <c r="J68"/>
      <c r="K68"/>
      <c r="L68"/>
      <c r="M68"/>
      <c r="N68"/>
      <c r="O68"/>
      <c r="P68"/>
      <c r="Q68"/>
      <c r="R68"/>
      <c r="S68"/>
      <c r="T68"/>
      <c r="U68"/>
      <c r="V68"/>
      <c r="W68"/>
      <c r="X68"/>
    </row>
    <row r="69" spans="1:24" hidden="1" x14ac:dyDescent="0.25">
      <c r="A69"/>
      <c r="B69"/>
      <c r="C69"/>
      <c r="D69"/>
      <c r="E69"/>
      <c r="F69"/>
      <c r="G69"/>
      <c r="H69"/>
      <c r="I69"/>
      <c r="J69"/>
      <c r="K69"/>
      <c r="L69"/>
      <c r="M69"/>
      <c r="N69"/>
      <c r="O69"/>
      <c r="P69"/>
      <c r="Q69"/>
      <c r="R69"/>
      <c r="S69"/>
      <c r="T69"/>
      <c r="U69"/>
      <c r="V69"/>
      <c r="W69"/>
      <c r="X69"/>
    </row>
    <row r="70" spans="1:24" hidden="1" x14ac:dyDescent="0.25">
      <c r="A70"/>
      <c r="B70"/>
      <c r="C70"/>
      <c r="D70"/>
      <c r="E70"/>
      <c r="F70"/>
      <c r="G70"/>
      <c r="H70"/>
      <c r="I70"/>
      <c r="J70"/>
      <c r="K70"/>
      <c r="L70"/>
      <c r="M70"/>
      <c r="N70"/>
      <c r="O70"/>
      <c r="P70"/>
      <c r="Q70"/>
      <c r="R70"/>
      <c r="S70"/>
      <c r="T70"/>
      <c r="U70"/>
      <c r="V70"/>
      <c r="W70"/>
      <c r="X70"/>
    </row>
    <row r="71" spans="1:24" hidden="1" x14ac:dyDescent="0.25">
      <c r="A71"/>
      <c r="B71"/>
      <c r="C71"/>
      <c r="D71"/>
      <c r="E71"/>
      <c r="F71"/>
      <c r="G71"/>
      <c r="H71"/>
      <c r="I71"/>
      <c r="J71"/>
      <c r="K71"/>
      <c r="L71"/>
      <c r="M71"/>
      <c r="N71"/>
      <c r="O71"/>
      <c r="P71"/>
      <c r="Q71"/>
      <c r="R71"/>
      <c r="S71"/>
      <c r="T71"/>
      <c r="U71"/>
      <c r="V71"/>
      <c r="W71"/>
      <c r="X71"/>
    </row>
    <row r="72" spans="1:24" hidden="1" x14ac:dyDescent="0.25">
      <c r="A72"/>
      <c r="B72"/>
      <c r="C72"/>
      <c r="D72"/>
      <c r="E72"/>
      <c r="F72"/>
      <c r="G72"/>
      <c r="H72"/>
      <c r="I72"/>
      <c r="J72"/>
      <c r="K72"/>
      <c r="L72"/>
      <c r="M72"/>
      <c r="N72"/>
      <c r="O72"/>
      <c r="P72"/>
      <c r="Q72"/>
      <c r="R72"/>
      <c r="S72"/>
      <c r="T72"/>
      <c r="U72"/>
      <c r="V72"/>
      <c r="W72"/>
      <c r="X72"/>
    </row>
    <row r="73" spans="1:24" hidden="1" x14ac:dyDescent="0.25">
      <c r="A73"/>
      <c r="B73"/>
      <c r="C73"/>
      <c r="D73"/>
      <c r="E73"/>
      <c r="F73"/>
      <c r="G73"/>
      <c r="H73"/>
      <c r="I73"/>
      <c r="J73"/>
      <c r="K73"/>
      <c r="L73"/>
      <c r="M73"/>
      <c r="N73"/>
      <c r="O73"/>
      <c r="P73"/>
      <c r="Q73"/>
      <c r="R73"/>
      <c r="S73"/>
      <c r="T73"/>
      <c r="U73"/>
      <c r="V73"/>
      <c r="W73"/>
      <c r="X73"/>
    </row>
    <row r="74" spans="1:24" hidden="1" x14ac:dyDescent="0.25">
      <c r="A74"/>
      <c r="B74"/>
      <c r="C74"/>
      <c r="D74"/>
      <c r="E74"/>
      <c r="F74"/>
      <c r="G74"/>
      <c r="H74"/>
      <c r="I74"/>
      <c r="J74"/>
      <c r="K74"/>
      <c r="L74"/>
      <c r="M74"/>
      <c r="N74"/>
      <c r="O74"/>
      <c r="P74"/>
      <c r="Q74"/>
      <c r="R74"/>
      <c r="S74"/>
      <c r="T74"/>
      <c r="U74"/>
      <c r="V74"/>
      <c r="W74"/>
      <c r="X74"/>
    </row>
    <row r="75" spans="1:24" hidden="1" x14ac:dyDescent="0.25">
      <c r="A75"/>
      <c r="B75"/>
      <c r="C75"/>
      <c r="D75"/>
      <c r="E75"/>
      <c r="F75"/>
      <c r="G75"/>
      <c r="H75"/>
      <c r="I75"/>
      <c r="J75"/>
      <c r="K75"/>
      <c r="L75"/>
      <c r="M75"/>
      <c r="N75"/>
      <c r="O75"/>
      <c r="P75"/>
      <c r="Q75"/>
      <c r="R75"/>
      <c r="S75"/>
      <c r="T75"/>
      <c r="U75"/>
      <c r="V75"/>
      <c r="W75"/>
      <c r="X75"/>
    </row>
    <row r="76" spans="1:24" hidden="1" x14ac:dyDescent="0.25">
      <c r="A76"/>
      <c r="B76"/>
      <c r="C76"/>
      <c r="D76"/>
      <c r="E76"/>
      <c r="F76"/>
      <c r="G76"/>
      <c r="H76"/>
      <c r="I76"/>
      <c r="J76"/>
      <c r="K76"/>
      <c r="L76"/>
      <c r="M76"/>
      <c r="N76"/>
      <c r="O76"/>
      <c r="P76"/>
      <c r="Q76"/>
      <c r="R76"/>
      <c r="S76"/>
      <c r="T76"/>
      <c r="U76"/>
      <c r="V76"/>
      <c r="W76"/>
      <c r="X76"/>
    </row>
    <row r="77" spans="1:24" hidden="1" x14ac:dyDescent="0.25">
      <c r="A77"/>
      <c r="B77"/>
      <c r="C77"/>
      <c r="D77"/>
      <c r="E77"/>
      <c r="F77"/>
      <c r="G77"/>
      <c r="H77"/>
      <c r="I77"/>
      <c r="J77"/>
      <c r="K77"/>
      <c r="L77"/>
      <c r="M77"/>
      <c r="N77"/>
      <c r="O77"/>
      <c r="P77"/>
      <c r="Q77"/>
      <c r="R77"/>
      <c r="S77"/>
      <c r="T77"/>
      <c r="U77"/>
      <c r="V77"/>
      <c r="W77"/>
      <c r="X77"/>
    </row>
    <row r="78" spans="1:24" hidden="1" x14ac:dyDescent="0.25">
      <c r="A78"/>
      <c r="B78"/>
      <c r="C78"/>
      <c r="D78"/>
      <c r="E78"/>
      <c r="F78"/>
      <c r="G78"/>
      <c r="H78"/>
      <c r="I78"/>
      <c r="J78"/>
      <c r="K78"/>
      <c r="L78"/>
      <c r="M78"/>
      <c r="N78"/>
      <c r="O78"/>
      <c r="P78"/>
      <c r="Q78"/>
      <c r="R78"/>
      <c r="S78"/>
      <c r="T78"/>
      <c r="U78"/>
      <c r="V78"/>
      <c r="W78"/>
      <c r="X78"/>
    </row>
    <row r="79" spans="1:24" hidden="1" x14ac:dyDescent="0.25">
      <c r="A79"/>
      <c r="B79"/>
      <c r="C79"/>
      <c r="D79"/>
      <c r="E79"/>
      <c r="F79"/>
      <c r="G79"/>
      <c r="H79"/>
      <c r="I79"/>
      <c r="J79"/>
      <c r="K79"/>
      <c r="L79"/>
      <c r="M79"/>
      <c r="N79"/>
      <c r="O79"/>
      <c r="P79"/>
      <c r="Q79"/>
      <c r="R79"/>
      <c r="S79"/>
      <c r="T79"/>
      <c r="U79"/>
      <c r="V79"/>
      <c r="W79"/>
      <c r="X79"/>
    </row>
    <row r="80" spans="1:24" hidden="1" x14ac:dyDescent="0.25">
      <c r="A80"/>
      <c r="B80"/>
      <c r="C80"/>
      <c r="D80"/>
      <c r="E80"/>
      <c r="F80"/>
      <c r="G80"/>
      <c r="H80"/>
      <c r="I80"/>
      <c r="J80"/>
      <c r="K80"/>
      <c r="L80"/>
      <c r="M80"/>
      <c r="N80"/>
      <c r="O80"/>
      <c r="P80"/>
      <c r="Q80"/>
      <c r="R80"/>
      <c r="S80"/>
      <c r="T80"/>
      <c r="U80"/>
      <c r="V80"/>
      <c r="W80"/>
      <c r="X80"/>
    </row>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row r="91" customFormat="1" hidden="1" x14ac:dyDescent="0.25"/>
    <row r="92" customFormat="1" hidden="1" x14ac:dyDescent="0.25"/>
    <row r="93" customFormat="1" hidden="1" x14ac:dyDescent="0.25"/>
    <row r="94" customFormat="1" hidden="1" x14ac:dyDescent="0.25"/>
    <row r="95" customFormat="1" hidden="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hidden="1" x14ac:dyDescent="0.25"/>
    <row r="107" customFormat="1" hidden="1" x14ac:dyDescent="0.25"/>
    <row r="108" customFormat="1" hidden="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idden="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idden="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row r="502" customFormat="1" hidden="1" x14ac:dyDescent="0.25"/>
    <row r="503" customFormat="1" hidden="1" x14ac:dyDescent="0.25"/>
    <row r="504" customFormat="1" hidden="1" x14ac:dyDescent="0.25"/>
    <row r="505" customFormat="1" hidden="1" x14ac:dyDescent="0.25"/>
    <row r="506" customFormat="1" hidden="1" x14ac:dyDescent="0.25"/>
    <row r="507" customFormat="1" hidden="1" x14ac:dyDescent="0.25"/>
    <row r="508" customFormat="1" hidden="1" x14ac:dyDescent="0.25"/>
    <row r="509" customFormat="1" hidden="1" x14ac:dyDescent="0.25"/>
    <row r="510" customFormat="1" hidden="1" x14ac:dyDescent="0.25"/>
    <row r="511" customFormat="1" hidden="1" x14ac:dyDescent="0.25"/>
    <row r="512" customFormat="1" hidden="1" x14ac:dyDescent="0.25"/>
    <row r="513" customFormat="1" hidden="1" x14ac:dyDescent="0.25"/>
    <row r="514" customFormat="1" hidden="1" x14ac:dyDescent="0.25"/>
    <row r="515" customFormat="1" hidden="1" x14ac:dyDescent="0.25"/>
    <row r="516" customFormat="1" hidden="1" x14ac:dyDescent="0.25"/>
    <row r="517" customFormat="1" hidden="1" x14ac:dyDescent="0.25"/>
    <row r="518" customFormat="1" hidden="1" x14ac:dyDescent="0.25"/>
    <row r="519" customFormat="1" hidden="1" x14ac:dyDescent="0.25"/>
    <row r="520" customFormat="1" hidden="1" x14ac:dyDescent="0.25"/>
    <row r="521" customFormat="1" hidden="1" x14ac:dyDescent="0.25"/>
    <row r="522" customFormat="1" hidden="1" x14ac:dyDescent="0.25"/>
    <row r="523" customFormat="1" hidden="1" x14ac:dyDescent="0.25"/>
    <row r="524" customFormat="1" hidden="1" x14ac:dyDescent="0.25"/>
    <row r="525" customFormat="1" hidden="1" x14ac:dyDescent="0.25"/>
    <row r="526" customFormat="1" hidden="1" x14ac:dyDescent="0.25"/>
    <row r="527" customFormat="1" hidden="1" x14ac:dyDescent="0.25"/>
    <row r="528" customFormat="1" hidden="1" x14ac:dyDescent="0.25"/>
    <row r="529" customFormat="1" hidden="1" x14ac:dyDescent="0.25"/>
    <row r="530" customFormat="1" hidden="1" x14ac:dyDescent="0.25"/>
    <row r="531" customFormat="1" hidden="1" x14ac:dyDescent="0.25"/>
    <row r="532" customFormat="1" hidden="1" x14ac:dyDescent="0.25"/>
    <row r="533" customFormat="1" hidden="1" x14ac:dyDescent="0.25"/>
    <row r="534" customFormat="1" hidden="1" x14ac:dyDescent="0.25"/>
    <row r="535" customFormat="1" hidden="1" x14ac:dyDescent="0.25"/>
    <row r="536" customFormat="1" hidden="1" x14ac:dyDescent="0.25"/>
    <row r="537" customFormat="1" hidden="1" x14ac:dyDescent="0.25"/>
    <row r="538" customFormat="1" hidden="1" x14ac:dyDescent="0.25"/>
    <row r="539" customFormat="1" hidden="1" x14ac:dyDescent="0.25"/>
    <row r="540" customFormat="1" hidden="1" x14ac:dyDescent="0.25"/>
    <row r="541" customFormat="1" hidden="1" x14ac:dyDescent="0.25"/>
    <row r="542" customFormat="1" hidden="1" x14ac:dyDescent="0.25"/>
    <row r="543" customFormat="1" hidden="1" x14ac:dyDescent="0.25"/>
    <row r="544" customFormat="1" hidden="1" x14ac:dyDescent="0.25"/>
    <row r="545" customFormat="1" hidden="1" x14ac:dyDescent="0.25"/>
    <row r="546" customFormat="1" hidden="1" x14ac:dyDescent="0.25"/>
    <row r="547" customFormat="1" hidden="1" x14ac:dyDescent="0.25"/>
    <row r="548" customFormat="1" hidden="1" x14ac:dyDescent="0.25"/>
    <row r="549" customFormat="1" hidden="1" x14ac:dyDescent="0.25"/>
    <row r="550" customFormat="1" hidden="1" x14ac:dyDescent="0.25"/>
    <row r="551" customFormat="1" hidden="1" x14ac:dyDescent="0.25"/>
    <row r="552" customFormat="1" hidden="1" x14ac:dyDescent="0.25"/>
    <row r="553" customFormat="1" hidden="1" x14ac:dyDescent="0.25"/>
    <row r="554" customFormat="1" hidden="1" x14ac:dyDescent="0.25"/>
    <row r="555" customFormat="1" hidden="1" x14ac:dyDescent="0.25"/>
    <row r="556" customFormat="1" hidden="1" x14ac:dyDescent="0.25"/>
    <row r="557" customFormat="1" hidden="1" x14ac:dyDescent="0.25"/>
    <row r="558" customFormat="1" hidden="1" x14ac:dyDescent="0.25"/>
    <row r="559" customFormat="1" hidden="1" x14ac:dyDescent="0.25"/>
    <row r="560" customFormat="1" hidden="1" x14ac:dyDescent="0.25"/>
    <row r="561" customFormat="1" hidden="1" x14ac:dyDescent="0.25"/>
    <row r="562" customFormat="1" hidden="1" x14ac:dyDescent="0.25"/>
    <row r="563" customFormat="1" hidden="1" x14ac:dyDescent="0.25"/>
    <row r="564" customFormat="1" hidden="1" x14ac:dyDescent="0.25"/>
    <row r="565" customFormat="1" hidden="1" x14ac:dyDescent="0.25"/>
    <row r="566" customFormat="1" hidden="1" x14ac:dyDescent="0.25"/>
    <row r="567" customFormat="1" hidden="1" x14ac:dyDescent="0.25"/>
    <row r="568" customFormat="1" hidden="1" x14ac:dyDescent="0.25"/>
    <row r="569" customFormat="1" hidden="1" x14ac:dyDescent="0.25"/>
    <row r="570" customFormat="1" hidden="1" x14ac:dyDescent="0.25"/>
    <row r="571" customFormat="1" hidden="1" x14ac:dyDescent="0.25"/>
    <row r="572" customFormat="1" hidden="1" x14ac:dyDescent="0.25"/>
    <row r="573" customFormat="1" hidden="1" x14ac:dyDescent="0.25"/>
    <row r="574" customFormat="1" hidden="1" x14ac:dyDescent="0.25"/>
    <row r="575" customFormat="1" hidden="1" x14ac:dyDescent="0.25"/>
    <row r="576" customFormat="1" hidden="1" x14ac:dyDescent="0.25"/>
    <row r="577" customFormat="1" hidden="1" x14ac:dyDescent="0.25"/>
    <row r="578" customFormat="1" hidden="1" x14ac:dyDescent="0.25"/>
    <row r="579" customFormat="1" hidden="1" x14ac:dyDescent="0.25"/>
    <row r="580" customFormat="1" hidden="1" x14ac:dyDescent="0.25"/>
    <row r="581" customFormat="1" hidden="1" x14ac:dyDescent="0.25"/>
    <row r="582" customFormat="1" hidden="1" x14ac:dyDescent="0.25"/>
    <row r="583" customFormat="1" hidden="1" x14ac:dyDescent="0.25"/>
    <row r="584" customFormat="1" hidden="1" x14ac:dyDescent="0.25"/>
    <row r="585" customFormat="1" hidden="1" x14ac:dyDescent="0.25"/>
    <row r="586" customFormat="1" hidden="1" x14ac:dyDescent="0.25"/>
    <row r="587" customFormat="1" hidden="1" x14ac:dyDescent="0.25"/>
    <row r="588" customFormat="1" hidden="1" x14ac:dyDescent="0.25"/>
    <row r="589" customFormat="1" hidden="1" x14ac:dyDescent="0.25"/>
    <row r="590" customFormat="1" hidden="1" x14ac:dyDescent="0.25"/>
    <row r="591" customFormat="1" hidden="1" x14ac:dyDescent="0.25"/>
    <row r="592" customFormat="1" hidden="1" x14ac:dyDescent="0.25"/>
    <row r="593" customFormat="1" hidden="1" x14ac:dyDescent="0.25"/>
    <row r="594" customFormat="1" hidden="1" x14ac:dyDescent="0.25"/>
    <row r="595" customFormat="1" hidden="1" x14ac:dyDescent="0.25"/>
    <row r="596" customFormat="1" hidden="1" x14ac:dyDescent="0.25"/>
    <row r="597" customFormat="1" hidden="1" x14ac:dyDescent="0.25"/>
    <row r="598" customFormat="1" hidden="1" x14ac:dyDescent="0.25"/>
    <row r="599" customFormat="1" hidden="1" x14ac:dyDescent="0.25"/>
    <row r="600" customFormat="1" hidden="1" x14ac:dyDescent="0.25"/>
    <row r="601" customFormat="1" hidden="1" x14ac:dyDescent="0.25"/>
    <row r="602" customFormat="1" hidden="1" x14ac:dyDescent="0.25"/>
    <row r="603" customFormat="1" hidden="1" x14ac:dyDescent="0.25"/>
    <row r="604" customFormat="1" hidden="1" x14ac:dyDescent="0.25"/>
    <row r="605" customFormat="1" hidden="1" x14ac:dyDescent="0.25"/>
    <row r="606" customFormat="1" hidden="1" x14ac:dyDescent="0.25"/>
    <row r="607" customFormat="1" hidden="1" x14ac:dyDescent="0.25"/>
    <row r="608" customFormat="1" hidden="1" x14ac:dyDescent="0.25"/>
    <row r="609" customFormat="1" hidden="1" x14ac:dyDescent="0.25"/>
    <row r="610" customFormat="1" hidden="1" x14ac:dyDescent="0.25"/>
    <row r="611" customFormat="1" hidden="1" x14ac:dyDescent="0.25"/>
    <row r="612" customFormat="1" hidden="1" x14ac:dyDescent="0.25"/>
    <row r="613" customFormat="1" hidden="1" x14ac:dyDescent="0.25"/>
    <row r="614" customFormat="1" hidden="1" x14ac:dyDescent="0.25"/>
    <row r="615" customFormat="1" hidden="1" x14ac:dyDescent="0.25"/>
    <row r="616" customFormat="1" hidden="1" x14ac:dyDescent="0.25"/>
    <row r="617" customFormat="1" hidden="1" x14ac:dyDescent="0.25"/>
    <row r="618" customFormat="1" hidden="1" x14ac:dyDescent="0.25"/>
    <row r="619" customFormat="1" hidden="1" x14ac:dyDescent="0.25"/>
    <row r="620" customFormat="1" hidden="1" x14ac:dyDescent="0.25"/>
    <row r="621" customFormat="1" hidden="1" x14ac:dyDescent="0.25"/>
    <row r="622" customFormat="1" hidden="1" x14ac:dyDescent="0.25"/>
    <row r="623" customFormat="1" hidden="1" x14ac:dyDescent="0.25"/>
    <row r="624" customFormat="1" hidden="1" x14ac:dyDescent="0.25"/>
    <row r="625" customFormat="1" hidden="1" x14ac:dyDescent="0.25"/>
    <row r="626" customFormat="1" hidden="1" x14ac:dyDescent="0.25"/>
    <row r="627" customFormat="1" hidden="1" x14ac:dyDescent="0.25"/>
    <row r="628" customFormat="1" hidden="1" x14ac:dyDescent="0.25"/>
    <row r="629" customFormat="1" hidden="1" x14ac:dyDescent="0.25"/>
    <row r="630" customFormat="1" hidden="1" x14ac:dyDescent="0.25"/>
    <row r="631" customFormat="1" hidden="1" x14ac:dyDescent="0.25"/>
    <row r="632" customFormat="1" hidden="1" x14ac:dyDescent="0.25"/>
    <row r="633" customFormat="1" hidden="1" x14ac:dyDescent="0.25"/>
    <row r="634" customFormat="1" hidden="1" x14ac:dyDescent="0.25"/>
    <row r="635" customFormat="1" hidden="1" x14ac:dyDescent="0.25"/>
    <row r="636" customFormat="1" hidden="1" x14ac:dyDescent="0.25"/>
    <row r="637" customFormat="1" hidden="1" x14ac:dyDescent="0.25"/>
    <row r="638" customFormat="1" hidden="1" x14ac:dyDescent="0.25"/>
    <row r="639" customFormat="1" hidden="1" x14ac:dyDescent="0.25"/>
    <row r="640" customFormat="1" hidden="1" x14ac:dyDescent="0.25"/>
    <row r="641" customFormat="1" hidden="1" x14ac:dyDescent="0.25"/>
    <row r="642" customFormat="1" hidden="1" x14ac:dyDescent="0.25"/>
    <row r="643" customFormat="1" hidden="1" x14ac:dyDescent="0.25"/>
    <row r="644" customFormat="1" hidden="1" x14ac:dyDescent="0.25"/>
    <row r="645" customFormat="1" hidden="1" x14ac:dyDescent="0.25"/>
    <row r="646" customFormat="1" hidden="1" x14ac:dyDescent="0.25"/>
    <row r="647" customFormat="1" hidden="1" x14ac:dyDescent="0.25"/>
    <row r="648" customFormat="1" hidden="1" x14ac:dyDescent="0.25"/>
    <row r="649" customFormat="1" hidden="1" x14ac:dyDescent="0.25"/>
    <row r="650" customFormat="1" hidden="1" x14ac:dyDescent="0.25"/>
    <row r="651" customFormat="1" hidden="1" x14ac:dyDescent="0.25"/>
    <row r="652" customFormat="1" hidden="1" x14ac:dyDescent="0.25"/>
    <row r="653" customFormat="1" hidden="1" x14ac:dyDescent="0.25"/>
    <row r="654" customFormat="1" hidden="1" x14ac:dyDescent="0.25"/>
    <row r="655" customFormat="1" hidden="1" x14ac:dyDescent="0.25"/>
    <row r="656" customFormat="1" hidden="1" x14ac:dyDescent="0.25"/>
    <row r="657" customFormat="1" hidden="1" x14ac:dyDescent="0.25"/>
    <row r="658" customFormat="1" hidden="1" x14ac:dyDescent="0.25"/>
    <row r="659" customFormat="1" hidden="1" x14ac:dyDescent="0.25"/>
    <row r="660" customFormat="1" hidden="1" x14ac:dyDescent="0.25"/>
    <row r="661" customFormat="1" hidden="1" x14ac:dyDescent="0.25"/>
    <row r="662" customFormat="1" hidden="1" x14ac:dyDescent="0.25"/>
    <row r="663" customFormat="1" hidden="1" x14ac:dyDescent="0.25"/>
    <row r="664" customFormat="1" hidden="1" x14ac:dyDescent="0.25"/>
    <row r="665" customFormat="1" hidden="1" x14ac:dyDescent="0.25"/>
    <row r="666" customFormat="1" hidden="1" x14ac:dyDescent="0.25"/>
    <row r="667" customFormat="1" hidden="1" x14ac:dyDescent="0.25"/>
    <row r="668" customFormat="1" hidden="1" x14ac:dyDescent="0.25"/>
    <row r="669" customFormat="1" hidden="1" x14ac:dyDescent="0.25"/>
    <row r="670" customFormat="1" hidden="1" x14ac:dyDescent="0.25"/>
    <row r="671" customFormat="1" hidden="1" x14ac:dyDescent="0.25"/>
    <row r="672" customFormat="1" hidden="1" x14ac:dyDescent="0.25"/>
    <row r="673" customFormat="1" hidden="1" x14ac:dyDescent="0.25"/>
    <row r="674" customFormat="1" hidden="1" x14ac:dyDescent="0.25"/>
    <row r="675" customFormat="1" hidden="1" x14ac:dyDescent="0.25"/>
    <row r="676" customFormat="1" hidden="1" x14ac:dyDescent="0.25"/>
    <row r="677" customFormat="1" hidden="1" x14ac:dyDescent="0.25"/>
    <row r="678" customFormat="1" hidden="1" x14ac:dyDescent="0.25"/>
    <row r="679" customFormat="1" hidden="1" x14ac:dyDescent="0.25"/>
    <row r="680" customFormat="1" hidden="1" x14ac:dyDescent="0.25"/>
    <row r="681" customFormat="1" hidden="1" x14ac:dyDescent="0.25"/>
    <row r="682" customFormat="1" hidden="1" x14ac:dyDescent="0.25"/>
    <row r="683" customFormat="1" hidden="1" x14ac:dyDescent="0.25"/>
    <row r="684" customFormat="1" hidden="1" x14ac:dyDescent="0.25"/>
    <row r="685" customFormat="1" hidden="1" x14ac:dyDescent="0.25"/>
    <row r="686" customFormat="1" hidden="1" x14ac:dyDescent="0.25"/>
    <row r="687" customFormat="1" hidden="1" x14ac:dyDescent="0.25"/>
    <row r="688" customFormat="1" hidden="1" x14ac:dyDescent="0.25"/>
    <row r="689" customFormat="1" hidden="1" x14ac:dyDescent="0.25"/>
    <row r="690" customFormat="1" hidden="1" x14ac:dyDescent="0.25"/>
    <row r="691" customFormat="1" hidden="1" x14ac:dyDescent="0.25"/>
    <row r="692" customFormat="1" hidden="1" x14ac:dyDescent="0.25"/>
    <row r="693" customFormat="1" hidden="1" x14ac:dyDescent="0.25"/>
    <row r="694" customFormat="1" hidden="1" x14ac:dyDescent="0.25"/>
    <row r="695" customFormat="1" hidden="1" x14ac:dyDescent="0.25"/>
    <row r="696" customFormat="1" hidden="1" x14ac:dyDescent="0.25"/>
    <row r="697" customFormat="1" hidden="1" x14ac:dyDescent="0.25"/>
    <row r="698" customFormat="1" hidden="1" x14ac:dyDescent="0.25"/>
    <row r="699" customFormat="1" hidden="1" x14ac:dyDescent="0.25"/>
    <row r="700" customFormat="1" hidden="1" x14ac:dyDescent="0.25"/>
    <row r="701" customFormat="1" hidden="1" x14ac:dyDescent="0.25"/>
    <row r="702" customFormat="1" hidden="1" x14ac:dyDescent="0.25"/>
    <row r="703" customFormat="1" hidden="1" x14ac:dyDescent="0.25"/>
    <row r="704" customFormat="1" hidden="1" x14ac:dyDescent="0.25"/>
    <row r="705" customFormat="1" hidden="1" x14ac:dyDescent="0.25"/>
    <row r="706" customFormat="1" hidden="1" x14ac:dyDescent="0.25"/>
    <row r="707" customFormat="1" hidden="1" x14ac:dyDescent="0.25"/>
    <row r="708" customFormat="1" hidden="1" x14ac:dyDescent="0.25"/>
    <row r="709" customFormat="1" hidden="1" x14ac:dyDescent="0.25"/>
    <row r="710" customFormat="1" hidden="1" x14ac:dyDescent="0.25"/>
    <row r="711" customFormat="1" hidden="1" x14ac:dyDescent="0.25"/>
    <row r="712" customFormat="1" hidden="1" x14ac:dyDescent="0.25"/>
    <row r="713" customFormat="1" hidden="1" x14ac:dyDescent="0.25"/>
    <row r="714" customFormat="1" hidden="1" x14ac:dyDescent="0.25"/>
    <row r="715" customFormat="1" hidden="1" x14ac:dyDescent="0.25"/>
    <row r="716" customFormat="1" hidden="1" x14ac:dyDescent="0.25"/>
    <row r="717" customFormat="1" hidden="1" x14ac:dyDescent="0.25"/>
    <row r="718" customFormat="1" hidden="1" x14ac:dyDescent="0.25"/>
    <row r="719" customFormat="1" hidden="1" x14ac:dyDescent="0.25"/>
    <row r="720" customFormat="1" hidden="1" x14ac:dyDescent="0.25"/>
    <row r="721" customFormat="1" hidden="1" x14ac:dyDescent="0.25"/>
    <row r="722" customFormat="1" hidden="1" x14ac:dyDescent="0.25"/>
    <row r="723" customFormat="1" hidden="1" x14ac:dyDescent="0.25"/>
    <row r="724" customFormat="1" hidden="1" x14ac:dyDescent="0.25"/>
    <row r="725" customFormat="1" hidden="1" x14ac:dyDescent="0.25"/>
    <row r="726" customFormat="1" hidden="1" x14ac:dyDescent="0.25"/>
    <row r="727" customFormat="1" hidden="1" x14ac:dyDescent="0.25"/>
    <row r="728" customFormat="1" hidden="1" x14ac:dyDescent="0.25"/>
    <row r="729" customFormat="1" hidden="1" x14ac:dyDescent="0.25"/>
    <row r="730" customFormat="1" hidden="1" x14ac:dyDescent="0.25"/>
    <row r="731" customFormat="1" hidden="1" x14ac:dyDescent="0.25"/>
    <row r="732" customFormat="1" hidden="1" x14ac:dyDescent="0.25"/>
    <row r="733" customFormat="1" hidden="1" x14ac:dyDescent="0.25"/>
    <row r="734" customFormat="1" hidden="1" x14ac:dyDescent="0.25"/>
    <row r="735" customFormat="1" hidden="1" x14ac:dyDescent="0.25"/>
    <row r="736" customFormat="1" hidden="1" x14ac:dyDescent="0.25"/>
    <row r="737" customFormat="1" hidden="1" x14ac:dyDescent="0.25"/>
    <row r="738" customFormat="1" hidden="1" x14ac:dyDescent="0.25"/>
    <row r="739" customFormat="1" hidden="1" x14ac:dyDescent="0.25"/>
    <row r="740" customFormat="1" hidden="1" x14ac:dyDescent="0.25"/>
    <row r="741" customFormat="1" hidden="1" x14ac:dyDescent="0.25"/>
    <row r="742" customFormat="1" hidden="1" x14ac:dyDescent="0.25"/>
    <row r="743" customFormat="1" hidden="1" x14ac:dyDescent="0.25"/>
    <row r="744" customFormat="1" hidden="1" x14ac:dyDescent="0.25"/>
    <row r="745" customFormat="1" hidden="1" x14ac:dyDescent="0.25"/>
    <row r="746" customFormat="1" hidden="1" x14ac:dyDescent="0.25"/>
    <row r="747" customFormat="1" hidden="1" x14ac:dyDescent="0.25"/>
    <row r="748" customFormat="1" hidden="1" x14ac:dyDescent="0.25"/>
    <row r="749" customFormat="1" hidden="1" x14ac:dyDescent="0.25"/>
    <row r="750" customFormat="1" hidden="1" x14ac:dyDescent="0.25"/>
    <row r="751" customFormat="1" hidden="1" x14ac:dyDescent="0.25"/>
    <row r="752" customFormat="1" hidden="1" x14ac:dyDescent="0.25"/>
    <row r="753" customFormat="1" hidden="1" x14ac:dyDescent="0.25"/>
    <row r="754" customFormat="1" hidden="1" x14ac:dyDescent="0.25"/>
    <row r="755" customFormat="1" hidden="1" x14ac:dyDescent="0.25"/>
    <row r="756" customFormat="1" hidden="1" x14ac:dyDescent="0.25"/>
    <row r="757" customFormat="1" hidden="1" x14ac:dyDescent="0.25"/>
    <row r="758" customFormat="1" hidden="1" x14ac:dyDescent="0.25"/>
    <row r="759" customFormat="1" hidden="1" x14ac:dyDescent="0.25"/>
    <row r="760" customFormat="1" hidden="1" x14ac:dyDescent="0.25"/>
    <row r="761" customFormat="1" hidden="1" x14ac:dyDescent="0.25"/>
    <row r="762" customFormat="1" hidden="1" x14ac:dyDescent="0.25"/>
    <row r="763" customFormat="1" hidden="1" x14ac:dyDescent="0.25"/>
    <row r="764" customFormat="1" hidden="1" x14ac:dyDescent="0.25"/>
    <row r="765" customFormat="1" hidden="1" x14ac:dyDescent="0.25"/>
    <row r="766" customFormat="1" hidden="1" x14ac:dyDescent="0.25"/>
    <row r="767" customFormat="1" hidden="1" x14ac:dyDescent="0.25"/>
    <row r="768" customFormat="1" hidden="1" x14ac:dyDescent="0.25"/>
    <row r="769" customFormat="1" hidden="1" x14ac:dyDescent="0.25"/>
    <row r="770" customFormat="1" hidden="1" x14ac:dyDescent="0.25"/>
    <row r="771" customFormat="1" hidden="1" x14ac:dyDescent="0.25"/>
    <row r="772" customFormat="1" hidden="1" x14ac:dyDescent="0.25"/>
    <row r="773" customFormat="1" hidden="1" x14ac:dyDescent="0.25"/>
    <row r="774" customFormat="1" hidden="1" x14ac:dyDescent="0.25"/>
    <row r="775" customFormat="1" hidden="1" x14ac:dyDescent="0.25"/>
    <row r="776" customFormat="1" hidden="1" x14ac:dyDescent="0.25"/>
    <row r="777" customFormat="1" hidden="1" x14ac:dyDescent="0.25"/>
    <row r="778" customFormat="1" hidden="1" x14ac:dyDescent="0.25"/>
    <row r="779" customFormat="1" hidden="1" x14ac:dyDescent="0.25"/>
    <row r="780" customFormat="1" hidden="1" x14ac:dyDescent="0.25"/>
    <row r="781" customFormat="1" hidden="1" x14ac:dyDescent="0.25"/>
    <row r="782" customFormat="1" hidden="1" x14ac:dyDescent="0.25"/>
    <row r="783" customFormat="1" hidden="1" x14ac:dyDescent="0.25"/>
    <row r="784" customFormat="1" hidden="1" x14ac:dyDescent="0.25"/>
    <row r="785" customFormat="1" hidden="1" x14ac:dyDescent="0.25"/>
    <row r="786" customFormat="1" hidden="1" x14ac:dyDescent="0.25"/>
    <row r="787" customFormat="1" hidden="1" x14ac:dyDescent="0.25"/>
    <row r="788" customFormat="1" hidden="1" x14ac:dyDescent="0.25"/>
    <row r="789" customFormat="1" hidden="1" x14ac:dyDescent="0.25"/>
    <row r="790" customFormat="1" hidden="1" x14ac:dyDescent="0.25"/>
    <row r="791" customFormat="1" hidden="1" x14ac:dyDescent="0.25"/>
    <row r="792" customFormat="1" hidden="1" x14ac:dyDescent="0.25"/>
    <row r="793" customFormat="1" hidden="1" x14ac:dyDescent="0.25"/>
    <row r="794" customFormat="1" hidden="1" x14ac:dyDescent="0.25"/>
    <row r="795" customFormat="1" hidden="1" x14ac:dyDescent="0.25"/>
    <row r="796" customFormat="1" hidden="1" x14ac:dyDescent="0.25"/>
    <row r="797" customFormat="1" hidden="1" x14ac:dyDescent="0.25"/>
    <row r="798" customFormat="1" hidden="1" x14ac:dyDescent="0.25"/>
    <row r="799" customFormat="1" hidden="1" x14ac:dyDescent="0.25"/>
    <row r="800" customFormat="1" hidden="1" x14ac:dyDescent="0.25"/>
    <row r="801" customFormat="1" hidden="1" x14ac:dyDescent="0.25"/>
    <row r="802" customFormat="1" hidden="1" x14ac:dyDescent="0.25"/>
    <row r="803" customFormat="1" hidden="1" x14ac:dyDescent="0.25"/>
    <row r="804" customFormat="1" hidden="1" x14ac:dyDescent="0.25"/>
    <row r="805" customFormat="1" hidden="1" x14ac:dyDescent="0.25"/>
    <row r="806" customFormat="1" hidden="1" x14ac:dyDescent="0.25"/>
    <row r="807" customFormat="1" hidden="1" x14ac:dyDescent="0.25"/>
    <row r="808" customFormat="1" hidden="1" x14ac:dyDescent="0.25"/>
    <row r="809" customFormat="1" hidden="1" x14ac:dyDescent="0.25"/>
    <row r="810" customFormat="1" hidden="1" x14ac:dyDescent="0.25"/>
    <row r="811" customFormat="1" hidden="1" x14ac:dyDescent="0.25"/>
    <row r="812" customFormat="1" hidden="1" x14ac:dyDescent="0.25"/>
    <row r="813" customFormat="1" hidden="1" x14ac:dyDescent="0.25"/>
    <row r="814" customFormat="1" hidden="1" x14ac:dyDescent="0.25"/>
    <row r="815" customFormat="1" hidden="1" x14ac:dyDescent="0.25"/>
    <row r="816" customFormat="1" hidden="1" x14ac:dyDescent="0.25"/>
    <row r="817" customFormat="1" hidden="1" x14ac:dyDescent="0.25"/>
    <row r="818" customFormat="1" hidden="1" x14ac:dyDescent="0.25"/>
    <row r="819" customFormat="1" hidden="1" x14ac:dyDescent="0.25"/>
    <row r="820" customFormat="1" hidden="1" x14ac:dyDescent="0.25"/>
    <row r="821" customFormat="1" hidden="1" x14ac:dyDescent="0.25"/>
    <row r="822" customFormat="1" hidden="1" x14ac:dyDescent="0.25"/>
    <row r="823" customFormat="1" hidden="1" x14ac:dyDescent="0.25"/>
    <row r="824" customFormat="1" hidden="1" x14ac:dyDescent="0.25"/>
    <row r="825" customFormat="1" hidden="1" x14ac:dyDescent="0.25"/>
    <row r="826" customFormat="1" hidden="1" x14ac:dyDescent="0.25"/>
    <row r="827" customFormat="1" hidden="1" x14ac:dyDescent="0.25"/>
    <row r="828" customFormat="1" hidden="1" x14ac:dyDescent="0.25"/>
    <row r="829" customFormat="1" hidden="1" x14ac:dyDescent="0.25"/>
    <row r="830" customFormat="1" hidden="1" x14ac:dyDescent="0.25"/>
    <row r="831" customFormat="1" hidden="1" x14ac:dyDescent="0.25"/>
    <row r="832" customFormat="1" hidden="1" x14ac:dyDescent="0.25"/>
    <row r="833" customFormat="1" hidden="1" x14ac:dyDescent="0.25"/>
    <row r="834" customFormat="1" hidden="1" x14ac:dyDescent="0.25"/>
    <row r="835" customFormat="1" hidden="1" x14ac:dyDescent="0.25"/>
    <row r="836" customFormat="1" hidden="1" x14ac:dyDescent="0.25"/>
    <row r="837" customFormat="1" hidden="1" x14ac:dyDescent="0.25"/>
    <row r="838" customFormat="1" hidden="1" x14ac:dyDescent="0.25"/>
    <row r="839" customFormat="1" hidden="1" x14ac:dyDescent="0.25"/>
    <row r="840" customFormat="1" hidden="1" x14ac:dyDescent="0.25"/>
    <row r="841" customFormat="1" hidden="1" x14ac:dyDescent="0.25"/>
    <row r="842" customFormat="1" hidden="1" x14ac:dyDescent="0.25"/>
    <row r="843" customFormat="1" hidden="1" x14ac:dyDescent="0.25"/>
    <row r="844" customFormat="1" hidden="1" x14ac:dyDescent="0.25"/>
    <row r="845" customFormat="1" hidden="1" x14ac:dyDescent="0.25"/>
    <row r="846" customFormat="1" hidden="1" x14ac:dyDescent="0.25"/>
    <row r="847" customFormat="1" hidden="1" x14ac:dyDescent="0.25"/>
    <row r="848" customFormat="1" hidden="1" x14ac:dyDescent="0.25"/>
    <row r="849" customFormat="1" hidden="1" x14ac:dyDescent="0.25"/>
    <row r="850" customFormat="1" hidden="1" x14ac:dyDescent="0.25"/>
    <row r="851" customFormat="1" hidden="1" x14ac:dyDescent="0.25"/>
    <row r="852" customFormat="1" hidden="1" x14ac:dyDescent="0.25"/>
    <row r="853" customFormat="1" hidden="1" x14ac:dyDescent="0.25"/>
    <row r="854" customFormat="1" hidden="1" x14ac:dyDescent="0.25"/>
    <row r="855" customFormat="1" hidden="1" x14ac:dyDescent="0.25"/>
    <row r="856" customFormat="1" hidden="1" x14ac:dyDescent="0.25"/>
    <row r="857" customFormat="1" hidden="1" x14ac:dyDescent="0.25"/>
    <row r="858" customFormat="1" hidden="1" x14ac:dyDescent="0.25"/>
    <row r="859" customFormat="1" hidden="1" x14ac:dyDescent="0.25"/>
    <row r="860" customFormat="1" hidden="1" x14ac:dyDescent="0.25"/>
    <row r="861" customFormat="1" hidden="1" x14ac:dyDescent="0.25"/>
    <row r="862" customFormat="1" hidden="1" x14ac:dyDescent="0.25"/>
    <row r="863" customFormat="1" hidden="1" x14ac:dyDescent="0.25"/>
    <row r="864" customFormat="1" hidden="1" x14ac:dyDescent="0.25"/>
    <row r="865" customFormat="1" hidden="1" x14ac:dyDescent="0.25"/>
    <row r="866" customFormat="1" hidden="1" x14ac:dyDescent="0.25"/>
    <row r="867" customFormat="1" hidden="1" x14ac:dyDescent="0.25"/>
    <row r="868" customFormat="1" hidden="1" x14ac:dyDescent="0.25"/>
    <row r="869" customFormat="1" hidden="1" x14ac:dyDescent="0.25"/>
    <row r="870" customFormat="1" hidden="1" x14ac:dyDescent="0.25"/>
    <row r="871" customFormat="1" hidden="1" x14ac:dyDescent="0.25"/>
    <row r="872" customFormat="1" hidden="1" x14ac:dyDescent="0.25"/>
    <row r="873" customFormat="1" hidden="1" x14ac:dyDescent="0.25"/>
    <row r="874" customFormat="1" hidden="1" x14ac:dyDescent="0.25"/>
    <row r="875" customFormat="1" hidden="1" x14ac:dyDescent="0.25"/>
    <row r="876" customFormat="1" hidden="1" x14ac:dyDescent="0.25"/>
    <row r="877" customFormat="1" hidden="1" x14ac:dyDescent="0.25"/>
    <row r="878" customFormat="1" hidden="1" x14ac:dyDescent="0.25"/>
    <row r="879" customFormat="1" hidden="1" x14ac:dyDescent="0.25"/>
    <row r="880" customFormat="1" hidden="1" x14ac:dyDescent="0.25"/>
    <row r="881" customFormat="1" hidden="1" x14ac:dyDescent="0.25"/>
    <row r="882" customFormat="1" hidden="1" x14ac:dyDescent="0.25"/>
    <row r="883" customFormat="1" hidden="1" x14ac:dyDescent="0.25"/>
    <row r="884" customFormat="1" hidden="1" x14ac:dyDescent="0.25"/>
    <row r="885" customFormat="1" hidden="1" x14ac:dyDescent="0.25"/>
    <row r="886" customFormat="1" hidden="1" x14ac:dyDescent="0.25"/>
    <row r="887" customFormat="1" hidden="1" x14ac:dyDescent="0.25"/>
    <row r="888" customFormat="1" hidden="1" x14ac:dyDescent="0.25"/>
    <row r="889" customFormat="1" hidden="1" x14ac:dyDescent="0.25"/>
    <row r="890" customFormat="1" hidden="1" x14ac:dyDescent="0.25"/>
    <row r="891" customFormat="1" hidden="1" x14ac:dyDescent="0.25"/>
    <row r="892" customFormat="1" hidden="1" x14ac:dyDescent="0.25"/>
    <row r="893" customFormat="1" hidden="1" x14ac:dyDescent="0.25"/>
    <row r="894" customFormat="1" hidden="1" x14ac:dyDescent="0.25"/>
    <row r="895" customFormat="1" hidden="1" x14ac:dyDescent="0.25"/>
    <row r="896" customFormat="1" hidden="1" x14ac:dyDescent="0.25"/>
    <row r="897" customFormat="1" hidden="1" x14ac:dyDescent="0.25"/>
    <row r="898" customFormat="1" hidden="1" x14ac:dyDescent="0.25"/>
    <row r="899" customFormat="1" hidden="1" x14ac:dyDescent="0.25"/>
    <row r="900" customFormat="1" hidden="1" x14ac:dyDescent="0.25"/>
    <row r="901" customFormat="1" hidden="1" x14ac:dyDescent="0.25"/>
    <row r="902" customFormat="1" hidden="1" x14ac:dyDescent="0.25"/>
    <row r="903" customFormat="1" hidden="1" x14ac:dyDescent="0.25"/>
    <row r="904" customFormat="1" hidden="1" x14ac:dyDescent="0.25"/>
    <row r="905" customFormat="1" hidden="1" x14ac:dyDescent="0.25"/>
    <row r="906" customFormat="1" hidden="1" x14ac:dyDescent="0.25"/>
    <row r="907" customFormat="1" hidden="1" x14ac:dyDescent="0.25"/>
    <row r="908" customFormat="1" hidden="1" x14ac:dyDescent="0.25"/>
    <row r="909" customFormat="1" hidden="1" x14ac:dyDescent="0.25"/>
    <row r="910" customFormat="1" hidden="1" x14ac:dyDescent="0.25"/>
    <row r="911" customFormat="1" hidden="1" x14ac:dyDescent="0.25"/>
    <row r="912" customFormat="1" hidden="1" x14ac:dyDescent="0.25"/>
    <row r="913" customFormat="1" hidden="1" x14ac:dyDescent="0.25"/>
    <row r="914" customFormat="1" hidden="1" x14ac:dyDescent="0.25"/>
    <row r="915" customFormat="1" hidden="1" x14ac:dyDescent="0.25"/>
    <row r="916" customFormat="1" hidden="1" x14ac:dyDescent="0.25"/>
    <row r="917" customFormat="1" hidden="1" x14ac:dyDescent="0.25"/>
    <row r="918" customFormat="1" hidden="1" x14ac:dyDescent="0.25"/>
    <row r="919" customFormat="1" hidden="1" x14ac:dyDescent="0.25"/>
    <row r="920" customFormat="1" hidden="1" x14ac:dyDescent="0.25"/>
    <row r="921" customFormat="1" hidden="1" x14ac:dyDescent="0.25"/>
    <row r="922" customFormat="1" hidden="1" x14ac:dyDescent="0.25"/>
    <row r="923" customFormat="1" hidden="1" x14ac:dyDescent="0.25"/>
    <row r="924" customFormat="1" hidden="1" x14ac:dyDescent="0.25"/>
    <row r="925" customFormat="1" hidden="1" x14ac:dyDescent="0.25"/>
    <row r="926" customFormat="1" hidden="1" x14ac:dyDescent="0.25"/>
    <row r="927" customFormat="1" hidden="1" x14ac:dyDescent="0.25"/>
    <row r="928" customFormat="1" hidden="1" x14ac:dyDescent="0.25"/>
    <row r="929" customFormat="1" hidden="1" x14ac:dyDescent="0.25"/>
    <row r="930" customFormat="1" hidden="1" x14ac:dyDescent="0.25"/>
    <row r="931" customFormat="1" hidden="1" x14ac:dyDescent="0.25"/>
    <row r="932" customFormat="1" hidden="1" x14ac:dyDescent="0.25"/>
    <row r="933" customFormat="1" hidden="1" x14ac:dyDescent="0.25"/>
    <row r="934" customFormat="1" hidden="1" x14ac:dyDescent="0.25"/>
    <row r="935" customFormat="1" hidden="1" x14ac:dyDescent="0.25"/>
    <row r="936" customFormat="1" hidden="1" x14ac:dyDescent="0.25"/>
    <row r="937" customFormat="1" hidden="1" x14ac:dyDescent="0.25"/>
    <row r="938" customFormat="1" hidden="1" x14ac:dyDescent="0.25"/>
    <row r="939" customFormat="1" hidden="1" x14ac:dyDescent="0.25"/>
    <row r="940" customFormat="1" hidden="1" x14ac:dyDescent="0.25"/>
    <row r="941" customFormat="1" hidden="1" x14ac:dyDescent="0.25"/>
    <row r="942" customFormat="1" hidden="1" x14ac:dyDescent="0.25"/>
    <row r="943" customFormat="1" hidden="1" x14ac:dyDescent="0.25"/>
    <row r="944" customFormat="1" hidden="1" x14ac:dyDescent="0.25"/>
    <row r="945" customFormat="1" hidden="1" x14ac:dyDescent="0.25"/>
    <row r="946" customFormat="1" hidden="1" x14ac:dyDescent="0.25"/>
    <row r="947" customFormat="1" hidden="1" x14ac:dyDescent="0.25"/>
    <row r="948" customFormat="1" hidden="1" x14ac:dyDescent="0.25"/>
    <row r="949" customFormat="1" hidden="1" x14ac:dyDescent="0.25"/>
    <row r="950" customFormat="1" hidden="1" x14ac:dyDescent="0.25"/>
    <row r="951" customFormat="1" hidden="1" x14ac:dyDescent="0.25"/>
    <row r="952" customFormat="1" hidden="1" x14ac:dyDescent="0.25"/>
    <row r="953" customFormat="1" hidden="1" x14ac:dyDescent="0.25"/>
    <row r="954" customFormat="1" hidden="1" x14ac:dyDescent="0.25"/>
    <row r="955" customFormat="1" hidden="1" x14ac:dyDescent="0.25"/>
    <row r="956" customFormat="1" hidden="1" x14ac:dyDescent="0.25"/>
    <row r="957" customFormat="1" hidden="1" x14ac:dyDescent="0.25"/>
    <row r="958" customFormat="1" hidden="1" x14ac:dyDescent="0.25"/>
    <row r="959" customFormat="1" hidden="1" x14ac:dyDescent="0.25"/>
    <row r="960" customFormat="1" hidden="1" x14ac:dyDescent="0.25"/>
    <row r="961" customFormat="1" hidden="1" x14ac:dyDescent="0.25"/>
    <row r="962" customFormat="1" hidden="1" x14ac:dyDescent="0.25"/>
    <row r="963" customFormat="1" hidden="1" x14ac:dyDescent="0.25"/>
    <row r="964" customFormat="1" hidden="1" x14ac:dyDescent="0.25"/>
    <row r="965" customFormat="1" hidden="1" x14ac:dyDescent="0.25"/>
    <row r="966" customFormat="1" hidden="1" x14ac:dyDescent="0.25"/>
    <row r="967" customFormat="1" hidden="1" x14ac:dyDescent="0.25"/>
    <row r="968" customFormat="1" hidden="1" x14ac:dyDescent="0.25"/>
    <row r="969" customFormat="1" hidden="1" x14ac:dyDescent="0.25"/>
    <row r="970" customFormat="1" hidden="1" x14ac:dyDescent="0.25"/>
    <row r="971" customFormat="1" hidden="1" x14ac:dyDescent="0.25"/>
    <row r="972" customFormat="1" hidden="1" x14ac:dyDescent="0.25"/>
    <row r="973" customFormat="1" hidden="1" x14ac:dyDescent="0.25"/>
    <row r="974" customFormat="1" hidden="1" x14ac:dyDescent="0.25"/>
    <row r="975" customFormat="1" hidden="1" x14ac:dyDescent="0.25"/>
    <row r="976" customFormat="1" hidden="1" x14ac:dyDescent="0.25"/>
    <row r="977" customFormat="1" hidden="1" x14ac:dyDescent="0.25"/>
    <row r="978" customFormat="1" hidden="1" x14ac:dyDescent="0.25"/>
    <row r="979" customFormat="1" hidden="1" x14ac:dyDescent="0.25"/>
    <row r="980" customFormat="1" hidden="1" x14ac:dyDescent="0.25"/>
    <row r="981" customFormat="1" hidden="1" x14ac:dyDescent="0.25"/>
    <row r="982" customFormat="1" hidden="1" x14ac:dyDescent="0.25"/>
    <row r="983" customFormat="1" hidden="1" x14ac:dyDescent="0.25"/>
    <row r="984" customFormat="1" hidden="1" x14ac:dyDescent="0.25"/>
    <row r="985" customFormat="1" hidden="1" x14ac:dyDescent="0.25"/>
    <row r="986" customFormat="1" hidden="1" x14ac:dyDescent="0.25"/>
    <row r="987" customFormat="1" hidden="1" x14ac:dyDescent="0.25"/>
    <row r="988" customFormat="1" hidden="1" x14ac:dyDescent="0.25"/>
    <row r="989" customFormat="1" hidden="1" x14ac:dyDescent="0.25"/>
    <row r="990" customFormat="1" hidden="1" x14ac:dyDescent="0.25"/>
    <row r="991" customFormat="1" hidden="1" x14ac:dyDescent="0.25"/>
    <row r="992" customFormat="1" hidden="1" x14ac:dyDescent="0.25"/>
    <row r="993" customFormat="1" hidden="1" x14ac:dyDescent="0.25"/>
    <row r="994" customFormat="1" hidden="1" x14ac:dyDescent="0.25"/>
    <row r="995" customFormat="1" hidden="1" x14ac:dyDescent="0.25"/>
    <row r="996" customFormat="1" hidden="1" x14ac:dyDescent="0.25"/>
    <row r="997" customFormat="1" hidden="1" x14ac:dyDescent="0.25"/>
    <row r="998" customFormat="1" hidden="1" x14ac:dyDescent="0.25"/>
    <row r="999" customFormat="1" hidden="1" x14ac:dyDescent="0.25"/>
    <row r="1000" customFormat="1" hidden="1" x14ac:dyDescent="0.25"/>
  </sheetData>
  <sheetProtection algorithmName="SHA-512" hashValue="9Hgkon7mA+Zi12x948QM0G2vh06CbNivnLADdJX5FS0zmCraqqjAEuPr3hDVQwIbzG7+TSdFQYGiGO0eVc+fmQ==" saltValue="BuT6qCuuyb+WoIU6OFBbfw==" spinCount="100000" sheet="1" objects="1" scenarios="1"/>
  <mergeCells count="52">
    <mergeCell ref="D3:N3"/>
    <mergeCell ref="D4:N4"/>
    <mergeCell ref="J18:J19"/>
    <mergeCell ref="D18:D19"/>
    <mergeCell ref="N5:N6"/>
    <mergeCell ref="H5:H6"/>
    <mergeCell ref="K18:M18"/>
    <mergeCell ref="J5:J6"/>
    <mergeCell ref="G5:G6"/>
    <mergeCell ref="D14:G15"/>
    <mergeCell ref="D40:J40"/>
    <mergeCell ref="H32:H33"/>
    <mergeCell ref="I32:I33"/>
    <mergeCell ref="J32:J33"/>
    <mergeCell ref="F32:F33"/>
    <mergeCell ref="D26:J26"/>
    <mergeCell ref="G32:G33"/>
    <mergeCell ref="I5:I6"/>
    <mergeCell ref="D17:N17"/>
    <mergeCell ref="D5:D6"/>
    <mergeCell ref="F5:F6"/>
    <mergeCell ref="D13:J13"/>
    <mergeCell ref="G18:G19"/>
    <mergeCell ref="K5:M5"/>
    <mergeCell ref="E5:E6"/>
    <mergeCell ref="D62:N62"/>
    <mergeCell ref="N18:N19"/>
    <mergeCell ref="E32:E33"/>
    <mergeCell ref="H18:H19"/>
    <mergeCell ref="F18:F19"/>
    <mergeCell ref="E18:E19"/>
    <mergeCell ref="I18:I19"/>
    <mergeCell ref="D27:G28"/>
    <mergeCell ref="D32:D33"/>
    <mergeCell ref="D31:N31"/>
    <mergeCell ref="I45:I46"/>
    <mergeCell ref="E45:E46"/>
    <mergeCell ref="D45:D46"/>
    <mergeCell ref="N32:N33"/>
    <mergeCell ref="K32:M32"/>
    <mergeCell ref="D41:G42"/>
    <mergeCell ref="C59:N61"/>
    <mergeCell ref="D44:N44"/>
    <mergeCell ref="D58:J58"/>
    <mergeCell ref="D54:G55"/>
    <mergeCell ref="D53:J53"/>
    <mergeCell ref="J45:J46"/>
    <mergeCell ref="K45:M45"/>
    <mergeCell ref="N45:N46"/>
    <mergeCell ref="H45:H46"/>
    <mergeCell ref="G45:G46"/>
    <mergeCell ref="F45:F46"/>
  </mergeCells>
  <dataValidations count="14">
    <dataValidation type="textLength" operator="equal" allowBlank="1" showInputMessage="1" showErrorMessage="1" errorTitle="PAN of Donee" error="PAN of Donee  should be exactly 10  in Length" sqref="J34:J38 J20:J24 J47:J51 J7:J11">
      <formula1>10</formula1>
    </dataValidation>
    <dataValidation type="whole" allowBlank="1" showErrorMessage="1" errorTitle="EligibleDonationAmt" error="EligibleDonationAmt  Non negative, no decimal, upto 99,999,999,999,999" sqref="N20:N24 N34:N38 N7:N11 N47:N51">
      <formula1>0</formula1>
      <formula2>99999999999999</formula2>
    </dataValidation>
    <dataValidation type="list" allowBlank="1" showErrorMessage="1" errorTitle="StateCode" error="  Please select from list" sqref="H20:H24 H34:H38 H47:H51 H7:H11">
      <formula1>State80G</formula1>
    </dataValidation>
    <dataValidation type="whole" allowBlank="1" showErrorMessage="1" errorTitle="Donation in Other mode " error="Donation in Other mode  Non negative, no decimal, upto 99,999,999,999,999" sqref="M47:M51 L48:L51">
      <formula1>0</formula1>
      <formula2>99999999999999</formula2>
    </dataValidation>
    <dataValidation type="whole" allowBlank="1" showErrorMessage="1" errorTitle="TotDon100Percent" error="TotDon100Percent  Non negative, no decimal, upto 99,999,999,999,999" sqref="L40:N40 L53:N53">
      <formula1>0</formula1>
      <formula2>99999999999999</formula2>
    </dataValidation>
    <dataValidation type="whole" allowBlank="1" showErrorMessage="1" errorTitle="TotalDonationsUs80G" error="TotalDonationsUs80G  Non negative, no decimal, upto 99,999,999,999,999" sqref="L58:M58">
      <formula1>0</formula1>
      <formula2>99999999999999</formula2>
    </dataValidation>
    <dataValidation type="whole" allowBlank="1" showErrorMessage="1" errorTitle="PinCode" error="PinCode  should be exactly 6 in Length " sqref="I20:I24 I34:I38 I47:I51 I7:I11">
      <formula1>100000</formula1>
      <formula2>999999</formula2>
    </dataValidation>
    <dataValidation type="textLength" operator="lessThanOrEqual" allowBlank="1" showErrorMessage="1" errorTitle="DoneeName" error="Name of Donee  should not exceed 125 characters " sqref="E20:E24 E47:E51 E34:E38 E7:E11">
      <formula1>125</formula1>
    </dataValidation>
    <dataValidation type="textLength" operator="lessThanOrEqual" allowBlank="1" showErrorMessage="1" errorTitle="AddrDetail" error="Address  should not exceed 200 characters " sqref="F20:F24 F47:F51 F34:F38 F7:F11">
      <formula1>200</formula1>
    </dataValidation>
    <dataValidation type="textLength" operator="lessThanOrEqual" allowBlank="1" showErrorMessage="1" errorTitle="CityOrTownOrDistrict" error="City Or Town Or District  should not exceed 50 characters " sqref="G20:G24 G34:G38 G47:G51 G7:G11">
      <formula1>50</formula1>
    </dataValidation>
    <dataValidation type="whole" allowBlank="1" showInputMessage="1" showErrorMessage="1" errorTitle="Donation in cash" error="Donation in cash  Non negative, no decimal, upto 99,999,999,999,999" sqref="K47:K51 K34 K20 K7:K11">
      <formula1>0</formula1>
      <formula2>99999999999999</formula2>
    </dataValidation>
    <dataValidation type="whole" allowBlank="1" showErrorMessage="1" errorTitle="Donation in Other mode" error="Donation in Other mode  Non negative, no decimal, upto 99,999,999,999,999" sqref="L47 L20:M24 L34:M38 L7:M11">
      <formula1>0</formula1>
      <formula2>99999999999999</formula2>
    </dataValidation>
    <dataValidation type="whole" allowBlank="1" showInputMessage="1" showErrorMessage="1" errorTitle="Donation in cash " error="Donation in cash  Non negative, no decimal, upto 99,999,999,999,999" sqref="K21:K24 K35:K38">
      <formula1>0</formula1>
      <formula2>99999999999999</formula2>
    </dataValidation>
    <dataValidation type="whole" allowBlank="1" showInputMessage="1" showErrorMessage="1" sqref="L13:N13">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1760" r:id="rId5" name="Button 16">
              <controlPr defaultSize="0" print="0" autoFill="0" autoPict="0" macro="[0]!ValidateSheet80GClick">
                <anchor>
                  <from>
                    <xdr:col>15</xdr:col>
                    <xdr:colOff>57150</xdr:colOff>
                    <xdr:row>3</xdr:row>
                    <xdr:rowOff>133350</xdr:rowOff>
                  </from>
                  <to>
                    <xdr:col>15</xdr:col>
                    <xdr:colOff>1428750</xdr:colOff>
                    <xdr:row>4</xdr:row>
                    <xdr:rowOff>247650</xdr:rowOff>
                  </to>
                </anchor>
              </controlPr>
            </control>
          </mc:Choice>
        </mc:AlternateContent>
        <mc:AlternateContent xmlns:mc="http://schemas.openxmlformats.org/markup-compatibility/2006">
          <mc:Choice Requires="x14">
            <control shapeId="31761" r:id="rId6" name="Button 17">
              <controlPr defaultSize="0" print="0" autoFill="0" autoPict="0" macro="[0]!AddRows_Per10080G">
                <anchor moveWithCells="1">
                  <from>
                    <xdr:col>3</xdr:col>
                    <xdr:colOff>0</xdr:colOff>
                    <xdr:row>13</xdr:row>
                    <xdr:rowOff>28575</xdr:rowOff>
                  </from>
                  <to>
                    <xdr:col>5</xdr:col>
                    <xdr:colOff>0</xdr:colOff>
                    <xdr:row>14</xdr:row>
                    <xdr:rowOff>104775</xdr:rowOff>
                  </to>
                </anchor>
              </controlPr>
            </control>
          </mc:Choice>
        </mc:AlternateContent>
        <mc:AlternateContent xmlns:mc="http://schemas.openxmlformats.org/markup-compatibility/2006">
          <mc:Choice Requires="x14">
            <control shapeId="31762" r:id="rId7" name="Button 18">
              <controlPr defaultSize="0" print="0" autoFill="0" autoPict="0" macro="[0]!AddRows_PerNO5080G">
                <anchor moveWithCells="1">
                  <from>
                    <xdr:col>3</xdr:col>
                    <xdr:colOff>0</xdr:colOff>
                    <xdr:row>26</xdr:row>
                    <xdr:rowOff>28575</xdr:rowOff>
                  </from>
                  <to>
                    <xdr:col>5</xdr:col>
                    <xdr:colOff>0</xdr:colOff>
                    <xdr:row>27</xdr:row>
                    <xdr:rowOff>104775</xdr:rowOff>
                  </to>
                </anchor>
              </controlPr>
            </control>
          </mc:Choice>
        </mc:AlternateContent>
        <mc:AlternateContent xmlns:mc="http://schemas.openxmlformats.org/markup-compatibility/2006">
          <mc:Choice Requires="x14">
            <control shapeId="31763" r:id="rId8" name="Button 19">
              <controlPr defaultSize="0" print="0" autoFill="0" autoPict="0" macro="[0]!AddRows_PerYES10080G">
                <anchor moveWithCells="1">
                  <from>
                    <xdr:col>3</xdr:col>
                    <xdr:colOff>0</xdr:colOff>
                    <xdr:row>40</xdr:row>
                    <xdr:rowOff>28575</xdr:rowOff>
                  </from>
                  <to>
                    <xdr:col>5</xdr:col>
                    <xdr:colOff>0</xdr:colOff>
                    <xdr:row>41</xdr:row>
                    <xdr:rowOff>104775</xdr:rowOff>
                  </to>
                </anchor>
              </controlPr>
            </control>
          </mc:Choice>
        </mc:AlternateContent>
        <mc:AlternateContent xmlns:mc="http://schemas.openxmlformats.org/markup-compatibility/2006">
          <mc:Choice Requires="x14">
            <control shapeId="31764" r:id="rId9" name="Button 20">
              <controlPr defaultSize="0" print="0" autoFill="0" autoPict="0" macro="[0]!AddRows_Per5080G">
                <anchor moveWithCells="1">
                  <from>
                    <xdr:col>3</xdr:col>
                    <xdr:colOff>0</xdr:colOff>
                    <xdr:row>53</xdr:row>
                    <xdr:rowOff>28575</xdr:rowOff>
                  </from>
                  <to>
                    <xdr:col>5</xdr:col>
                    <xdr:colOff>0</xdr:colOff>
                    <xdr:row>54</xdr:row>
                    <xdr:rowOff>104775</xdr:rowOff>
                  </to>
                </anchor>
              </controlPr>
            </control>
          </mc:Choice>
        </mc:AlternateContent>
        <mc:AlternateContent xmlns:mc="http://schemas.openxmlformats.org/markup-compatibility/2006">
          <mc:Choice Requires="x14">
            <control shapeId="31768" r:id="rId10" name="Button 24">
              <controlPr defaultSize="0" print="0" autoFill="0" autoPict="0" macro="[0]!Prev_Sheet">
                <anchor>
                  <from>
                    <xdr:col>15</xdr:col>
                    <xdr:colOff>57150</xdr:colOff>
                    <xdr:row>5</xdr:row>
                    <xdr:rowOff>247650</xdr:rowOff>
                  </from>
                  <to>
                    <xdr:col>15</xdr:col>
                    <xdr:colOff>1428750</xdr:colOff>
                    <xdr:row>6</xdr:row>
                    <xdr:rowOff>180975</xdr:rowOff>
                  </to>
                </anchor>
              </controlPr>
            </control>
          </mc:Choice>
        </mc:AlternateContent>
        <mc:AlternateContent xmlns:mc="http://schemas.openxmlformats.org/markup-compatibility/2006">
          <mc:Choice Requires="x14">
            <control shapeId="31769" r:id="rId11" name="Button 25">
              <controlPr defaultSize="0" print="0" autoFill="0" autoPict="0" macro="[0]!Img_Home_Click">
                <anchor>
                  <from>
                    <xdr:col>15</xdr:col>
                    <xdr:colOff>57150</xdr:colOff>
                    <xdr:row>2</xdr:row>
                    <xdr:rowOff>0</xdr:rowOff>
                  </from>
                  <to>
                    <xdr:col>15</xdr:col>
                    <xdr:colOff>1428750</xdr:colOff>
                    <xdr:row>3</xdr:row>
                    <xdr:rowOff>114300</xdr:rowOff>
                  </to>
                </anchor>
              </controlPr>
            </control>
          </mc:Choice>
        </mc:AlternateContent>
        <mc:AlternateContent xmlns:mc="http://schemas.openxmlformats.org/markup-compatibility/2006">
          <mc:Choice Requires="x14">
            <control shapeId="31771" r:id="rId12" name="Button 27">
              <controlPr defaultSize="0" print="0" autoFill="0" autoPict="0" macro="[0]!Next_Sheet">
                <anchor>
                  <from>
                    <xdr:col>15</xdr:col>
                    <xdr:colOff>57150</xdr:colOff>
                    <xdr:row>4</xdr:row>
                    <xdr:rowOff>266700</xdr:rowOff>
                  </from>
                  <to>
                    <xdr:col>15</xdr:col>
                    <xdr:colOff>1428750</xdr:colOff>
                    <xdr:row>5</xdr:row>
                    <xdr:rowOff>228600</xdr:rowOff>
                  </to>
                </anchor>
              </controlPr>
            </control>
          </mc:Choice>
        </mc:AlternateContent>
        <mc:AlternateContent xmlns:mc="http://schemas.openxmlformats.org/markup-compatibility/2006">
          <mc:Choice Requires="x14">
            <control shapeId="31772" r:id="rId13" name="Button 28">
              <controlPr defaultSize="0" print="0" autoFill="0" autoPict="0" macro="[0]!Instruction_Sheet">
                <anchor>
                  <from>
                    <xdr:col>15</xdr:col>
                    <xdr:colOff>57150</xdr:colOff>
                    <xdr:row>10</xdr:row>
                    <xdr:rowOff>57150</xdr:rowOff>
                  </from>
                  <to>
                    <xdr:col>15</xdr:col>
                    <xdr:colOff>1428750</xdr:colOff>
                    <xdr:row>11</xdr:row>
                    <xdr:rowOff>142875</xdr:rowOff>
                  </to>
                </anchor>
              </controlPr>
            </control>
          </mc:Choice>
        </mc:AlternateContent>
        <mc:AlternateContent xmlns:mc="http://schemas.openxmlformats.org/markup-compatibility/2006">
          <mc:Choice Requires="x14">
            <control shapeId="31773" r:id="rId14" name="Button 29">
              <controlPr defaultSize="0" print="0" autoFill="0" autoPict="0" macro="[0]!WorksheetsPrint">
                <anchor>
                  <from>
                    <xdr:col>15</xdr:col>
                    <xdr:colOff>57150</xdr:colOff>
                    <xdr:row>8</xdr:row>
                    <xdr:rowOff>133350</xdr:rowOff>
                  </from>
                  <to>
                    <xdr:col>15</xdr:col>
                    <xdr:colOff>1428750</xdr:colOff>
                    <xdr:row>10</xdr:row>
                    <xdr:rowOff>38100</xdr:rowOff>
                  </to>
                </anchor>
              </controlPr>
            </control>
          </mc:Choice>
        </mc:AlternateContent>
        <mc:AlternateContent xmlns:mc="http://schemas.openxmlformats.org/markup-compatibility/2006">
          <mc:Choice Requires="x14">
            <control shapeId="31774" r:id="rId15" name="Button 30">
              <controlPr defaultSize="0" print="0" autoFill="0" autoPict="0" macro="[0]!GenerateJSON.GenerateJSON">
                <anchor>
                  <from>
                    <xdr:col>15</xdr:col>
                    <xdr:colOff>57150</xdr:colOff>
                    <xdr:row>7</xdr:row>
                    <xdr:rowOff>28575</xdr:rowOff>
                  </from>
                  <to>
                    <xdr:col>15</xdr:col>
                    <xdr:colOff>1428750</xdr:colOff>
                    <xdr:row>8</xdr:row>
                    <xdr:rowOff>95250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dimension ref="B1:M22"/>
  <sheetViews>
    <sheetView showGridLines="0" showRowColHeaders="0" zoomScaleNormal="100" workbookViewId="0">
      <selection activeCell="P16" sqref="P16"/>
    </sheetView>
  </sheetViews>
  <sheetFormatPr defaultColWidth="0" defaultRowHeight="15" zeroHeight="1" x14ac:dyDescent="0.25"/>
  <cols>
    <col min="1" max="1" width="3.5703125" customWidth="1"/>
    <col min="2" max="2" width="2.85546875" customWidth="1"/>
    <col min="3" max="10" width="9.140625" customWidth="1"/>
    <col min="11" max="11" width="19.7109375" customWidth="1"/>
    <col min="12" max="12" width="18.85546875" customWidth="1"/>
    <col min="13" max="13" width="3.140625" customWidth="1"/>
    <col min="14" max="17" width="9.140625" customWidth="1"/>
  </cols>
  <sheetData>
    <row r="1" spans="2:13" ht="15.75" thickBot="1" x14ac:dyDescent="0.3"/>
    <row r="2" spans="2:13" x14ac:dyDescent="0.25">
      <c r="B2" s="1251"/>
      <c r="C2" s="1250"/>
      <c r="D2" s="1250"/>
      <c r="E2" s="1250"/>
      <c r="F2" s="1250"/>
      <c r="G2" s="1250"/>
      <c r="H2" s="1250"/>
      <c r="I2" s="1250"/>
      <c r="J2" s="1250"/>
      <c r="K2" s="1250"/>
      <c r="L2" s="1250"/>
      <c r="M2" s="1249"/>
    </row>
    <row r="3" spans="2:13" x14ac:dyDescent="0.25">
      <c r="B3" s="1248"/>
      <c r="C3" s="815" t="s">
        <v>1147</v>
      </c>
      <c r="D3" s="982"/>
      <c r="E3" s="1712"/>
      <c r="F3" s="1712"/>
      <c r="G3" s="1712"/>
      <c r="H3" s="1712"/>
      <c r="I3" s="1712"/>
      <c r="J3" s="1712"/>
      <c r="K3" s="1712"/>
      <c r="L3" s="1713"/>
      <c r="M3" s="1247"/>
    </row>
    <row r="4" spans="2:13" x14ac:dyDescent="0.25">
      <c r="B4" s="1248"/>
      <c r="C4" s="1998">
        <v>1</v>
      </c>
      <c r="D4" s="3785" t="s">
        <v>11923</v>
      </c>
      <c r="E4" s="3786"/>
      <c r="F4" s="3786"/>
      <c r="G4" s="3786"/>
      <c r="H4" s="3786"/>
      <c r="I4" s="3786"/>
      <c r="J4" s="3786"/>
      <c r="K4" s="3787"/>
      <c r="L4" s="1972" t="s">
        <v>12</v>
      </c>
      <c r="M4" s="1247"/>
    </row>
    <row r="5" spans="2:13" x14ac:dyDescent="0.25">
      <c r="B5" s="1248"/>
      <c r="C5" s="1998" t="s">
        <v>27</v>
      </c>
      <c r="D5" s="3788" t="s">
        <v>11924</v>
      </c>
      <c r="E5" s="3789"/>
      <c r="F5" s="3789"/>
      <c r="G5" s="3789"/>
      <c r="H5" s="3789"/>
      <c r="I5" s="3789"/>
      <c r="J5" s="3789"/>
      <c r="K5" s="3790"/>
      <c r="L5" s="2425">
        <f>MIN(25000,SUM(Health_Insurance_80D,Preventive_Health_80D))</f>
        <v>0</v>
      </c>
      <c r="M5" s="1247"/>
    </row>
    <row r="6" spans="2:13" x14ac:dyDescent="0.25">
      <c r="B6" s="1248"/>
      <c r="C6" s="1998" t="s">
        <v>7565</v>
      </c>
      <c r="D6" s="3784" t="s">
        <v>11925</v>
      </c>
      <c r="E6" s="3784"/>
      <c r="F6" s="3784"/>
      <c r="G6" s="3784"/>
      <c r="H6" s="3784"/>
      <c r="I6" s="3784"/>
      <c r="J6" s="3784"/>
      <c r="K6" s="3784"/>
      <c r="L6" s="2426"/>
      <c r="M6" s="1247"/>
    </row>
    <row r="7" spans="2:13" x14ac:dyDescent="0.25">
      <c r="B7" s="1248"/>
      <c r="C7" s="1998" t="s">
        <v>7566</v>
      </c>
      <c r="D7" s="3784" t="s">
        <v>11926</v>
      </c>
      <c r="E7" s="3784"/>
      <c r="F7" s="3784"/>
      <c r="G7" s="3784"/>
      <c r="H7" s="3784"/>
      <c r="I7" s="3784"/>
      <c r="J7" s="3784"/>
      <c r="K7" s="3784"/>
      <c r="L7" s="2426"/>
      <c r="M7" s="1247"/>
    </row>
    <row r="8" spans="2:13" x14ac:dyDescent="0.25">
      <c r="B8" s="1248"/>
      <c r="C8" s="1998" t="s">
        <v>28</v>
      </c>
      <c r="D8" s="3784" t="s">
        <v>13065</v>
      </c>
      <c r="E8" s="3784"/>
      <c r="F8" s="3784"/>
      <c r="G8" s="3784"/>
      <c r="H8" s="3784"/>
      <c r="I8" s="3784"/>
      <c r="J8" s="3784"/>
      <c r="K8" s="3784"/>
      <c r="L8" s="2425">
        <f>MIN(50000, SUM(Health_InsuranceSC_80D, Preventive_Health_SC_80D, Medical_Expenditure_SC_80D))</f>
        <v>0</v>
      </c>
      <c r="M8" s="1247"/>
    </row>
    <row r="9" spans="2:13" x14ac:dyDescent="0.25">
      <c r="B9" s="1248"/>
      <c r="C9" s="1998" t="s">
        <v>7565</v>
      </c>
      <c r="D9" s="3784" t="s">
        <v>11925</v>
      </c>
      <c r="E9" s="3784"/>
      <c r="F9" s="3784"/>
      <c r="G9" s="3784"/>
      <c r="H9" s="3784"/>
      <c r="I9" s="3784"/>
      <c r="J9" s="3784"/>
      <c r="K9" s="3784"/>
      <c r="L9" s="2426"/>
      <c r="M9" s="1247"/>
    </row>
    <row r="10" spans="2:13" x14ac:dyDescent="0.25">
      <c r="B10" s="1248"/>
      <c r="C10" s="1998" t="s">
        <v>7566</v>
      </c>
      <c r="D10" s="3784" t="s">
        <v>11926</v>
      </c>
      <c r="E10" s="3784"/>
      <c r="F10" s="3784"/>
      <c r="G10" s="3784"/>
      <c r="H10" s="3784"/>
      <c r="I10" s="3784"/>
      <c r="J10" s="3784"/>
      <c r="K10" s="3784"/>
      <c r="L10" s="2426"/>
      <c r="M10" s="1247"/>
    </row>
    <row r="11" spans="2:13" x14ac:dyDescent="0.25">
      <c r="B11" s="1248"/>
      <c r="C11" s="1998" t="s">
        <v>7567</v>
      </c>
      <c r="D11" s="3784" t="s">
        <v>12692</v>
      </c>
      <c r="E11" s="3784"/>
      <c r="F11" s="3784"/>
      <c r="G11" s="3784"/>
      <c r="H11" s="3784"/>
      <c r="I11" s="3784"/>
      <c r="J11" s="3784"/>
      <c r="K11" s="3784"/>
      <c r="L11" s="2620"/>
      <c r="M11" s="1247"/>
    </row>
    <row r="12" spans="2:13" x14ac:dyDescent="0.25">
      <c r="B12" s="1248"/>
      <c r="C12" s="1998">
        <v>2</v>
      </c>
      <c r="D12" s="3784" t="s">
        <v>11927</v>
      </c>
      <c r="E12" s="3784"/>
      <c r="F12" s="3784"/>
      <c r="G12" s="3784"/>
      <c r="H12" s="3784"/>
      <c r="I12" s="3784"/>
      <c r="J12" s="3784"/>
      <c r="K12" s="3784"/>
      <c r="L12" s="2605" t="s">
        <v>12</v>
      </c>
      <c r="M12" s="1247"/>
    </row>
    <row r="13" spans="2:13" x14ac:dyDescent="0.25">
      <c r="B13" s="1248"/>
      <c r="C13" s="1998" t="s">
        <v>27</v>
      </c>
      <c r="D13" s="3784" t="s">
        <v>11928</v>
      </c>
      <c r="E13" s="3784"/>
      <c r="F13" s="3784"/>
      <c r="G13" s="3784"/>
      <c r="H13" s="3784"/>
      <c r="I13" s="3784"/>
      <c r="J13" s="3784"/>
      <c r="K13" s="3784"/>
      <c r="L13" s="2425">
        <f>MIN(25000,SUM(Health_Insurance2_80D,Preventive_Health2_80D))</f>
        <v>0</v>
      </c>
      <c r="M13" s="1247"/>
    </row>
    <row r="14" spans="2:13" x14ac:dyDescent="0.25">
      <c r="B14" s="1248"/>
      <c r="C14" s="1998" t="s">
        <v>7565</v>
      </c>
      <c r="D14" s="3784" t="s">
        <v>11925</v>
      </c>
      <c r="E14" s="3784"/>
      <c r="F14" s="3784"/>
      <c r="G14" s="3784"/>
      <c r="H14" s="3784"/>
      <c r="I14" s="3784"/>
      <c r="J14" s="3784"/>
      <c r="K14" s="3784"/>
      <c r="L14" s="2426"/>
      <c r="M14" s="1247"/>
    </row>
    <row r="15" spans="2:13" x14ac:dyDescent="0.25">
      <c r="B15" s="1248"/>
      <c r="C15" s="1998" t="s">
        <v>7566</v>
      </c>
      <c r="D15" s="3784" t="s">
        <v>11926</v>
      </c>
      <c r="E15" s="3784"/>
      <c r="F15" s="3784"/>
      <c r="G15" s="3784"/>
      <c r="H15" s="3784"/>
      <c r="I15" s="3784"/>
      <c r="J15" s="3784"/>
      <c r="K15" s="3784"/>
      <c r="L15" s="2426"/>
      <c r="M15" s="1247"/>
    </row>
    <row r="16" spans="2:13" x14ac:dyDescent="0.25">
      <c r="B16" s="1248"/>
      <c r="C16" s="1998" t="s">
        <v>28</v>
      </c>
      <c r="D16" s="3784" t="s">
        <v>13064</v>
      </c>
      <c r="E16" s="3784"/>
      <c r="F16" s="3784"/>
      <c r="G16" s="3784"/>
      <c r="H16" s="3784"/>
      <c r="I16" s="3784"/>
      <c r="J16" s="3784"/>
      <c r="K16" s="3784"/>
      <c r="L16" s="2606">
        <f>MIN(50000,SUM(Health_Insurance3_80D,Preventive_Health3_80D,Medical_Expenditure2_80D))</f>
        <v>0</v>
      </c>
      <c r="M16" s="1247"/>
    </row>
    <row r="17" spans="2:13" x14ac:dyDescent="0.25">
      <c r="B17" s="1248"/>
      <c r="C17" s="1998" t="s">
        <v>7565</v>
      </c>
      <c r="D17" s="3784" t="s">
        <v>11925</v>
      </c>
      <c r="E17" s="3784"/>
      <c r="F17" s="3784"/>
      <c r="G17" s="3784"/>
      <c r="H17" s="3784"/>
      <c r="I17" s="3784"/>
      <c r="J17" s="3784"/>
      <c r="K17" s="3784"/>
      <c r="L17" s="2426"/>
      <c r="M17" s="1247"/>
    </row>
    <row r="18" spans="2:13" x14ac:dyDescent="0.25">
      <c r="B18" s="1248"/>
      <c r="C18" s="1998" t="s">
        <v>7566</v>
      </c>
      <c r="D18" s="3784" t="s">
        <v>11926</v>
      </c>
      <c r="E18" s="3784"/>
      <c r="F18" s="3784"/>
      <c r="G18" s="3784"/>
      <c r="H18" s="3784"/>
      <c r="I18" s="3784"/>
      <c r="J18" s="3784"/>
      <c r="K18" s="3784"/>
      <c r="L18" s="2426"/>
      <c r="M18" s="1247"/>
    </row>
    <row r="19" spans="2:13" x14ac:dyDescent="0.25">
      <c r="B19" s="1248"/>
      <c r="C19" s="1998" t="s">
        <v>7567</v>
      </c>
      <c r="D19" s="3784" t="s">
        <v>12692</v>
      </c>
      <c r="E19" s="3784"/>
      <c r="F19" s="3784"/>
      <c r="G19" s="3784"/>
      <c r="H19" s="3784"/>
      <c r="I19" s="3784"/>
      <c r="J19" s="3784"/>
      <c r="K19" s="3784"/>
      <c r="L19" s="2426"/>
      <c r="M19" s="1247"/>
    </row>
    <row r="20" spans="2:13" x14ac:dyDescent="0.25">
      <c r="B20" s="1248"/>
      <c r="C20" s="1998">
        <v>3</v>
      </c>
      <c r="D20" s="3784" t="s">
        <v>11929</v>
      </c>
      <c r="E20" s="3784"/>
      <c r="F20" s="3784"/>
      <c r="G20" s="3784"/>
      <c r="H20" s="3784"/>
      <c r="I20" s="3784"/>
      <c r="J20" s="3784"/>
      <c r="K20" s="3784"/>
      <c r="L20" s="1714">
        <f>IF(bacValue=1,0,MIN(GTI_LIMIT,MIN(100000,SUM(Self_And_Family_80D,Senior_Citizen_80D,Parents_80D,Parents_SC_80D))))</f>
        <v>0</v>
      </c>
      <c r="M20" s="1247"/>
    </row>
    <row r="21" spans="2:13" ht="15.75" thickBot="1" x14ac:dyDescent="0.3">
      <c r="B21" s="1246"/>
      <c r="C21" s="1245"/>
      <c r="D21" s="1245"/>
      <c r="E21" s="1245"/>
      <c r="F21" s="1245"/>
      <c r="G21" s="1245"/>
      <c r="H21" s="1245"/>
      <c r="I21" s="1245"/>
      <c r="J21" s="1245"/>
      <c r="K21" s="1245"/>
      <c r="L21" s="1245"/>
      <c r="M21" s="1244"/>
    </row>
    <row r="22" spans="2:13" x14ac:dyDescent="0.25"/>
  </sheetData>
  <sheetProtection algorithmName="SHA-512" hashValue="vMw3K0AfnFiA5FFeTa5Fh8RN1Nk0cDAHqvdcnlTNiHu9vwyNdy4tUef2UBYFUm7t6Cn4bM3J3oEzMpAnp1D3VA==" saltValue="3mLSjAM0D1Uw5aM4M0kltg==" spinCount="100000" sheet="1" objects="1" scenarios="1"/>
  <mergeCells count="17">
    <mergeCell ref="D9:K9"/>
    <mergeCell ref="D10:K10"/>
    <mergeCell ref="D11:K11"/>
    <mergeCell ref="D12:K12"/>
    <mergeCell ref="D4:K4"/>
    <mergeCell ref="D5:K5"/>
    <mergeCell ref="D6:K6"/>
    <mergeCell ref="D7:K7"/>
    <mergeCell ref="D8:K8"/>
    <mergeCell ref="D20:K20"/>
    <mergeCell ref="D13:K13"/>
    <mergeCell ref="D14:K14"/>
    <mergeCell ref="D16:K16"/>
    <mergeCell ref="D17:K17"/>
    <mergeCell ref="D18:K18"/>
    <mergeCell ref="D19:K19"/>
    <mergeCell ref="D15:K15"/>
  </mergeCells>
  <dataValidations count="14">
    <dataValidation type="whole" allowBlank="1" showInputMessage="1" showErrorMessage="1" errorTitle="Preventive Health" error="Preventive Health Checkup cannot be more than 5000." sqref="L18 L15">
      <formula1>1</formula1>
      <formula2>9998</formula2>
    </dataValidation>
    <dataValidation type="list" allowBlank="1" showInputMessage="1" showErrorMessage="1" error="Please select from Drop Down" sqref="L4">
      <formula1>"(Select),Yes,No,Not Claiming for Self/Family"</formula1>
    </dataValidation>
    <dataValidation type="whole" allowBlank="1" showInputMessage="1" showErrorMessage="1" errorTitle="Self and Family" error="Self and Family should be 5 Digits,numeric non negative" sqref="L5">
      <formula1>0</formula1>
      <formula2>99999</formula2>
    </dataValidation>
    <dataValidation type="whole" allowBlank="1" showInputMessage="1" showErrorMessage="1" errorTitle="Health Insurance" error="Health Insurance should be  14 Digits,numeric and non negative" sqref="L6">
      <formula1>0</formula1>
      <formula2>99999999999999</formula2>
    </dataValidation>
    <dataValidation type="whole" allowBlank="1" showInputMessage="1" showErrorMessage="1" errorTitle="Preventive Health" error="Preventive Health Checkup should be between 0 and 5000." sqref="L7">
      <formula1>0</formula1>
      <formula2>5000</formula2>
    </dataValidation>
    <dataValidation type="whole" allowBlank="1" showInputMessage="1" showErrorMessage="1" errorTitle="Self and Family" error="Self and Family should be 5 Digits,numeric ,non negative" sqref="L8">
      <formula1>0</formula1>
      <formula2>99999</formula2>
    </dataValidation>
    <dataValidation type="whole" allowBlank="1" showInputMessage="1" showErrorMessage="1" errorTitle="Medical Expenditure" error="Medical Expenditure should be 14 Digits,numeric,non negative" sqref="L19">
      <formula1>0</formula1>
      <formula2>99999999999999</formula2>
    </dataValidation>
    <dataValidation type="list" allowBlank="1" showInputMessage="1" showErrorMessage="1" error="Select from the Drop Down" sqref="L12">
      <formula1>"(Select),Yes,No,Not claiming for Parents"</formula1>
    </dataValidation>
    <dataValidation type="whole" allowBlank="1" showInputMessage="1" showErrorMessage="1" errorTitle="Parents" error="Parents should be 4 Digits,numeric and non negative" sqref="L13">
      <formula1>0</formula1>
      <formula2>99999</formula2>
    </dataValidation>
    <dataValidation type="whole" allowBlank="1" showInputMessage="1" showErrorMessage="1" errorTitle="Parents" error="Parents should be 5 Digits,numeric,non negative" sqref="L16">
      <formula1>0</formula1>
      <formula2>99999</formula2>
    </dataValidation>
    <dataValidation type="whole" allowBlank="1" showInputMessage="1" showErrorMessage="1" errorTitle="Eligible Amount" error="Eligible Amount should be numeric,non negative" sqref="L20">
      <formula1>0</formula1>
      <formula2>999999</formula2>
    </dataValidation>
    <dataValidation type="whole" allowBlank="1" showInputMessage="1" showErrorMessage="1" errorTitle="Health Insurance" error="Health Insurance should be 14 Digits,numeric,non negative" sqref="L9 L14 L17">
      <formula1>0</formula1>
      <formula2>99999999999999</formula2>
    </dataValidation>
    <dataValidation type="whole" allowBlank="1" showInputMessage="1" showErrorMessage="1" errorTitle="Medical Expenditure" error="Medical Expenditure should be 14 Digits, numeric,non negative" sqref="L11">
      <formula1>0</formula1>
      <formula2>99999999999999</formula2>
    </dataValidation>
    <dataValidation type="whole" allowBlank="1" showInputMessage="1" showErrorMessage="1" errorTitle="Preventive Health" error="Preventive Health Checkup cannot be more than 5000." sqref="L10">
      <formula1>0</formula1>
      <formula2>5000</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4738" r:id="rId4" name="Button 2">
              <controlPr defaultSize="0" print="0" autoFill="0" autoPict="0" macro="[0]!ValidateSheet80D_Click">
                <anchor>
                  <from>
                    <xdr:col>13</xdr:col>
                    <xdr:colOff>209550</xdr:colOff>
                    <xdr:row>3</xdr:row>
                    <xdr:rowOff>0</xdr:rowOff>
                  </from>
                  <to>
                    <xdr:col>15</xdr:col>
                    <xdr:colOff>361950</xdr:colOff>
                    <xdr:row>4</xdr:row>
                    <xdr:rowOff>95250</xdr:rowOff>
                  </to>
                </anchor>
              </controlPr>
            </control>
          </mc:Choice>
        </mc:AlternateContent>
        <mc:AlternateContent xmlns:mc="http://schemas.openxmlformats.org/markup-compatibility/2006">
          <mc:Choice Requires="x14">
            <control shapeId="244739" r:id="rId5" name="Button 3">
              <controlPr defaultSize="0" print="0" autoFill="0" autoPict="0" macro="[0]!Prev_Sheet">
                <anchor>
                  <from>
                    <xdr:col>13</xdr:col>
                    <xdr:colOff>209550</xdr:colOff>
                    <xdr:row>6</xdr:row>
                    <xdr:rowOff>76200</xdr:rowOff>
                  </from>
                  <to>
                    <xdr:col>15</xdr:col>
                    <xdr:colOff>361950</xdr:colOff>
                    <xdr:row>7</xdr:row>
                    <xdr:rowOff>171450</xdr:rowOff>
                  </to>
                </anchor>
              </controlPr>
            </control>
          </mc:Choice>
        </mc:AlternateContent>
        <mc:AlternateContent xmlns:mc="http://schemas.openxmlformats.org/markup-compatibility/2006">
          <mc:Choice Requires="x14">
            <control shapeId="244740" r:id="rId6" name="Button 4">
              <controlPr defaultSize="0" print="0" autoFill="0" autoPict="0" macro="[0]!Img_Home_Click">
                <anchor>
                  <from>
                    <xdr:col>13</xdr:col>
                    <xdr:colOff>209550</xdr:colOff>
                    <xdr:row>1</xdr:row>
                    <xdr:rowOff>57150</xdr:rowOff>
                  </from>
                  <to>
                    <xdr:col>15</xdr:col>
                    <xdr:colOff>361950</xdr:colOff>
                    <xdr:row>2</xdr:row>
                    <xdr:rowOff>133350</xdr:rowOff>
                  </to>
                </anchor>
              </controlPr>
            </control>
          </mc:Choice>
        </mc:AlternateContent>
        <mc:AlternateContent xmlns:mc="http://schemas.openxmlformats.org/markup-compatibility/2006">
          <mc:Choice Requires="x14">
            <control shapeId="244741" r:id="rId7" name="Button 5">
              <controlPr defaultSize="0" print="0" autoFill="0" autoPict="0" macro="[0]!Instruction_Sheet">
                <anchor>
                  <from>
                    <xdr:col>13</xdr:col>
                    <xdr:colOff>209550</xdr:colOff>
                    <xdr:row>11</xdr:row>
                    <xdr:rowOff>95250</xdr:rowOff>
                  </from>
                  <to>
                    <xdr:col>15</xdr:col>
                    <xdr:colOff>361950</xdr:colOff>
                    <xdr:row>12</xdr:row>
                    <xdr:rowOff>142875</xdr:rowOff>
                  </to>
                </anchor>
              </controlPr>
            </control>
          </mc:Choice>
        </mc:AlternateContent>
        <mc:AlternateContent xmlns:mc="http://schemas.openxmlformats.org/markup-compatibility/2006">
          <mc:Choice Requires="x14">
            <control shapeId="244742" r:id="rId8" name="Button 6">
              <controlPr defaultSize="0" print="0" autoFill="0" autoPict="0" macro="[0]!WorksheetsPrint">
                <anchor>
                  <from>
                    <xdr:col>13</xdr:col>
                    <xdr:colOff>209550</xdr:colOff>
                    <xdr:row>9</xdr:row>
                    <xdr:rowOff>142875</xdr:rowOff>
                  </from>
                  <to>
                    <xdr:col>15</xdr:col>
                    <xdr:colOff>361950</xdr:colOff>
                    <xdr:row>11</xdr:row>
                    <xdr:rowOff>57150</xdr:rowOff>
                  </to>
                </anchor>
              </controlPr>
            </control>
          </mc:Choice>
        </mc:AlternateContent>
        <mc:AlternateContent xmlns:mc="http://schemas.openxmlformats.org/markup-compatibility/2006">
          <mc:Choice Requires="x14">
            <control shapeId="244743" r:id="rId9" name="Button 7">
              <controlPr defaultSize="0" print="0" autoFill="0" autoPict="0" macro="[0]!GenerateJSON.GenerateJSON">
                <anchor>
                  <from>
                    <xdr:col>13</xdr:col>
                    <xdr:colOff>209550</xdr:colOff>
                    <xdr:row>8</xdr:row>
                    <xdr:rowOff>19050</xdr:rowOff>
                  </from>
                  <to>
                    <xdr:col>15</xdr:col>
                    <xdr:colOff>361950</xdr:colOff>
                    <xdr:row>9</xdr:row>
                    <xdr:rowOff>104775</xdr:rowOff>
                  </to>
                </anchor>
              </controlPr>
            </control>
          </mc:Choice>
        </mc:AlternateContent>
        <mc:AlternateContent xmlns:mc="http://schemas.openxmlformats.org/markup-compatibility/2006">
          <mc:Choice Requires="x14">
            <control shapeId="244744" r:id="rId10" name="Button 8">
              <controlPr defaultSize="0" print="0" autoFill="0" autoPict="0" macro="[0]!Next_Sheet">
                <anchor>
                  <from>
                    <xdr:col>13</xdr:col>
                    <xdr:colOff>209550</xdr:colOff>
                    <xdr:row>4</xdr:row>
                    <xdr:rowOff>133350</xdr:rowOff>
                  </from>
                  <to>
                    <xdr:col>15</xdr:col>
                    <xdr:colOff>361950</xdr:colOff>
                    <xdr:row>6</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XFC15"/>
  <sheetViews>
    <sheetView showGridLines="0" showRowColHeaders="0" zoomScaleNormal="100" workbookViewId="0">
      <selection activeCell="J8" sqref="J8"/>
    </sheetView>
  </sheetViews>
  <sheetFormatPr defaultColWidth="0" defaultRowHeight="15" zeroHeight="1" x14ac:dyDescent="0.25"/>
  <cols>
    <col min="1" max="1" width="3.5703125" customWidth="1"/>
    <col min="2" max="2" width="3" customWidth="1"/>
    <col min="3" max="3" width="7.28515625" customWidth="1"/>
    <col min="4" max="4" width="7.42578125" customWidth="1"/>
    <col min="5" max="6" width="20.5703125" customWidth="1"/>
    <col min="7" max="7" width="17.7109375" customWidth="1"/>
    <col min="8" max="8" width="11.7109375" customWidth="1"/>
    <col min="9" max="9" width="13" customWidth="1"/>
    <col min="10" max="10" width="12.140625" customWidth="1"/>
    <col min="11" max="11" width="20.5703125" customWidth="1"/>
    <col min="12" max="12" width="22.85546875" customWidth="1"/>
    <col min="13" max="13" width="25" customWidth="1"/>
    <col min="14" max="14" width="24.5703125" customWidth="1"/>
    <col min="15" max="15" width="3.7109375" customWidth="1"/>
    <col min="16" max="16" width="4.28515625" customWidth="1"/>
    <col min="17" max="17" width="30.5703125" customWidth="1"/>
    <col min="18" max="39" width="20.7109375" hidden="1"/>
    <col min="40" max="254" width="0.140625" hidden="1"/>
    <col min="255" max="255" width="1.5703125" hidden="1"/>
    <col min="256" max="16383" width="0.140625" hidden="1"/>
    <col min="16384" max="16384" width="3.7109375" hidden="1"/>
  </cols>
  <sheetData>
    <row r="1" spans="2:15" ht="15.75" thickBot="1" x14ac:dyDescent="0.3"/>
    <row r="2" spans="2:15" x14ac:dyDescent="0.25">
      <c r="B2" s="1251"/>
      <c r="C2" s="1250"/>
      <c r="D2" s="1250"/>
      <c r="E2" s="1250"/>
      <c r="F2" s="1250"/>
      <c r="G2" s="1250"/>
      <c r="H2" s="1250"/>
      <c r="I2" s="1250"/>
      <c r="J2" s="1250"/>
      <c r="K2" s="1250"/>
      <c r="L2" s="1250"/>
      <c r="M2" s="1250"/>
      <c r="N2" s="1250"/>
      <c r="O2" s="1249"/>
    </row>
    <row r="3" spans="2:15" x14ac:dyDescent="0.25">
      <c r="B3" s="1248"/>
      <c r="C3" s="3029" t="s">
        <v>9577</v>
      </c>
      <c r="D3" s="3031"/>
      <c r="E3" s="3017" t="s">
        <v>9361</v>
      </c>
      <c r="F3" s="3015"/>
      <c r="G3" s="3015"/>
      <c r="H3" s="3015"/>
      <c r="I3" s="3015"/>
      <c r="J3" s="3015"/>
      <c r="K3" s="3015"/>
      <c r="L3" s="3015"/>
      <c r="M3" s="3015"/>
      <c r="N3" s="3016"/>
      <c r="O3" s="1247"/>
    </row>
    <row r="4" spans="2:15" ht="15" customHeight="1" x14ac:dyDescent="0.25">
      <c r="B4" s="1248"/>
      <c r="C4" s="8"/>
      <c r="D4" s="3794"/>
      <c r="E4" s="3795"/>
      <c r="F4" s="3795"/>
      <c r="G4" s="3795"/>
      <c r="H4" s="3795"/>
      <c r="I4" s="3795"/>
      <c r="J4" s="3795"/>
      <c r="K4" s="3795"/>
      <c r="L4" s="3795"/>
      <c r="M4" s="3795"/>
      <c r="N4" s="3796"/>
      <c r="O4" s="1247"/>
    </row>
    <row r="5" spans="2:15" ht="15" customHeight="1" x14ac:dyDescent="0.25">
      <c r="B5" s="1248"/>
      <c r="C5" s="241"/>
      <c r="D5" s="3719" t="s">
        <v>1056</v>
      </c>
      <c r="E5" s="3780" t="s">
        <v>9251</v>
      </c>
      <c r="F5" s="3780" t="s">
        <v>1161</v>
      </c>
      <c r="G5" s="3780" t="s">
        <v>1162</v>
      </c>
      <c r="H5" s="3780" t="s">
        <v>1163</v>
      </c>
      <c r="I5" s="3780" t="s">
        <v>9250</v>
      </c>
      <c r="J5" s="3780" t="s">
        <v>9249</v>
      </c>
      <c r="K5" s="3791" t="s">
        <v>1166</v>
      </c>
      <c r="L5" s="3792"/>
      <c r="M5" s="3792"/>
      <c r="N5" s="3793"/>
      <c r="O5" s="1247"/>
    </row>
    <row r="6" spans="2:15" x14ac:dyDescent="0.25">
      <c r="B6" s="1248"/>
      <c r="C6" s="839"/>
      <c r="D6" s="3719"/>
      <c r="E6" s="3780"/>
      <c r="F6" s="3780"/>
      <c r="G6" s="3780"/>
      <c r="H6" s="3780"/>
      <c r="I6" s="3780"/>
      <c r="J6" s="3780"/>
      <c r="K6" s="31" t="s">
        <v>9248</v>
      </c>
      <c r="L6" s="31" t="s">
        <v>9247</v>
      </c>
      <c r="M6" s="31" t="s">
        <v>8976</v>
      </c>
      <c r="N6" s="31" t="s">
        <v>1167</v>
      </c>
      <c r="O6" s="1247"/>
    </row>
    <row r="7" spans="2:15" x14ac:dyDescent="0.25">
      <c r="B7" s="1248"/>
      <c r="C7" s="839"/>
      <c r="D7" s="1252">
        <v>1</v>
      </c>
      <c r="E7" s="1986"/>
      <c r="F7" s="1986"/>
      <c r="G7" s="1986"/>
      <c r="H7" s="1986" t="s">
        <v>12</v>
      </c>
      <c r="I7" s="2039" t="s">
        <v>23</v>
      </c>
      <c r="J7" s="2039" t="s">
        <v>23</v>
      </c>
      <c r="K7" s="1973"/>
      <c r="L7" s="1973"/>
      <c r="M7" s="1391">
        <f>MAX(SUM(K7,L7),0)</f>
        <v>0</v>
      </c>
      <c r="N7" s="1973"/>
      <c r="O7" s="1247"/>
    </row>
    <row r="8" spans="2:15" x14ac:dyDescent="0.25">
      <c r="B8" s="1248"/>
      <c r="C8" s="839"/>
      <c r="D8" s="1252">
        <f>D7+1</f>
        <v>2</v>
      </c>
      <c r="E8" s="1986"/>
      <c r="F8" s="1986"/>
      <c r="G8" s="1986"/>
      <c r="H8" s="1986" t="s">
        <v>12</v>
      </c>
      <c r="I8" s="2039"/>
      <c r="J8" s="2039" t="s">
        <v>23</v>
      </c>
      <c r="K8" s="1973"/>
      <c r="L8" s="1973"/>
      <c r="M8" s="1391">
        <f>MAX(SUM(K8,L8),0)</f>
        <v>0</v>
      </c>
      <c r="N8" s="1973"/>
      <c r="O8" s="1247"/>
    </row>
    <row r="9" spans="2:15" x14ac:dyDescent="0.25">
      <c r="B9" s="1248"/>
      <c r="C9" s="839"/>
      <c r="D9" s="1252">
        <f>D8+1</f>
        <v>3</v>
      </c>
      <c r="E9" s="1986"/>
      <c r="F9" s="1986"/>
      <c r="G9" s="1986"/>
      <c r="H9" s="1986" t="s">
        <v>12</v>
      </c>
      <c r="I9" s="2039"/>
      <c r="J9" s="2039"/>
      <c r="K9" s="1973"/>
      <c r="L9" s="1973"/>
      <c r="M9" s="1391">
        <f>MAX(SUM(K9,L9),0)</f>
        <v>0</v>
      </c>
      <c r="N9" s="1973"/>
      <c r="O9" s="1247"/>
    </row>
    <row r="10" spans="2:15" x14ac:dyDescent="0.25">
      <c r="B10" s="1248"/>
      <c r="C10" s="839"/>
      <c r="D10" s="87">
        <f>D9+1</f>
        <v>4</v>
      </c>
      <c r="E10" s="1986"/>
      <c r="F10" s="1986"/>
      <c r="G10" s="1986"/>
      <c r="H10" s="1986" t="s">
        <v>12</v>
      </c>
      <c r="I10" s="2039"/>
      <c r="J10" s="2039"/>
      <c r="K10" s="1973"/>
      <c r="L10" s="1973"/>
      <c r="M10" s="1396">
        <f>MAX(SUM(K10,L10),0)</f>
        <v>0</v>
      </c>
      <c r="N10" s="1973"/>
      <c r="O10" s="1247"/>
    </row>
    <row r="11" spans="2:15" x14ac:dyDescent="0.25">
      <c r="B11" s="1248"/>
      <c r="C11" s="838"/>
      <c r="D11" s="848"/>
      <c r="E11" s="848"/>
      <c r="F11" s="848"/>
      <c r="G11" s="848"/>
      <c r="H11" s="848"/>
      <c r="I11" s="848"/>
      <c r="J11" s="848"/>
      <c r="K11" s="848"/>
      <c r="L11" s="848"/>
      <c r="M11" s="846"/>
      <c r="N11" s="846"/>
      <c r="O11" s="1247"/>
    </row>
    <row r="12" spans="2:15" x14ac:dyDescent="0.25">
      <c r="B12" s="1248"/>
      <c r="C12" s="724"/>
      <c r="D12" s="3063" t="s">
        <v>8976</v>
      </c>
      <c r="E12" s="3091"/>
      <c r="F12" s="3091"/>
      <c r="G12" s="3091"/>
      <c r="H12" s="3091"/>
      <c r="I12" s="3091"/>
      <c r="J12" s="3092"/>
      <c r="K12" s="1391">
        <f>SUM(Donation_cash_80GGA)</f>
        <v>0</v>
      </c>
      <c r="L12" s="1391">
        <f>SUM(Donation_other_80GGA)</f>
        <v>0</v>
      </c>
      <c r="M12" s="1395">
        <f>SUM(Donation_total_80GGA)</f>
        <v>0</v>
      </c>
      <c r="N12" s="1395">
        <f>SUM(Donation_Eligible_80GGA)</f>
        <v>0</v>
      </c>
      <c r="O12" s="1247"/>
    </row>
    <row r="13" spans="2:15" ht="28.5" customHeight="1" x14ac:dyDescent="0.25">
      <c r="B13" s="1248"/>
      <c r="C13" s="1874"/>
      <c r="D13" s="1942"/>
      <c r="E13" s="1942"/>
      <c r="F13" s="1942"/>
      <c r="G13" s="1942"/>
      <c r="H13" s="1942"/>
      <c r="I13" s="1942"/>
      <c r="J13" s="1942"/>
      <c r="K13" s="1942"/>
      <c r="L13" s="1942"/>
      <c r="M13" s="1942"/>
      <c r="N13" s="39"/>
      <c r="O13" s="1247"/>
    </row>
    <row r="14" spans="2:15" ht="15.75" thickBot="1" x14ac:dyDescent="0.3">
      <c r="B14" s="1246"/>
      <c r="C14" s="1245"/>
      <c r="D14" s="1245"/>
      <c r="E14" s="1245"/>
      <c r="F14" s="1245"/>
      <c r="G14" s="1245"/>
      <c r="H14" s="1245"/>
      <c r="I14" s="1245"/>
      <c r="J14" s="1245"/>
      <c r="K14" s="1245"/>
      <c r="L14" s="1245"/>
      <c r="M14" s="1245"/>
      <c r="N14" s="1245"/>
      <c r="O14" s="1244"/>
    </row>
    <row r="15" spans="2:15" x14ac:dyDescent="0.25"/>
  </sheetData>
  <sheetProtection algorithmName="SHA-512" hashValue="XDm7+emT1TwwtnaWtMhplyxBXLF+diWYcHPRMn6N1puzlTLtwasGnPxq8N01tFso3VRH5w8UL9XoFFEwUGwZpQ==" saltValue="G1ltYKaKthiJYEhUyH9fqw==" spinCount="100000" sheet="1" objects="1" scenarios="1"/>
  <mergeCells count="12">
    <mergeCell ref="D12:J12"/>
    <mergeCell ref="K5:N5"/>
    <mergeCell ref="D4:N4"/>
    <mergeCell ref="C3:D3"/>
    <mergeCell ref="E3:N3"/>
    <mergeCell ref="F5:F6"/>
    <mergeCell ref="G5:G6"/>
    <mergeCell ref="H5:H6"/>
    <mergeCell ref="I5:I6"/>
    <mergeCell ref="J5:J6"/>
    <mergeCell ref="D5:D6"/>
    <mergeCell ref="E5:E6"/>
  </mergeCells>
  <dataValidations count="9">
    <dataValidation type="textLength" operator="lessThanOrEqual" allowBlank="1" showErrorMessage="1" errorTitle="CityOrTownOrDistrict" error="City or Town or District should not exceed 50 characters" sqref="G7:G10">
      <formula1>50</formula1>
    </dataValidation>
    <dataValidation type="textLength" operator="lessThanOrEqual" allowBlank="1" showErrorMessage="1" errorTitle="AddrDetail" error="Address should not exceed 200 characters" sqref="F7:F10">
      <formula1>200</formula1>
    </dataValidation>
    <dataValidation type="textLength" operator="equal" allowBlank="1" showInputMessage="1" showErrorMessage="1" errorTitle="PAN of Donee" error="PAN of Donee  should be exactly 10  in Length" prompt="Enter the PAN of the person to whom the donation is made" sqref="J7:J10">
      <formula1>10</formula1>
    </dataValidation>
    <dataValidation type="textLength" operator="lessThanOrEqual" allowBlank="1" showErrorMessage="1" errorTitle="DoneeName" error="Donee Name should not exceed 125 characters" sqref="E7:E10">
      <formula1>125</formula1>
    </dataValidation>
    <dataValidation type="textLength" operator="equal" allowBlank="1" showErrorMessage="1" errorTitle="PinCode" error="Pin Code must be exactly 6 digits and should not start with zero." sqref="I7:I10">
      <formula1>6</formula1>
    </dataValidation>
    <dataValidation type="list" allowBlank="1" showInputMessage="1" showErrorMessage="1" sqref="H7:H10">
      <formula1>State80G</formula1>
    </dataValidation>
    <dataValidation type="whole" allowBlank="1" showInputMessage="1" showErrorMessage="1" sqref="L12:N12">
      <formula1>0</formula1>
      <formula2>99999999999999</formula2>
    </dataValidation>
    <dataValidation type="whole" allowBlank="1" showErrorMessage="1" errorTitle="Donation Amount" error="Amount should be numeric, non negative, no decimal, upto 14 digits" sqref="K7:M10 N8:N10">
      <formula1>0</formula1>
      <formula2>99999999999999</formula2>
    </dataValidation>
    <dataValidation type="whole" allowBlank="1" showErrorMessage="1" errorTitle="Eligible  Amount" error="Eligible  Amount should be numeric, non negative, no decimal, upto 14 digits" sqref="N7">
      <formula1>0</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Button 1">
              <controlPr defaultSize="0" print="0" autoFill="0" autoPict="0" macro="[0]!AddRows80GGA_Click">
                <anchor moveWithCells="1">
                  <from>
                    <xdr:col>2</xdr:col>
                    <xdr:colOff>38100</xdr:colOff>
                    <xdr:row>12</xdr:row>
                    <xdr:rowOff>38100</xdr:rowOff>
                  </from>
                  <to>
                    <xdr:col>4</xdr:col>
                    <xdr:colOff>438150</xdr:colOff>
                    <xdr:row>12</xdr:row>
                    <xdr:rowOff>304800</xdr:rowOff>
                  </to>
                </anchor>
              </controlPr>
            </control>
          </mc:Choice>
        </mc:AlternateContent>
        <mc:AlternateContent xmlns:mc="http://schemas.openxmlformats.org/markup-compatibility/2006">
          <mc:Choice Requires="x14">
            <control shapeId="198658" r:id="rId5" name="Button 2">
              <controlPr defaultSize="0" print="0" autoFill="0" autoPict="0" macro="[0]!ValidateSheet80GGA_Click">
                <anchor>
                  <from>
                    <xdr:col>15</xdr:col>
                    <xdr:colOff>142875</xdr:colOff>
                    <xdr:row>2</xdr:row>
                    <xdr:rowOff>114300</xdr:rowOff>
                  </from>
                  <to>
                    <xdr:col>16</xdr:col>
                    <xdr:colOff>1238250</xdr:colOff>
                    <xdr:row>4</xdr:row>
                    <xdr:rowOff>19050</xdr:rowOff>
                  </to>
                </anchor>
              </controlPr>
            </control>
          </mc:Choice>
        </mc:AlternateContent>
        <mc:AlternateContent xmlns:mc="http://schemas.openxmlformats.org/markup-compatibility/2006">
          <mc:Choice Requires="x14">
            <control shapeId="198659" r:id="rId6" name="Button 3">
              <controlPr defaultSize="0" print="0" autoFill="0" autoPict="0" macro="[0]!Prev_Sheet">
                <anchor>
                  <from>
                    <xdr:col>15</xdr:col>
                    <xdr:colOff>142875</xdr:colOff>
                    <xdr:row>5</xdr:row>
                    <xdr:rowOff>171450</xdr:rowOff>
                  </from>
                  <to>
                    <xdr:col>16</xdr:col>
                    <xdr:colOff>1238250</xdr:colOff>
                    <xdr:row>7</xdr:row>
                    <xdr:rowOff>66675</xdr:rowOff>
                  </to>
                </anchor>
              </controlPr>
            </control>
          </mc:Choice>
        </mc:AlternateContent>
        <mc:AlternateContent xmlns:mc="http://schemas.openxmlformats.org/markup-compatibility/2006">
          <mc:Choice Requires="x14">
            <control shapeId="198660" r:id="rId7" name="Button 4">
              <controlPr defaultSize="0" print="0" autoFill="0" autoPict="0" macro="[0]!Next_Sheet">
                <anchor>
                  <from>
                    <xdr:col>15</xdr:col>
                    <xdr:colOff>142875</xdr:colOff>
                    <xdr:row>4</xdr:row>
                    <xdr:rowOff>57150</xdr:rowOff>
                  </from>
                  <to>
                    <xdr:col>16</xdr:col>
                    <xdr:colOff>1238250</xdr:colOff>
                    <xdr:row>5</xdr:row>
                    <xdr:rowOff>133350</xdr:rowOff>
                  </to>
                </anchor>
              </controlPr>
            </control>
          </mc:Choice>
        </mc:AlternateContent>
        <mc:AlternateContent xmlns:mc="http://schemas.openxmlformats.org/markup-compatibility/2006">
          <mc:Choice Requires="x14">
            <control shapeId="198661" r:id="rId8" name="Button 5">
              <controlPr defaultSize="0" print="0" autoFill="0" autoPict="0" macro="[0]!Img_Home_Click">
                <anchor>
                  <from>
                    <xdr:col>15</xdr:col>
                    <xdr:colOff>142875</xdr:colOff>
                    <xdr:row>0</xdr:row>
                    <xdr:rowOff>190500</xdr:rowOff>
                  </from>
                  <to>
                    <xdr:col>16</xdr:col>
                    <xdr:colOff>1238250</xdr:colOff>
                    <xdr:row>2</xdr:row>
                    <xdr:rowOff>76200</xdr:rowOff>
                  </to>
                </anchor>
              </controlPr>
            </control>
          </mc:Choice>
        </mc:AlternateContent>
        <mc:AlternateContent xmlns:mc="http://schemas.openxmlformats.org/markup-compatibility/2006">
          <mc:Choice Requires="x14">
            <control shapeId="198662" r:id="rId9" name="Button 6">
              <controlPr defaultSize="0" print="0" autoFill="0" autoPict="0" macro="[0]!WorksheetsPrint">
                <anchor>
                  <from>
                    <xdr:col>15</xdr:col>
                    <xdr:colOff>142875</xdr:colOff>
                    <xdr:row>9</xdr:row>
                    <xdr:rowOff>38100</xdr:rowOff>
                  </from>
                  <to>
                    <xdr:col>16</xdr:col>
                    <xdr:colOff>1238250</xdr:colOff>
                    <xdr:row>10</xdr:row>
                    <xdr:rowOff>133350</xdr:rowOff>
                  </to>
                </anchor>
              </controlPr>
            </control>
          </mc:Choice>
        </mc:AlternateContent>
        <mc:AlternateContent xmlns:mc="http://schemas.openxmlformats.org/markup-compatibility/2006">
          <mc:Choice Requires="x14">
            <control shapeId="198663" r:id="rId10" name="Button 7">
              <controlPr defaultSize="0" print="0" autoFill="0" autoPict="0" macro="[0]!GenerateJSON.GenerateJSON">
                <anchor>
                  <from>
                    <xdr:col>15</xdr:col>
                    <xdr:colOff>142875</xdr:colOff>
                    <xdr:row>7</xdr:row>
                    <xdr:rowOff>104775</xdr:rowOff>
                  </from>
                  <to>
                    <xdr:col>16</xdr:col>
                    <xdr:colOff>1238250</xdr:colOff>
                    <xdr:row>9</xdr:row>
                    <xdr:rowOff>0</xdr:rowOff>
                  </to>
                </anchor>
              </controlPr>
            </control>
          </mc:Choice>
        </mc:AlternateContent>
        <mc:AlternateContent xmlns:mc="http://schemas.openxmlformats.org/markup-compatibility/2006">
          <mc:Choice Requires="x14">
            <control shapeId="198664" r:id="rId11" name="Button 8">
              <controlPr defaultSize="0" print="0" autoFill="0" autoPict="0" macro="[0]!Instruction_Sheet">
                <anchor>
                  <from>
                    <xdr:col>15</xdr:col>
                    <xdr:colOff>142875</xdr:colOff>
                    <xdr:row>10</xdr:row>
                    <xdr:rowOff>171450</xdr:rowOff>
                  </from>
                  <to>
                    <xdr:col>16</xdr:col>
                    <xdr:colOff>1238250</xdr:colOff>
                    <xdr:row>12</xdr:row>
                    <xdr:rowOff>57150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XFC15"/>
  <sheetViews>
    <sheetView showGridLines="0" showRowColHeaders="0" zoomScaleNormal="100" workbookViewId="0"/>
  </sheetViews>
  <sheetFormatPr defaultColWidth="0" defaultRowHeight="0" customHeight="1" zeroHeight="1" x14ac:dyDescent="0.25"/>
  <cols>
    <col min="1" max="1" width="3.5703125" style="2511" customWidth="1"/>
    <col min="2" max="2" width="3" style="2511" customWidth="1"/>
    <col min="3" max="3" width="7.28515625" style="2511" customWidth="1"/>
    <col min="4" max="4" width="7.42578125" style="2511" customWidth="1"/>
    <col min="5" max="5" width="32.85546875" style="2511" customWidth="1"/>
    <col min="6" max="7" width="20.5703125" style="2511" customWidth="1"/>
    <col min="8" max="8" width="17.7109375" style="2511" customWidth="1"/>
    <col min="9" max="9" width="11.7109375" style="2511" customWidth="1"/>
    <col min="10" max="10" width="13" style="2511" customWidth="1"/>
    <col min="11" max="11" width="12.140625" style="2511" customWidth="1"/>
    <col min="12" max="12" width="20.5703125" style="2511" customWidth="1"/>
    <col min="13" max="13" width="22.85546875" style="2511" customWidth="1"/>
    <col min="14" max="14" width="25" style="2511" customWidth="1"/>
    <col min="15" max="15" width="24.5703125" style="2511" customWidth="1"/>
    <col min="16" max="16" width="3.7109375" style="2511" customWidth="1"/>
    <col min="17" max="17" width="4.28515625" style="2511" customWidth="1"/>
    <col min="18" max="18" width="30.7109375" style="2511" customWidth="1"/>
    <col min="19" max="20" width="30.7109375" style="2511" hidden="1"/>
    <col min="21" max="21" width="3" style="2511" hidden="1"/>
    <col min="22" max="255" width="0.140625" style="2511" hidden="1"/>
    <col min="256" max="256" width="1.5703125" style="2511" hidden="1"/>
    <col min="257" max="16383" width="9.140625" style="2511" hidden="1"/>
    <col min="16384" max="16384" width="3.140625" style="2511" hidden="1"/>
  </cols>
  <sheetData>
    <row r="1" spans="2:20" s="2534" customFormat="1" ht="15.75" thickBot="1" x14ac:dyDescent="0.3">
      <c r="T1" s="2534">
        <f>sheet10.ProfBfrTaxPL+sheet11.DebPLUs35ExcessAmt</f>
        <v>0</v>
      </c>
    </row>
    <row r="2" spans="2:20" s="2534" customFormat="1" ht="15" x14ac:dyDescent="0.25">
      <c r="B2" s="2535"/>
      <c r="C2" s="2536"/>
      <c r="D2" s="2536"/>
      <c r="E2" s="2536"/>
      <c r="F2" s="2536"/>
      <c r="G2" s="2536"/>
      <c r="H2" s="2536"/>
      <c r="I2" s="2536"/>
      <c r="J2" s="2536"/>
      <c r="K2" s="2536"/>
      <c r="L2" s="2536"/>
      <c r="M2" s="2536"/>
      <c r="N2" s="2536"/>
      <c r="O2" s="2536"/>
      <c r="P2" s="2537"/>
    </row>
    <row r="3" spans="2:20" s="2534" customFormat="1" ht="15" x14ac:dyDescent="0.25">
      <c r="B3" s="2538"/>
      <c r="C3" s="2539" t="s">
        <v>13194</v>
      </c>
      <c r="D3" s="2540"/>
      <c r="E3" s="2541"/>
      <c r="F3" s="3804" t="s">
        <v>13195</v>
      </c>
      <c r="G3" s="3805"/>
      <c r="H3" s="3805"/>
      <c r="I3" s="3805"/>
      <c r="J3" s="3805"/>
      <c r="K3" s="3805"/>
      <c r="L3" s="3805"/>
      <c r="M3" s="3805"/>
      <c r="N3" s="3805"/>
      <c r="O3" s="3806"/>
      <c r="P3" s="2542"/>
    </row>
    <row r="4" spans="2:20" s="2534" customFormat="1" ht="15" customHeight="1" x14ac:dyDescent="0.25">
      <c r="B4" s="2538"/>
      <c r="C4" s="2543"/>
      <c r="D4" s="3807"/>
      <c r="E4" s="3808"/>
      <c r="F4" s="3808"/>
      <c r="G4" s="3808"/>
      <c r="H4" s="3808"/>
      <c r="I4" s="3808"/>
      <c r="J4" s="3808"/>
      <c r="K4" s="3808"/>
      <c r="L4" s="3808"/>
      <c r="M4" s="3808"/>
      <c r="N4" s="3808"/>
      <c r="O4" s="3809"/>
      <c r="P4" s="2542"/>
    </row>
    <row r="5" spans="2:20" s="2534" customFormat="1" ht="15" customHeight="1" x14ac:dyDescent="0.25">
      <c r="B5" s="2538"/>
      <c r="C5" s="2544"/>
      <c r="D5" s="3810" t="s">
        <v>1056</v>
      </c>
      <c r="E5" s="3803" t="s">
        <v>13223</v>
      </c>
      <c r="F5" s="3803" t="s">
        <v>9251</v>
      </c>
      <c r="G5" s="3803" t="s">
        <v>1161</v>
      </c>
      <c r="H5" s="3803" t="s">
        <v>1162</v>
      </c>
      <c r="I5" s="3803" t="s">
        <v>1163</v>
      </c>
      <c r="J5" s="3803" t="s">
        <v>9250</v>
      </c>
      <c r="K5" s="3803" t="s">
        <v>9249</v>
      </c>
      <c r="L5" s="3797" t="s">
        <v>1166</v>
      </c>
      <c r="M5" s="3798"/>
      <c r="N5" s="3798"/>
      <c r="O5" s="3799"/>
      <c r="P5" s="2542"/>
    </row>
    <row r="6" spans="2:20" s="2534" customFormat="1" ht="15" x14ac:dyDescent="0.25">
      <c r="B6" s="2538"/>
      <c r="C6" s="2545"/>
      <c r="D6" s="3810"/>
      <c r="E6" s="3803"/>
      <c r="F6" s="3803"/>
      <c r="G6" s="3803"/>
      <c r="H6" s="3803"/>
      <c r="I6" s="3803"/>
      <c r="J6" s="3803"/>
      <c r="K6" s="3803"/>
      <c r="L6" s="72" t="s">
        <v>9248</v>
      </c>
      <c r="M6" s="72" t="s">
        <v>9247</v>
      </c>
      <c r="N6" s="72" t="s">
        <v>8976</v>
      </c>
      <c r="O6" s="72" t="s">
        <v>1167</v>
      </c>
      <c r="P6" s="2542"/>
    </row>
    <row r="7" spans="2:20" s="2534" customFormat="1" ht="23.25" customHeight="1" x14ac:dyDescent="0.25">
      <c r="B7" s="2538"/>
      <c r="C7" s="2545"/>
      <c r="D7" s="1252">
        <v>1</v>
      </c>
      <c r="E7" s="2554"/>
      <c r="F7" s="2554"/>
      <c r="G7" s="2554"/>
      <c r="H7" s="2554"/>
      <c r="I7" s="2555" t="s">
        <v>12</v>
      </c>
      <c r="J7" s="2556"/>
      <c r="K7" s="2583"/>
      <c r="L7" s="2557"/>
      <c r="M7" s="2557"/>
      <c r="N7" s="2533">
        <f>MAX(SUM(L7,M7),0)</f>
        <v>0</v>
      </c>
      <c r="O7" s="2533">
        <f>MIN(SUM(IF(L7&gt;S7,0,L7),M7),Sheet8b.GrossTotalIncome)</f>
        <v>0</v>
      </c>
      <c r="P7" s="2542"/>
      <c r="S7" s="2534">
        <f>IF(L7=0,0,2000)</f>
        <v>0</v>
      </c>
    </row>
    <row r="8" spans="2:20" s="2534" customFormat="1" ht="21.75" customHeight="1" x14ac:dyDescent="0.25">
      <c r="B8" s="2538"/>
      <c r="C8" s="2545"/>
      <c r="D8" s="1252">
        <f>D7+1</f>
        <v>2</v>
      </c>
      <c r="E8" s="2554"/>
      <c r="F8" s="2554"/>
      <c r="G8" s="2554"/>
      <c r="H8" s="2554"/>
      <c r="I8" s="2555" t="s">
        <v>12</v>
      </c>
      <c r="J8" s="2556"/>
      <c r="K8" s="2583"/>
      <c r="L8" s="2557"/>
      <c r="M8" s="2557"/>
      <c r="N8" s="2533">
        <f>MAX(SUM(L8,M8),0)</f>
        <v>0</v>
      </c>
      <c r="O8" s="2533">
        <f>MIN(SUM(IF(L8&gt;S8,0,L8),M8),Sheet8b.GrossTotalIncome)</f>
        <v>0</v>
      </c>
      <c r="P8" s="2542"/>
      <c r="S8" s="2534">
        <f t="shared" ref="S8:S10" si="0">IF(L8=0,0,2000)</f>
        <v>0</v>
      </c>
    </row>
    <row r="9" spans="2:20" s="2534" customFormat="1" ht="21.75" customHeight="1" x14ac:dyDescent="0.25">
      <c r="B9" s="2538"/>
      <c r="C9" s="2545"/>
      <c r="D9" s="1252">
        <f>D8+1</f>
        <v>3</v>
      </c>
      <c r="E9" s="2554"/>
      <c r="F9" s="2554"/>
      <c r="G9" s="2554"/>
      <c r="H9" s="2554"/>
      <c r="I9" s="2555" t="s">
        <v>12</v>
      </c>
      <c r="J9" s="2556"/>
      <c r="K9" s="2583" t="s">
        <v>23</v>
      </c>
      <c r="L9" s="2557"/>
      <c r="M9" s="2557"/>
      <c r="N9" s="2533">
        <f>MAX(SUM(L9,M9),0)</f>
        <v>0</v>
      </c>
      <c r="O9" s="2533">
        <f>MIN(SUM(IF(L9&gt;S9,0,L9),M9),Sheet8b.GrossTotalIncome)</f>
        <v>0</v>
      </c>
      <c r="P9" s="2542"/>
      <c r="S9" s="2534">
        <f t="shared" si="0"/>
        <v>0</v>
      </c>
    </row>
    <row r="10" spans="2:20" s="2534" customFormat="1" ht="21.75" customHeight="1" x14ac:dyDescent="0.25">
      <c r="B10" s="2538"/>
      <c r="C10" s="2545"/>
      <c r="D10" s="87">
        <f>D9+1</f>
        <v>4</v>
      </c>
      <c r="E10" s="2554"/>
      <c r="F10" s="2554"/>
      <c r="G10" s="2554"/>
      <c r="H10" s="2554"/>
      <c r="I10" s="2555" t="s">
        <v>12</v>
      </c>
      <c r="J10" s="2556"/>
      <c r="K10" s="2583"/>
      <c r="L10" s="2557"/>
      <c r="M10" s="2557"/>
      <c r="N10" s="1396">
        <f>MAX(SUM(L10,M10),0)</f>
        <v>0</v>
      </c>
      <c r="O10" s="2533">
        <f>MIN(SUM(IF(L10&gt;S10,0,L10),M10),Sheet8b.GrossTotalIncome)</f>
        <v>0</v>
      </c>
      <c r="P10" s="2542"/>
      <c r="S10" s="2534">
        <f t="shared" si="0"/>
        <v>0</v>
      </c>
    </row>
    <row r="11" spans="2:20" s="2534" customFormat="1" ht="15" x14ac:dyDescent="0.25">
      <c r="B11" s="2538"/>
      <c r="C11" s="2546"/>
      <c r="D11" s="1838"/>
      <c r="E11" s="1838"/>
      <c r="F11" s="1838"/>
      <c r="G11" s="1838"/>
      <c r="H11" s="1838"/>
      <c r="I11" s="1838"/>
      <c r="J11" s="1838"/>
      <c r="K11" s="1838"/>
      <c r="L11" s="1838"/>
      <c r="M11" s="1838"/>
      <c r="N11" s="2547"/>
      <c r="O11" s="2547"/>
      <c r="P11" s="2542"/>
    </row>
    <row r="12" spans="2:20" s="2534" customFormat="1" ht="15" x14ac:dyDescent="0.25">
      <c r="B12" s="2538"/>
      <c r="C12" s="2548"/>
      <c r="D12" s="3800" t="s">
        <v>8976</v>
      </c>
      <c r="E12" s="3801"/>
      <c r="F12" s="3801"/>
      <c r="G12" s="3801"/>
      <c r="H12" s="3801"/>
      <c r="I12" s="3801"/>
      <c r="J12" s="3801"/>
      <c r="K12" s="3802"/>
      <c r="L12" s="2533">
        <f>SUM(Donation_cash_80GGANew)</f>
        <v>0</v>
      </c>
      <c r="M12" s="2533">
        <f>SUM(Donation_other_80GGANew)</f>
        <v>0</v>
      </c>
      <c r="N12" s="1395">
        <f>IF(bacValue=1,0,SUM(Donation_total_80GGANew))</f>
        <v>0</v>
      </c>
      <c r="O12" s="1395">
        <f>IF(MID(sheet1.ReturnFileSec,1,2)="12",0,IF(OR(bacValue=1,NOBCODE00001=0,BP_80GGA&gt;0),0,IF(Sheet8b.TotProfBusGain&gt;0,0,MIN(SUM(Donation_Eligible_80GGANew),TotalPendingIncome))))</f>
        <v>0</v>
      </c>
      <c r="P12" s="2542"/>
    </row>
    <row r="13" spans="2:20" s="2534" customFormat="1" ht="28.5" customHeight="1" x14ac:dyDescent="0.25">
      <c r="B13" s="2538"/>
      <c r="C13" s="2549"/>
      <c r="D13" s="2550"/>
      <c r="E13" s="2550"/>
      <c r="F13" s="2550"/>
      <c r="G13" s="2550"/>
      <c r="H13" s="2550"/>
      <c r="I13" s="2550"/>
      <c r="J13" s="2550"/>
      <c r="K13" s="2550"/>
      <c r="L13" s="2550"/>
      <c r="M13" s="2550"/>
      <c r="N13" s="2550"/>
      <c r="O13" s="767"/>
      <c r="P13" s="2542"/>
      <c r="S13" s="2534">
        <f>NOBCODE00001</f>
        <v>1</v>
      </c>
    </row>
    <row r="14" spans="2:20" s="2534" customFormat="1" ht="15.75" thickBot="1" x14ac:dyDescent="0.3">
      <c r="B14" s="2551"/>
      <c r="C14" s="2552"/>
      <c r="D14" s="2552"/>
      <c r="E14" s="2552"/>
      <c r="F14" s="2552"/>
      <c r="G14" s="2552"/>
      <c r="H14" s="2552"/>
      <c r="I14" s="2552"/>
      <c r="J14" s="2552"/>
      <c r="K14" s="2552"/>
      <c r="L14" s="2552"/>
      <c r="M14" s="2552"/>
      <c r="N14" s="2552"/>
      <c r="O14" s="2552"/>
      <c r="P14" s="2553"/>
    </row>
    <row r="15" spans="2:20" s="2534" customFormat="1" ht="15" x14ac:dyDescent="0.25"/>
  </sheetData>
  <sheetProtection algorithmName="SHA-512" hashValue="e9mbEFnFjUO7En0uFROXinPhcXIXkJNVn9DNdLzmXAi1HOOScdFa4A+SiLYjbntMpbqK35unOQq75iBkZibOUQ==" saltValue="a62udT/IFjF6f9PDRjzUrA==" spinCount="100000" sheet="1" objects="1" scenarios="1"/>
  <mergeCells count="12">
    <mergeCell ref="L5:O5"/>
    <mergeCell ref="D12:K12"/>
    <mergeCell ref="E5:E6"/>
    <mergeCell ref="F3:O3"/>
    <mergeCell ref="D4:O4"/>
    <mergeCell ref="D5:D6"/>
    <mergeCell ref="F5:F6"/>
    <mergeCell ref="G5:G6"/>
    <mergeCell ref="H5:H6"/>
    <mergeCell ref="I5:I6"/>
    <mergeCell ref="J5:J6"/>
    <mergeCell ref="K5:K6"/>
  </mergeCells>
  <dataValidations count="9">
    <dataValidation type="whole" allowBlank="1" showErrorMessage="1" errorTitle="Donation Amount" error="Amount should be numeric, non negative, no decimal, upto 14 digits" sqref="L7:O10">
      <formula1>0</formula1>
      <formula2>99999999999999</formula2>
    </dataValidation>
    <dataValidation type="whole" allowBlank="1" showInputMessage="1" showErrorMessage="1" sqref="M12:O12">
      <formula1>0</formula1>
      <formula2>99999999999999</formula2>
    </dataValidation>
    <dataValidation type="list" allowBlank="1" showInputMessage="1" showErrorMessage="1" sqref="I7:I10">
      <formula1>State80G</formula1>
    </dataValidation>
    <dataValidation type="textLength" operator="equal" allowBlank="1" showErrorMessage="1" errorTitle="PinCode" error="Pin Code must be exactly 6 digits and should not start with zero." sqref="J7:J10">
      <formula1>6</formula1>
    </dataValidation>
    <dataValidation type="textLength" operator="lessThanOrEqual" allowBlank="1" showErrorMessage="1" errorTitle="DoneeName" error="Donee Name should not exceed 125 characters" sqref="F7:F10">
      <formula1>125</formula1>
    </dataValidation>
    <dataValidation type="textLength" operator="equal" allowBlank="1" showInputMessage="1" showErrorMessage="1" errorTitle="PAN of Donee" error="PAN of Donee  should be exactly 10  in Length" prompt="Enter the PAN of the person to whom the donation is made" sqref="K7:K10">
      <formula1>10</formula1>
    </dataValidation>
    <dataValidation type="textLength" operator="lessThanOrEqual" allowBlank="1" showErrorMessage="1" errorTitle="AddrDetail" error="Address should not exceed 200 characters" sqref="G7:G10">
      <formula1>200</formula1>
    </dataValidation>
    <dataValidation type="textLength" operator="lessThanOrEqual" allowBlank="1" showErrorMessage="1" errorTitle="CityOrTownOrDistrict" error="City or Town or District should not exceed 50 characters" sqref="H7:H10">
      <formula1>50</formula1>
    </dataValidation>
    <dataValidation type="list" allowBlank="1" showInputMessage="1" showErrorMessage="1" error="Select from drop down" sqref="E7:E10">
      <formula1>RelevantClause_80GGA1</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53281" r:id="rId5" name="Button 1">
              <controlPr defaultSize="0" print="0" autoFill="0" autoPict="0" macro="[0]!AddRows80GGANew_Click">
                <anchor moveWithCells="1">
                  <from>
                    <xdr:col>2</xdr:col>
                    <xdr:colOff>38100</xdr:colOff>
                    <xdr:row>12</xdr:row>
                    <xdr:rowOff>38100</xdr:rowOff>
                  </from>
                  <to>
                    <xdr:col>4</xdr:col>
                    <xdr:colOff>438150</xdr:colOff>
                    <xdr:row>12</xdr:row>
                    <xdr:rowOff>295275</xdr:rowOff>
                  </to>
                </anchor>
              </controlPr>
            </control>
          </mc:Choice>
        </mc:AlternateContent>
        <mc:AlternateContent xmlns:mc="http://schemas.openxmlformats.org/markup-compatibility/2006">
          <mc:Choice Requires="x14">
            <control shapeId="353282" r:id="rId6" name="Button 2">
              <controlPr defaultSize="0" print="0" autoFill="0" autoPict="0" macro="[0]!ValidateSheet80GGANew_Click">
                <anchor>
                  <from>
                    <xdr:col>16</xdr:col>
                    <xdr:colOff>209550</xdr:colOff>
                    <xdr:row>3</xdr:row>
                    <xdr:rowOff>152400</xdr:rowOff>
                  </from>
                  <to>
                    <xdr:col>17</xdr:col>
                    <xdr:colOff>1285875</xdr:colOff>
                    <xdr:row>5</xdr:row>
                    <xdr:rowOff>57150</xdr:rowOff>
                  </to>
                </anchor>
              </controlPr>
            </control>
          </mc:Choice>
        </mc:AlternateContent>
        <mc:AlternateContent xmlns:mc="http://schemas.openxmlformats.org/markup-compatibility/2006">
          <mc:Choice Requires="x14">
            <control shapeId="353283" r:id="rId7" name="Button 3">
              <controlPr defaultSize="0" print="0" autoFill="0" autoPict="0" macro="[0]!Prev_Sheet">
                <anchor>
                  <from>
                    <xdr:col>16</xdr:col>
                    <xdr:colOff>209550</xdr:colOff>
                    <xdr:row>6</xdr:row>
                    <xdr:rowOff>209550</xdr:rowOff>
                  </from>
                  <to>
                    <xdr:col>17</xdr:col>
                    <xdr:colOff>1285875</xdr:colOff>
                    <xdr:row>7</xdr:row>
                    <xdr:rowOff>190500</xdr:rowOff>
                  </to>
                </anchor>
              </controlPr>
            </control>
          </mc:Choice>
        </mc:AlternateContent>
        <mc:AlternateContent xmlns:mc="http://schemas.openxmlformats.org/markup-compatibility/2006">
          <mc:Choice Requires="x14">
            <control shapeId="353284" r:id="rId8" name="Button 4">
              <controlPr defaultSize="0" print="0" autoFill="0" autoPict="0" macro="[0]!Next_Sheet">
                <anchor>
                  <from>
                    <xdr:col>16</xdr:col>
                    <xdr:colOff>209550</xdr:colOff>
                    <xdr:row>5</xdr:row>
                    <xdr:rowOff>95250</xdr:rowOff>
                  </from>
                  <to>
                    <xdr:col>17</xdr:col>
                    <xdr:colOff>1285875</xdr:colOff>
                    <xdr:row>6</xdr:row>
                    <xdr:rowOff>171450</xdr:rowOff>
                  </to>
                </anchor>
              </controlPr>
            </control>
          </mc:Choice>
        </mc:AlternateContent>
        <mc:AlternateContent xmlns:mc="http://schemas.openxmlformats.org/markup-compatibility/2006">
          <mc:Choice Requires="x14">
            <control shapeId="353285" r:id="rId9" name="Button 5">
              <controlPr defaultSize="0" print="0" autoFill="0" autoPict="0" macro="[0]!Img_Home_Click">
                <anchor>
                  <from>
                    <xdr:col>16</xdr:col>
                    <xdr:colOff>209550</xdr:colOff>
                    <xdr:row>2</xdr:row>
                    <xdr:rowOff>28575</xdr:rowOff>
                  </from>
                  <to>
                    <xdr:col>17</xdr:col>
                    <xdr:colOff>1285875</xdr:colOff>
                    <xdr:row>3</xdr:row>
                    <xdr:rowOff>114300</xdr:rowOff>
                  </to>
                </anchor>
              </controlPr>
            </control>
          </mc:Choice>
        </mc:AlternateContent>
        <mc:AlternateContent xmlns:mc="http://schemas.openxmlformats.org/markup-compatibility/2006">
          <mc:Choice Requires="x14">
            <control shapeId="353286" r:id="rId10" name="Button 6">
              <controlPr defaultSize="0" print="0" autoFill="0" autoPict="0" macro="[0]!WorksheetsPrint">
                <anchor>
                  <from>
                    <xdr:col>16</xdr:col>
                    <xdr:colOff>209550</xdr:colOff>
                    <xdr:row>8</xdr:row>
                    <xdr:rowOff>266700</xdr:rowOff>
                  </from>
                  <to>
                    <xdr:col>17</xdr:col>
                    <xdr:colOff>1285875</xdr:colOff>
                    <xdr:row>9</xdr:row>
                    <xdr:rowOff>266700</xdr:rowOff>
                  </to>
                </anchor>
              </controlPr>
            </control>
          </mc:Choice>
        </mc:AlternateContent>
        <mc:AlternateContent xmlns:mc="http://schemas.openxmlformats.org/markup-compatibility/2006">
          <mc:Choice Requires="x14">
            <control shapeId="353287" r:id="rId11" name="Button 7">
              <controlPr defaultSize="0" print="0" autoFill="0" autoPict="0" macro="[0]!GenerateJSON.GenerateJSON">
                <anchor>
                  <from>
                    <xdr:col>16</xdr:col>
                    <xdr:colOff>209550</xdr:colOff>
                    <xdr:row>7</xdr:row>
                    <xdr:rowOff>228600</xdr:rowOff>
                  </from>
                  <to>
                    <xdr:col>17</xdr:col>
                    <xdr:colOff>1285875</xdr:colOff>
                    <xdr:row>8</xdr:row>
                    <xdr:rowOff>228600</xdr:rowOff>
                  </to>
                </anchor>
              </controlPr>
            </control>
          </mc:Choice>
        </mc:AlternateContent>
        <mc:AlternateContent xmlns:mc="http://schemas.openxmlformats.org/markup-compatibility/2006">
          <mc:Choice Requires="x14">
            <control shapeId="353288" r:id="rId12" name="Button 8">
              <controlPr defaultSize="0" print="0" autoFill="0" autoPict="0" macro="[0]!Instruction_Sheet">
                <anchor>
                  <from>
                    <xdr:col>16</xdr:col>
                    <xdr:colOff>209550</xdr:colOff>
                    <xdr:row>10</xdr:row>
                    <xdr:rowOff>28575</xdr:rowOff>
                  </from>
                  <to>
                    <xdr:col>17</xdr:col>
                    <xdr:colOff>1285875</xdr:colOff>
                    <xdr:row>11</xdr:row>
                    <xdr:rowOff>114300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IU1000"/>
  <sheetViews>
    <sheetView showGridLines="0" showRowColHeaders="0" zoomScaleNormal="100" workbookViewId="0"/>
  </sheetViews>
  <sheetFormatPr defaultColWidth="0" defaultRowHeight="15" zeroHeight="1" x14ac:dyDescent="0.25"/>
  <cols>
    <col min="1" max="2" width="3.85546875" style="113" customWidth="1"/>
    <col min="3" max="3" width="12.140625" style="117" customWidth="1"/>
    <col min="4" max="4" width="8.7109375" style="117" customWidth="1"/>
    <col min="5" max="5" width="11.85546875" style="117" customWidth="1"/>
    <col min="6" max="6" width="16.28515625" style="117" customWidth="1"/>
    <col min="7" max="7" width="27" style="117" customWidth="1"/>
    <col min="8" max="8" width="17.85546875" style="117" customWidth="1"/>
    <col min="9" max="9" width="4.28515625" style="117" customWidth="1"/>
    <col min="10" max="10" width="23.85546875" style="113" customWidth="1"/>
    <col min="11" max="11" width="15.85546875" hidden="1" customWidth="1"/>
    <col min="12" max="12" width="12.28515625" hidden="1" customWidth="1"/>
    <col min="13" max="255" width="1.42578125" hidden="1" customWidth="1"/>
    <col min="256" max="16384" width="13" hidden="1"/>
  </cols>
  <sheetData>
    <row r="1" spans="2:9" ht="15.75" thickBot="1" x14ac:dyDescent="0.3"/>
    <row r="2" spans="2:9" x14ac:dyDescent="0.25">
      <c r="B2" s="1794"/>
      <c r="C2" s="1830"/>
      <c r="D2" s="1830"/>
      <c r="E2" s="1830"/>
      <c r="F2" s="1830"/>
      <c r="G2" s="1830"/>
      <c r="H2" s="1830"/>
      <c r="I2" s="1843"/>
    </row>
    <row r="3" spans="2:9" ht="12.75" customHeight="1" x14ac:dyDescent="0.25">
      <c r="B3" s="1797"/>
      <c r="C3" s="3811" t="s">
        <v>7333</v>
      </c>
      <c r="D3" s="3812"/>
      <c r="E3" s="3812"/>
      <c r="F3" s="3812"/>
      <c r="G3" s="3812"/>
      <c r="H3" s="3813"/>
      <c r="I3" s="1836"/>
    </row>
    <row r="4" spans="2:9" ht="22.5" customHeight="1" x14ac:dyDescent="0.25">
      <c r="B4" s="1797"/>
      <c r="C4" s="3317" t="s">
        <v>1119</v>
      </c>
      <c r="D4" s="3317"/>
      <c r="E4" s="3317"/>
      <c r="F4" s="3017" t="s">
        <v>1120</v>
      </c>
      <c r="G4" s="3015"/>
      <c r="H4" s="3016"/>
      <c r="I4" s="1836"/>
    </row>
    <row r="5" spans="2:9" ht="12.75" hidden="1" customHeight="1" x14ac:dyDescent="0.25">
      <c r="B5" s="1797"/>
      <c r="C5" s="1854"/>
      <c r="D5" s="1133"/>
      <c r="E5" s="1133"/>
      <c r="F5" s="1133"/>
      <c r="G5" s="1133"/>
      <c r="H5" s="848"/>
      <c r="I5" s="1836"/>
    </row>
    <row r="6" spans="2:9" ht="39.75" hidden="1" customHeight="1" x14ac:dyDescent="0.25">
      <c r="B6" s="1797"/>
      <c r="C6" s="1854"/>
      <c r="D6" s="8" t="s">
        <v>27</v>
      </c>
      <c r="E6" s="3794" t="s">
        <v>1121</v>
      </c>
      <c r="F6" s="3795"/>
      <c r="G6" s="3795"/>
      <c r="H6" s="3796"/>
      <c r="I6" s="1836"/>
    </row>
    <row r="7" spans="2:9" ht="12.75" hidden="1" customHeight="1" x14ac:dyDescent="0.25">
      <c r="B7" s="1797"/>
      <c r="C7" s="1648"/>
      <c r="D7" s="1133"/>
      <c r="E7" s="6">
        <f>1</f>
        <v>1</v>
      </c>
      <c r="F7" s="3017" t="str">
        <f>CONCATENATE("Undertaking ",E7)</f>
        <v>Undertaking 1</v>
      </c>
      <c r="G7" s="3016"/>
      <c r="H7" s="2089"/>
      <c r="I7" s="1836"/>
    </row>
    <row r="8" spans="2:9" ht="12.75" hidden="1" customHeight="1" x14ac:dyDescent="0.25">
      <c r="B8" s="1797"/>
      <c r="C8" s="1648"/>
      <c r="D8" s="1133"/>
      <c r="E8" s="6">
        <f>1+E7</f>
        <v>2</v>
      </c>
      <c r="F8" s="3017" t="str">
        <f>CONCATENATE("Undertaking ",E8)</f>
        <v>Undertaking 2</v>
      </c>
      <c r="G8" s="3016"/>
      <c r="H8" s="2089"/>
      <c r="I8" s="1836"/>
    </row>
    <row r="9" spans="2:9" ht="12.75" hidden="1" customHeight="1" x14ac:dyDescent="0.25">
      <c r="B9" s="1797"/>
      <c r="C9" s="1648"/>
      <c r="D9" s="1133"/>
      <c r="E9" s="6">
        <f>1+E8</f>
        <v>3</v>
      </c>
      <c r="F9" s="3017" t="str">
        <f>CONCATENATE("Undertaking ",E9)</f>
        <v>Undertaking 3</v>
      </c>
      <c r="G9" s="3016"/>
      <c r="H9" s="2089"/>
      <c r="I9" s="1836"/>
    </row>
    <row r="10" spans="2:9" x14ac:dyDescent="0.25">
      <c r="B10" s="1797"/>
      <c r="C10" s="1648"/>
      <c r="D10" s="1133"/>
      <c r="E10" s="1133"/>
      <c r="F10" s="1133"/>
      <c r="G10" s="1133"/>
      <c r="H10" s="848"/>
      <c r="I10" s="1836"/>
    </row>
    <row r="11" spans="2:9" ht="39" hidden="1" customHeight="1" x14ac:dyDescent="0.25">
      <c r="B11" s="1797"/>
      <c r="C11" s="1855"/>
      <c r="D11" s="8" t="s">
        <v>28</v>
      </c>
      <c r="E11" s="3794" t="s">
        <v>1122</v>
      </c>
      <c r="F11" s="3795"/>
      <c r="G11" s="3795"/>
      <c r="H11" s="3796"/>
      <c r="I11" s="1836"/>
    </row>
    <row r="12" spans="2:9" ht="12.75" hidden="1" customHeight="1" x14ac:dyDescent="0.25">
      <c r="B12" s="1797"/>
      <c r="C12" s="1648"/>
      <c r="D12" s="1133"/>
      <c r="E12" s="6">
        <v>1</v>
      </c>
      <c r="F12" s="3017" t="str">
        <f>CONCATENATE("Undertaking ",E12)</f>
        <v>Undertaking 1</v>
      </c>
      <c r="G12" s="3016"/>
      <c r="H12" s="2089"/>
      <c r="I12" s="1836"/>
    </row>
    <row r="13" spans="2:9" ht="12.75" hidden="1" customHeight="1" x14ac:dyDescent="0.25">
      <c r="B13" s="1797"/>
      <c r="C13" s="1648"/>
      <c r="D13" s="1133"/>
      <c r="E13" s="6">
        <f>E12+1</f>
        <v>2</v>
      </c>
      <c r="F13" s="3017" t="str">
        <f>CONCATENATE("Undertaking ",E13)</f>
        <v>Undertaking 2</v>
      </c>
      <c r="G13" s="3016"/>
      <c r="H13" s="2089"/>
      <c r="I13" s="1836"/>
    </row>
    <row r="14" spans="2:9" hidden="1" x14ac:dyDescent="0.25">
      <c r="B14" s="1797"/>
      <c r="C14" s="1648"/>
      <c r="D14" s="1133"/>
      <c r="E14" s="1133"/>
      <c r="F14" s="1133"/>
      <c r="G14" s="1133"/>
      <c r="H14" s="1133"/>
      <c r="I14" s="1836"/>
    </row>
    <row r="15" spans="2:9" ht="38.25" customHeight="1" x14ac:dyDescent="0.25">
      <c r="B15" s="1797"/>
      <c r="C15" s="1855"/>
      <c r="D15" s="8" t="s">
        <v>27</v>
      </c>
      <c r="E15" s="3794" t="s">
        <v>1123</v>
      </c>
      <c r="F15" s="3795"/>
      <c r="G15" s="3795"/>
      <c r="H15" s="3796"/>
      <c r="I15" s="1836"/>
    </row>
    <row r="16" spans="2:9" ht="12.75" customHeight="1" x14ac:dyDescent="0.25">
      <c r="B16" s="1797"/>
      <c r="C16" s="1648"/>
      <c r="D16" s="1133"/>
      <c r="E16" s="6">
        <v>1</v>
      </c>
      <c r="F16" s="3191" t="str">
        <f>CONCATENATE("Undertaking ",E16)</f>
        <v>Undertaking 1</v>
      </c>
      <c r="G16" s="3657"/>
      <c r="H16" s="2089"/>
      <c r="I16" s="1836"/>
    </row>
    <row r="17" spans="2:9" ht="12.75" customHeight="1" x14ac:dyDescent="0.25">
      <c r="B17" s="1797"/>
      <c r="C17" s="1648"/>
      <c r="D17" s="1133"/>
      <c r="E17" s="6">
        <f>E16+1</f>
        <v>2</v>
      </c>
      <c r="F17" s="3191" t="str">
        <f>CONCATENATE("Undertaking ",E17)</f>
        <v>Undertaking 2</v>
      </c>
      <c r="G17" s="3657"/>
      <c r="H17" s="2089"/>
      <c r="I17" s="1836"/>
    </row>
    <row r="18" spans="2:9" x14ac:dyDescent="0.25">
      <c r="B18" s="1797"/>
      <c r="C18" s="1648"/>
      <c r="D18" s="1133"/>
      <c r="E18" s="1133"/>
      <c r="F18" s="1133"/>
      <c r="G18" s="1133"/>
      <c r="H18" s="848"/>
      <c r="I18" s="1836"/>
    </row>
    <row r="19" spans="2:9" ht="63.75" hidden="1" customHeight="1" x14ac:dyDescent="0.25">
      <c r="B19" s="1797"/>
      <c r="C19" s="1855"/>
      <c r="D19" s="8" t="s">
        <v>36</v>
      </c>
      <c r="E19" s="3794" t="s">
        <v>12679</v>
      </c>
      <c r="F19" s="3795"/>
      <c r="G19" s="3795"/>
      <c r="H19" s="3796"/>
      <c r="I19" s="1836"/>
    </row>
    <row r="20" spans="2:9" ht="12.75" hidden="1" customHeight="1" x14ac:dyDescent="0.25">
      <c r="B20" s="1797"/>
      <c r="C20" s="1648"/>
      <c r="D20" s="1133"/>
      <c r="E20" s="6">
        <v>1</v>
      </c>
      <c r="F20" s="3191" t="str">
        <f>CONCATENATE("Undertaking ",E20)</f>
        <v>Undertaking 1</v>
      </c>
      <c r="G20" s="3657"/>
      <c r="H20" s="2089"/>
      <c r="I20" s="1836"/>
    </row>
    <row r="21" spans="2:9" ht="12.75" hidden="1" customHeight="1" x14ac:dyDescent="0.25">
      <c r="B21" s="1797"/>
      <c r="C21" s="1648"/>
      <c r="D21" s="1133"/>
      <c r="E21" s="6">
        <f>E20+1</f>
        <v>2</v>
      </c>
      <c r="F21" s="3191" t="str">
        <f>CONCATENATE("Undertaking ",E21)</f>
        <v>Undertaking 2</v>
      </c>
      <c r="G21" s="3657"/>
      <c r="H21" s="2089"/>
      <c r="I21" s="1836"/>
    </row>
    <row r="22" spans="2:9" hidden="1" x14ac:dyDescent="0.25">
      <c r="B22" s="1797"/>
      <c r="C22" s="1848"/>
      <c r="D22" s="1133"/>
      <c r="E22" s="1133"/>
      <c r="F22" s="1133"/>
      <c r="G22" s="1216"/>
      <c r="H22" s="841"/>
      <c r="I22" s="1836"/>
    </row>
    <row r="23" spans="2:9" ht="30.75" customHeight="1" x14ac:dyDescent="0.25">
      <c r="B23" s="1797"/>
      <c r="C23" s="27" t="s">
        <v>28</v>
      </c>
      <c r="D23" s="3004" t="s">
        <v>13168</v>
      </c>
      <c r="E23" s="3127"/>
      <c r="F23" s="3127"/>
      <c r="G23" s="3128"/>
      <c r="H23" s="756">
        <f>IF(bacValue=1,0,SUM(IA80.DeductProfUs80_IA_4_i,IA80.DeductProfUs80_IA_4_ii,IA80.DeductProfUs80_IA_4_iii,IA80.DeductProfUs80_IA_4_iv))</f>
        <v>0</v>
      </c>
      <c r="I23" s="1836"/>
    </row>
    <row r="24" spans="2:9" x14ac:dyDescent="0.25">
      <c r="B24" s="1797"/>
      <c r="C24" s="1133"/>
      <c r="D24" s="1133"/>
      <c r="E24" s="1133"/>
      <c r="F24" s="1133"/>
      <c r="G24" s="1133"/>
      <c r="H24" s="1133"/>
      <c r="I24" s="1836"/>
    </row>
    <row r="25" spans="2:9" ht="12.75" customHeight="1" x14ac:dyDescent="0.25">
      <c r="B25" s="1797"/>
      <c r="C25" s="3734" t="s">
        <v>1124</v>
      </c>
      <c r="D25" s="3651"/>
      <c r="E25" s="3735"/>
      <c r="F25" s="3191" t="s">
        <v>1125</v>
      </c>
      <c r="G25" s="3192"/>
      <c r="H25" s="3657"/>
      <c r="I25" s="1836"/>
    </row>
    <row r="26" spans="2:9" ht="12.75" customHeight="1" x14ac:dyDescent="0.25">
      <c r="B26" s="1797"/>
      <c r="C26" s="1133"/>
      <c r="D26" s="1133"/>
      <c r="E26" s="1133"/>
      <c r="F26" s="1133"/>
      <c r="G26" s="1133"/>
      <c r="H26" s="1133"/>
      <c r="I26" s="1836"/>
    </row>
    <row r="27" spans="2:9" ht="39" customHeight="1" x14ac:dyDescent="0.25">
      <c r="B27" s="1797"/>
      <c r="C27" s="1854"/>
      <c r="D27" s="8" t="s">
        <v>309</v>
      </c>
      <c r="E27" s="3794" t="s">
        <v>11987</v>
      </c>
      <c r="F27" s="3795"/>
      <c r="G27" s="3795"/>
      <c r="H27" s="3796"/>
      <c r="I27" s="1836"/>
    </row>
    <row r="28" spans="2:9" ht="12.75" customHeight="1" x14ac:dyDescent="0.25">
      <c r="B28" s="1797"/>
      <c r="C28" s="1648"/>
      <c r="D28" s="1133"/>
      <c r="E28" s="6">
        <v>1</v>
      </c>
      <c r="F28" s="3191" t="str">
        <f>CONCATENATE("Undertaking ",E28)</f>
        <v>Undertaking 1</v>
      </c>
      <c r="G28" s="3657"/>
      <c r="H28" s="2089"/>
      <c r="I28" s="1836"/>
    </row>
    <row r="29" spans="2:9" ht="12.75" customHeight="1" x14ac:dyDescent="0.25">
      <c r="B29" s="1797"/>
      <c r="C29" s="1648"/>
      <c r="D29" s="1133"/>
      <c r="E29" s="6">
        <f>E28+1</f>
        <v>2</v>
      </c>
      <c r="F29" s="3191" t="str">
        <f>CONCATENATE("Undertaking ",E29)</f>
        <v>Undertaking 2</v>
      </c>
      <c r="G29" s="3657"/>
      <c r="H29" s="2089"/>
      <c r="I29" s="1836"/>
    </row>
    <row r="30" spans="2:9" x14ac:dyDescent="0.25">
      <c r="B30" s="1797"/>
      <c r="C30" s="1648"/>
      <c r="D30" s="1133"/>
      <c r="E30" s="1133"/>
      <c r="F30" s="1133"/>
      <c r="G30" s="1216"/>
      <c r="H30" s="847"/>
      <c r="I30" s="1836"/>
    </row>
    <row r="31" spans="2:9" ht="41.25" hidden="1" customHeight="1" x14ac:dyDescent="0.25">
      <c r="B31" s="1797"/>
      <c r="C31" s="1855"/>
      <c r="D31" s="8" t="s">
        <v>28</v>
      </c>
      <c r="E31" s="3794" t="s">
        <v>1126</v>
      </c>
      <c r="F31" s="3795"/>
      <c r="G31" s="3795"/>
      <c r="H31" s="3796"/>
      <c r="I31" s="1836"/>
    </row>
    <row r="32" spans="2:9" ht="12.75" hidden="1" customHeight="1" x14ac:dyDescent="0.25">
      <c r="B32" s="1797"/>
      <c r="C32" s="1648"/>
      <c r="D32" s="1133"/>
      <c r="E32" s="6">
        <v>1</v>
      </c>
      <c r="F32" s="3191" t="str">
        <f>CONCATENATE("Undertaking ",E32)</f>
        <v>Undertaking 1</v>
      </c>
      <c r="G32" s="3657"/>
      <c r="H32" s="2090"/>
      <c r="I32" s="1836"/>
    </row>
    <row r="33" spans="2:9" ht="12.75" hidden="1" customHeight="1" x14ac:dyDescent="0.25">
      <c r="B33" s="1797"/>
      <c r="C33" s="1648"/>
      <c r="D33" s="1133"/>
      <c r="E33" s="6">
        <f>E32+1</f>
        <v>2</v>
      </c>
      <c r="F33" s="3191" t="str">
        <f>CONCATENATE("Undertaking ",E33)</f>
        <v>Undertaking 2</v>
      </c>
      <c r="G33" s="3657"/>
      <c r="H33" s="2090"/>
      <c r="I33" s="1836"/>
    </row>
    <row r="34" spans="2:9" hidden="1" x14ac:dyDescent="0.25">
      <c r="B34" s="1797"/>
      <c r="C34" s="1648"/>
      <c r="D34" s="1133"/>
      <c r="E34" s="1133"/>
      <c r="F34" s="1133"/>
      <c r="G34" s="1216"/>
      <c r="H34" s="847"/>
      <c r="I34" s="1836"/>
    </row>
    <row r="35" spans="2:9" ht="39.75" hidden="1" customHeight="1" x14ac:dyDescent="0.25">
      <c r="B35" s="1797"/>
      <c r="C35" s="1855"/>
      <c r="D35" s="8" t="s">
        <v>29</v>
      </c>
      <c r="E35" s="3794" t="s">
        <v>1127</v>
      </c>
      <c r="F35" s="3795"/>
      <c r="G35" s="3795"/>
      <c r="H35" s="3796"/>
      <c r="I35" s="1836"/>
    </row>
    <row r="36" spans="2:9" ht="12.75" hidden="1" customHeight="1" x14ac:dyDescent="0.25">
      <c r="B36" s="1797"/>
      <c r="C36" s="1648"/>
      <c r="D36" s="1133"/>
      <c r="E36" s="6">
        <v>1</v>
      </c>
      <c r="F36" s="3191" t="str">
        <f>CONCATENATE("Undertaking ",E36)</f>
        <v>Undertaking 1</v>
      </c>
      <c r="G36" s="3657"/>
      <c r="H36" s="2090"/>
      <c r="I36" s="1836"/>
    </row>
    <row r="37" spans="2:9" ht="12.75" hidden="1" customHeight="1" x14ac:dyDescent="0.25">
      <c r="B37" s="1797"/>
      <c r="C37" s="1648"/>
      <c r="D37" s="1133"/>
      <c r="E37" s="6">
        <f>E36+1</f>
        <v>2</v>
      </c>
      <c r="F37" s="3191" t="str">
        <f>CONCATENATE("Undertaking ",E37)</f>
        <v>Undertaking 2</v>
      </c>
      <c r="G37" s="3657"/>
      <c r="H37" s="2090"/>
      <c r="I37" s="1836"/>
    </row>
    <row r="38" spans="2:9" hidden="1" x14ac:dyDescent="0.25">
      <c r="B38" s="1797"/>
      <c r="C38" s="1648"/>
      <c r="D38" s="1133"/>
      <c r="E38" s="1133"/>
      <c r="F38" s="1133"/>
      <c r="G38" s="1216"/>
      <c r="H38" s="847"/>
      <c r="I38" s="1836"/>
    </row>
    <row r="39" spans="2:9" ht="33" hidden="1" customHeight="1" x14ac:dyDescent="0.25">
      <c r="B39" s="1797"/>
      <c r="C39" s="1855"/>
      <c r="D39" s="8" t="s">
        <v>28</v>
      </c>
      <c r="E39" s="3794" t="s">
        <v>1128</v>
      </c>
      <c r="F39" s="3795"/>
      <c r="G39" s="3795"/>
      <c r="H39" s="3796"/>
      <c r="I39" s="1836"/>
    </row>
    <row r="40" spans="2:9" ht="12.75" hidden="1" customHeight="1" x14ac:dyDescent="0.25">
      <c r="B40" s="1797"/>
      <c r="C40" s="1648"/>
      <c r="D40" s="1133"/>
      <c r="E40" s="6">
        <v>1</v>
      </c>
      <c r="F40" s="3191" t="str">
        <f>CONCATENATE("Undertaking ",E40)</f>
        <v>Undertaking 1</v>
      </c>
      <c r="G40" s="3657"/>
      <c r="H40" s="2089"/>
      <c r="I40" s="1836"/>
    </row>
    <row r="41" spans="2:9" ht="12.75" hidden="1" customHeight="1" x14ac:dyDescent="0.25">
      <c r="B41" s="1797"/>
      <c r="C41" s="1648"/>
      <c r="D41" s="1133"/>
      <c r="E41" s="6">
        <f>E40+1</f>
        <v>2</v>
      </c>
      <c r="F41" s="3191" t="str">
        <f>CONCATENATE("Undertaking ",E41)</f>
        <v>Undertaking 2</v>
      </c>
      <c r="G41" s="3657"/>
      <c r="H41" s="2089"/>
      <c r="I41" s="1836"/>
    </row>
    <row r="42" spans="2:9" hidden="1" x14ac:dyDescent="0.25">
      <c r="B42" s="1797"/>
      <c r="C42" s="1648"/>
      <c r="D42" s="1133"/>
      <c r="E42" s="1133"/>
      <c r="F42" s="1133"/>
      <c r="G42" s="1216"/>
      <c r="H42" s="847"/>
      <c r="I42" s="1836"/>
    </row>
    <row r="43" spans="2:9" ht="33" hidden="1" customHeight="1" x14ac:dyDescent="0.25">
      <c r="B43" s="1797"/>
      <c r="C43" s="1855"/>
      <c r="D43" s="8" t="s">
        <v>29</v>
      </c>
      <c r="E43" s="3794" t="s">
        <v>1129</v>
      </c>
      <c r="F43" s="3795"/>
      <c r="G43" s="3795"/>
      <c r="H43" s="3796"/>
      <c r="I43" s="1836"/>
    </row>
    <row r="44" spans="2:9" ht="12.75" hidden="1" customHeight="1" x14ac:dyDescent="0.25">
      <c r="B44" s="1797"/>
      <c r="C44" s="1648"/>
      <c r="D44" s="1133"/>
      <c r="E44" s="6">
        <v>1</v>
      </c>
      <c r="F44" s="3191" t="str">
        <f>CONCATENATE("Undertaking ",E44)</f>
        <v>Undertaking 1</v>
      </c>
      <c r="G44" s="3657"/>
      <c r="H44" s="2089"/>
      <c r="I44" s="1836"/>
    </row>
    <row r="45" spans="2:9" ht="12.75" hidden="1" customHeight="1" x14ac:dyDescent="0.25">
      <c r="B45" s="1797"/>
      <c r="C45" s="1648"/>
      <c r="D45" s="1133"/>
      <c r="E45" s="6">
        <f>E44+1</f>
        <v>2</v>
      </c>
      <c r="F45" s="3191" t="str">
        <f>CONCATENATE("Undertaking ",E45)</f>
        <v>Undertaking 2</v>
      </c>
      <c r="G45" s="3657"/>
      <c r="H45" s="2089"/>
      <c r="I45" s="1836"/>
    </row>
    <row r="46" spans="2:9" hidden="1" x14ac:dyDescent="0.25">
      <c r="B46" s="1797"/>
      <c r="C46" s="1648"/>
      <c r="D46" s="1133"/>
      <c r="E46" s="1133"/>
      <c r="F46" s="1133"/>
      <c r="G46" s="1216"/>
      <c r="H46" s="847"/>
      <c r="I46" s="1836"/>
    </row>
    <row r="47" spans="2:9" ht="39.75" customHeight="1" x14ac:dyDescent="0.25">
      <c r="B47" s="1797"/>
      <c r="C47" s="1855"/>
      <c r="D47" s="8" t="s">
        <v>312</v>
      </c>
      <c r="E47" s="3794" t="s">
        <v>1130</v>
      </c>
      <c r="F47" s="3795"/>
      <c r="G47" s="3795"/>
      <c r="H47" s="3796"/>
      <c r="I47" s="1836"/>
    </row>
    <row r="48" spans="2:9" ht="12.75" customHeight="1" x14ac:dyDescent="0.25">
      <c r="B48" s="1797"/>
      <c r="C48" s="1648"/>
      <c r="D48" s="1133"/>
      <c r="E48" s="6">
        <v>1</v>
      </c>
      <c r="F48" s="3191" t="str">
        <f>CONCATENATE("Undertaking ",E48)</f>
        <v>Undertaking 1</v>
      </c>
      <c r="G48" s="3657"/>
      <c r="H48" s="2089"/>
      <c r="I48" s="1836"/>
    </row>
    <row r="49" spans="2:9" ht="12.75" customHeight="1" x14ac:dyDescent="0.25">
      <c r="B49" s="1797"/>
      <c r="C49" s="1648"/>
      <c r="D49" s="1133"/>
      <c r="E49" s="6">
        <f>E48+1</f>
        <v>2</v>
      </c>
      <c r="F49" s="3191" t="str">
        <f>CONCATENATE("Undertaking ",E49)</f>
        <v>Undertaking 2</v>
      </c>
      <c r="G49" s="3657"/>
      <c r="H49" s="2089"/>
      <c r="I49" s="1836"/>
    </row>
    <row r="50" spans="2:9" x14ac:dyDescent="0.25">
      <c r="B50" s="1797"/>
      <c r="C50" s="1648"/>
      <c r="D50" s="1133"/>
      <c r="E50" s="1133"/>
      <c r="F50" s="1133"/>
      <c r="G50" s="1216"/>
      <c r="H50" s="847"/>
      <c r="I50" s="1836"/>
    </row>
    <row r="51" spans="2:9" ht="39" customHeight="1" x14ac:dyDescent="0.25">
      <c r="B51" s="1797"/>
      <c r="C51" s="1855"/>
      <c r="D51" s="8" t="s">
        <v>315</v>
      </c>
      <c r="E51" s="3794" t="s">
        <v>7137</v>
      </c>
      <c r="F51" s="3795"/>
      <c r="G51" s="3795"/>
      <c r="H51" s="3796"/>
      <c r="I51" s="1836"/>
    </row>
    <row r="52" spans="2:9" ht="12.75" customHeight="1" x14ac:dyDescent="0.25">
      <c r="B52" s="1797"/>
      <c r="C52" s="1648"/>
      <c r="D52" s="1133"/>
      <c r="E52" s="6">
        <v>1</v>
      </c>
      <c r="F52" s="3191" t="str">
        <f>CONCATENATE("Undertaking ",E52)</f>
        <v>Undertaking 1</v>
      </c>
      <c r="G52" s="3657"/>
      <c r="H52" s="2089"/>
      <c r="I52" s="1836"/>
    </row>
    <row r="53" spans="2:9" ht="12.75" customHeight="1" x14ac:dyDescent="0.25">
      <c r="B53" s="1797"/>
      <c r="C53" s="1648"/>
      <c r="D53" s="1133"/>
      <c r="E53" s="6">
        <f>E52+1</f>
        <v>2</v>
      </c>
      <c r="F53" s="3191" t="str">
        <f>CONCATENATE("Undertaking ",E53)</f>
        <v>Undertaking 2</v>
      </c>
      <c r="G53" s="3657"/>
      <c r="H53" s="2089"/>
      <c r="I53" s="1836"/>
    </row>
    <row r="54" spans="2:9" x14ac:dyDescent="0.25">
      <c r="B54" s="1797"/>
      <c r="C54" s="1648"/>
      <c r="D54" s="1133"/>
      <c r="E54" s="1133"/>
      <c r="F54" s="1133"/>
      <c r="G54" s="1216"/>
      <c r="H54" s="847"/>
      <c r="I54" s="1836"/>
    </row>
    <row r="55" spans="2:9" ht="37.5" hidden="1" customHeight="1" x14ac:dyDescent="0.25">
      <c r="B55" s="1797"/>
      <c r="C55" s="1855"/>
      <c r="D55" s="8" t="s">
        <v>541</v>
      </c>
      <c r="E55" s="3794" t="s">
        <v>12680</v>
      </c>
      <c r="F55" s="3795"/>
      <c r="G55" s="3795"/>
      <c r="H55" s="3796"/>
      <c r="I55" s="1836"/>
    </row>
    <row r="56" spans="2:9" ht="12.75" hidden="1" customHeight="1" x14ac:dyDescent="0.25">
      <c r="B56" s="1797"/>
      <c r="C56" s="1648"/>
      <c r="D56" s="1133"/>
      <c r="E56" s="6">
        <v>1</v>
      </c>
      <c r="F56" s="3191" t="str">
        <f>CONCATENATE("Undertaking ",E56)</f>
        <v>Undertaking 1</v>
      </c>
      <c r="G56" s="3657"/>
      <c r="H56" s="2090"/>
      <c r="I56" s="1836"/>
    </row>
    <row r="57" spans="2:9" ht="12.75" hidden="1" customHeight="1" x14ac:dyDescent="0.25">
      <c r="B57" s="1797"/>
      <c r="C57" s="1648"/>
      <c r="D57" s="1133"/>
      <c r="E57" s="6">
        <f>E56+1</f>
        <v>2</v>
      </c>
      <c r="F57" s="3191" t="str">
        <f>CONCATENATE("Undertaking ",E57)</f>
        <v>Undertaking 2</v>
      </c>
      <c r="G57" s="3657"/>
      <c r="H57" s="2090"/>
      <c r="I57" s="1836"/>
    </row>
    <row r="58" spans="2:9" hidden="1" x14ac:dyDescent="0.25">
      <c r="B58" s="1797"/>
      <c r="C58" s="1648"/>
      <c r="D58" s="1133"/>
      <c r="E58" s="1133"/>
      <c r="F58" s="1133"/>
      <c r="G58" s="1216"/>
      <c r="H58" s="847"/>
      <c r="I58" s="1836"/>
    </row>
    <row r="59" spans="2:9" ht="63.75" customHeight="1" x14ac:dyDescent="0.25">
      <c r="B59" s="1797"/>
      <c r="C59" s="1855"/>
      <c r="D59" s="8" t="s">
        <v>355</v>
      </c>
      <c r="E59" s="3794" t="s">
        <v>12759</v>
      </c>
      <c r="F59" s="3795"/>
      <c r="G59" s="3795"/>
      <c r="H59" s="3796"/>
      <c r="I59" s="1836"/>
    </row>
    <row r="60" spans="2:9" ht="12.75" customHeight="1" x14ac:dyDescent="0.25">
      <c r="B60" s="1797"/>
      <c r="C60" s="1648"/>
      <c r="D60" s="1133"/>
      <c r="E60" s="6">
        <v>1</v>
      </c>
      <c r="F60" s="3191" t="str">
        <f>CONCATENATE("Undertaking ",E60)</f>
        <v>Undertaking 1</v>
      </c>
      <c r="G60" s="3657"/>
      <c r="H60" s="2089"/>
      <c r="I60" s="1836"/>
    </row>
    <row r="61" spans="2:9" ht="12.75" customHeight="1" x14ac:dyDescent="0.25">
      <c r="B61" s="1797"/>
      <c r="C61" s="1648"/>
      <c r="D61" s="1133"/>
      <c r="E61" s="6">
        <f>E60+1</f>
        <v>2</v>
      </c>
      <c r="F61" s="3191" t="str">
        <f>CONCATENATE("Undertaking ",E61)</f>
        <v>Undertaking 2</v>
      </c>
      <c r="G61" s="3657"/>
      <c r="H61" s="2089"/>
      <c r="I61" s="1836"/>
    </row>
    <row r="62" spans="2:9" x14ac:dyDescent="0.25">
      <c r="B62" s="1797"/>
      <c r="C62" s="1648"/>
      <c r="D62" s="1133"/>
      <c r="E62" s="1133"/>
      <c r="F62" s="1133"/>
      <c r="G62" s="1216"/>
      <c r="H62" s="847"/>
      <c r="I62" s="1836"/>
    </row>
    <row r="63" spans="2:9" ht="47.25" customHeight="1" x14ac:dyDescent="0.25">
      <c r="B63" s="1797"/>
      <c r="C63" s="1855"/>
      <c r="D63" s="8" t="s">
        <v>358</v>
      </c>
      <c r="E63" s="3794" t="s">
        <v>11849</v>
      </c>
      <c r="F63" s="3795"/>
      <c r="G63" s="3795"/>
      <c r="H63" s="3796"/>
      <c r="I63" s="1836"/>
    </row>
    <row r="64" spans="2:9" ht="12.75" customHeight="1" x14ac:dyDescent="0.25">
      <c r="B64" s="1797"/>
      <c r="C64" s="1648"/>
      <c r="D64" s="1133"/>
      <c r="E64" s="6">
        <v>1</v>
      </c>
      <c r="F64" s="3191" t="str">
        <f>CONCATENATE("Undertaking ",E64)</f>
        <v>Undertaking 1</v>
      </c>
      <c r="G64" s="3657"/>
      <c r="H64" s="2089"/>
      <c r="I64" s="1836"/>
    </row>
    <row r="65" spans="2:9" ht="12.75" customHeight="1" x14ac:dyDescent="0.25">
      <c r="B65" s="1797"/>
      <c r="C65" s="1648"/>
      <c r="D65" s="1133"/>
      <c r="E65" s="6">
        <f>E64+1</f>
        <v>2</v>
      </c>
      <c r="F65" s="3191" t="str">
        <f>CONCATENATE("Undertaking ",E65)</f>
        <v>Undertaking 2</v>
      </c>
      <c r="G65" s="3657"/>
      <c r="H65" s="2089"/>
      <c r="I65" s="1836"/>
    </row>
    <row r="66" spans="2:9" x14ac:dyDescent="0.25">
      <c r="B66" s="1797"/>
      <c r="C66" s="1648"/>
      <c r="D66" s="1133"/>
      <c r="E66" s="1133"/>
      <c r="F66" s="1133"/>
      <c r="G66" s="1216"/>
      <c r="H66" s="1856"/>
      <c r="I66" s="1836"/>
    </row>
    <row r="67" spans="2:9" ht="36.75" hidden="1" customHeight="1" x14ac:dyDescent="0.25">
      <c r="B67" s="1797"/>
      <c r="C67" s="1855"/>
      <c r="D67" s="8" t="s">
        <v>541</v>
      </c>
      <c r="E67" s="3794" t="s">
        <v>1131</v>
      </c>
      <c r="F67" s="3795"/>
      <c r="G67" s="3795"/>
      <c r="H67" s="3796"/>
      <c r="I67" s="1836"/>
    </row>
    <row r="68" spans="2:9" ht="12.75" hidden="1" customHeight="1" x14ac:dyDescent="0.25">
      <c r="B68" s="1797"/>
      <c r="C68" s="1648"/>
      <c r="D68" s="1133"/>
      <c r="E68" s="6">
        <v>1</v>
      </c>
      <c r="F68" s="3191" t="str">
        <f>CONCATENATE("Undertaking ",E68)</f>
        <v>Undertaking 1</v>
      </c>
      <c r="G68" s="3657"/>
      <c r="H68" s="2089"/>
      <c r="I68" s="1836"/>
    </row>
    <row r="69" spans="2:9" ht="12.75" hidden="1" customHeight="1" x14ac:dyDescent="0.25">
      <c r="B69" s="1797"/>
      <c r="C69" s="1648"/>
      <c r="D69" s="1133"/>
      <c r="E69" s="6">
        <f>E68+1</f>
        <v>2</v>
      </c>
      <c r="F69" s="3191" t="str">
        <f>CONCATENATE("Undertaking ",E69)</f>
        <v>Undertaking 2</v>
      </c>
      <c r="G69" s="3657"/>
      <c r="H69" s="2089"/>
      <c r="I69" s="1836"/>
    </row>
    <row r="70" spans="2:9" hidden="1" x14ac:dyDescent="0.25">
      <c r="B70" s="1797"/>
      <c r="C70" s="1648"/>
      <c r="D70" s="1133"/>
      <c r="E70" s="1133"/>
      <c r="F70" s="1133"/>
      <c r="G70" s="1216"/>
      <c r="H70" s="847"/>
      <c r="I70" s="1836"/>
    </row>
    <row r="71" spans="2:9" ht="42.75" hidden="1" customHeight="1" x14ac:dyDescent="0.25">
      <c r="B71" s="1797"/>
      <c r="C71" s="1855"/>
      <c r="D71" s="8" t="s">
        <v>287</v>
      </c>
      <c r="E71" s="3794" t="s">
        <v>7135</v>
      </c>
      <c r="F71" s="3795"/>
      <c r="G71" s="3795"/>
      <c r="H71" s="3796"/>
      <c r="I71" s="1836"/>
    </row>
    <row r="72" spans="2:9" ht="12.75" hidden="1" customHeight="1" x14ac:dyDescent="0.25">
      <c r="B72" s="1797"/>
      <c r="C72" s="1648"/>
      <c r="D72" s="1133"/>
      <c r="E72" s="6">
        <v>1</v>
      </c>
      <c r="F72" s="3191" t="str">
        <f>CONCATENATE("Undertaking ",E72)</f>
        <v>Undertaking 1</v>
      </c>
      <c r="G72" s="3657"/>
      <c r="H72" s="2089"/>
      <c r="I72" s="1836"/>
    </row>
    <row r="73" spans="2:9" ht="12.75" hidden="1" customHeight="1" x14ac:dyDescent="0.25">
      <c r="B73" s="1797"/>
      <c r="C73" s="1648"/>
      <c r="D73" s="1133"/>
      <c r="E73" s="6">
        <f>E72+1</f>
        <v>2</v>
      </c>
      <c r="F73" s="3191" t="str">
        <f>CONCATENATE("Undertaking ",E73)</f>
        <v>Undertaking 2</v>
      </c>
      <c r="G73" s="3657"/>
      <c r="H73" s="2089"/>
      <c r="I73" s="1836"/>
    </row>
    <row r="74" spans="2:9" hidden="1" x14ac:dyDescent="0.25">
      <c r="B74" s="1797"/>
      <c r="C74" s="1648"/>
      <c r="D74" s="1133"/>
      <c r="E74" s="1133"/>
      <c r="F74" s="1133"/>
      <c r="G74" s="1216"/>
      <c r="H74" s="847"/>
      <c r="I74" s="1836"/>
    </row>
    <row r="75" spans="2:9" ht="12.75" customHeight="1" x14ac:dyDescent="0.25">
      <c r="B75" s="1797"/>
      <c r="C75" s="757" t="s">
        <v>1043</v>
      </c>
      <c r="D75" s="3004" t="s">
        <v>13169</v>
      </c>
      <c r="E75" s="3005"/>
      <c r="F75" s="3005"/>
      <c r="G75" s="3008"/>
      <c r="H75" s="758">
        <f>IF(bacValue=1,0,SUM(IB80.DeductJKLocUs80_IB_4,IB80.DeductBackStatesUs80_IB_4,IB80.DeductBackDisttUs80_IB_5,IB80.DeductMultiplexUs80_IB_7A,IB80.DeductConvCentUs80_IB_7B,IB80.DeductMinOilUs80_IB_9,IB80.DeductHousUs80_IB_10,IB80.DeductColdChainUs80_IB_11,IB80.DeductFruitVegUs80_IB_11A,IB80.DeductFoodGrainUs80_IB_11A,IB80.DeductRurHospUs80_IB_11B,IB80.DeductHospAnyAreaUs80IB_11C))</f>
        <v>0</v>
      </c>
      <c r="I75" s="1836"/>
    </row>
    <row r="76" spans="2:9" x14ac:dyDescent="0.25">
      <c r="B76" s="1797"/>
      <c r="C76" s="1133"/>
      <c r="D76" s="1133"/>
      <c r="E76" s="1133"/>
      <c r="F76" s="1133"/>
      <c r="G76" s="1133"/>
      <c r="H76" s="1133"/>
      <c r="I76" s="1836"/>
    </row>
    <row r="77" spans="2:9" ht="21" customHeight="1" x14ac:dyDescent="0.25">
      <c r="B77" s="1797"/>
      <c r="C77" s="3317" t="s">
        <v>1132</v>
      </c>
      <c r="D77" s="3317"/>
      <c r="E77" s="3317"/>
      <c r="F77" s="3017" t="s">
        <v>1133</v>
      </c>
      <c r="G77" s="3015"/>
      <c r="H77" s="3016"/>
      <c r="I77" s="1836"/>
    </row>
    <row r="78" spans="2:9" ht="13.5" customHeight="1" x14ac:dyDescent="0.25">
      <c r="B78" s="1797"/>
      <c r="C78" s="1854"/>
      <c r="D78" s="1133"/>
      <c r="E78" s="1133"/>
      <c r="F78" s="1133"/>
      <c r="G78" s="1133"/>
      <c r="H78" s="1133"/>
      <c r="I78" s="1836"/>
    </row>
    <row r="79" spans="2:9" ht="31.5" customHeight="1" x14ac:dyDescent="0.25">
      <c r="B79" s="1797"/>
      <c r="C79" s="1855"/>
      <c r="D79" s="8" t="s">
        <v>27</v>
      </c>
      <c r="E79" s="3794" t="s">
        <v>12681</v>
      </c>
      <c r="F79" s="3795"/>
      <c r="G79" s="3795"/>
      <c r="H79" s="3796"/>
      <c r="I79" s="1836"/>
    </row>
    <row r="80" spans="2:9" ht="12.75" customHeight="1" x14ac:dyDescent="0.25">
      <c r="B80" s="1797"/>
      <c r="C80" s="1648"/>
      <c r="D80" s="1133"/>
      <c r="E80" s="6">
        <v>1</v>
      </c>
      <c r="F80" s="3191" t="str">
        <f>CONCATENATE("Undertaking ",E80)</f>
        <v>Undertaking 1</v>
      </c>
      <c r="G80" s="3657"/>
      <c r="H80" s="2089"/>
      <c r="I80" s="1836"/>
    </row>
    <row r="81" spans="2:9" ht="12.75" customHeight="1" x14ac:dyDescent="0.25">
      <c r="B81" s="1797"/>
      <c r="C81" s="1648"/>
      <c r="D81" s="1133"/>
      <c r="E81" s="6">
        <f>E80+1</f>
        <v>2</v>
      </c>
      <c r="F81" s="3191" t="str">
        <f>CONCATENATE("Undertaking ",E81)</f>
        <v>Undertaking 2</v>
      </c>
      <c r="G81" s="3657"/>
      <c r="H81" s="2089"/>
      <c r="I81" s="1836"/>
    </row>
    <row r="82" spans="2:9" x14ac:dyDescent="0.25">
      <c r="B82" s="1797"/>
      <c r="C82" s="1648"/>
      <c r="D82" s="1133"/>
      <c r="E82" s="1133"/>
      <c r="F82" s="1133"/>
      <c r="G82" s="1216"/>
      <c r="H82" s="847"/>
      <c r="I82" s="1836"/>
    </row>
    <row r="83" spans="2:9" ht="27" customHeight="1" x14ac:dyDescent="0.25">
      <c r="B83" s="1797"/>
      <c r="C83" s="1855"/>
      <c r="D83" s="8" t="s">
        <v>28</v>
      </c>
      <c r="E83" s="3047" t="s">
        <v>7136</v>
      </c>
      <c r="F83" s="3335"/>
      <c r="G83" s="3335"/>
      <c r="H83" s="3336"/>
      <c r="I83" s="1836"/>
    </row>
    <row r="84" spans="2:9" x14ac:dyDescent="0.25">
      <c r="B84" s="1797"/>
      <c r="C84" s="1648"/>
      <c r="D84" s="1133"/>
      <c r="E84" s="6">
        <v>1</v>
      </c>
      <c r="F84" s="3191" t="str">
        <f>CONCATENATE("Undertaking ",E84)</f>
        <v>Undertaking 1</v>
      </c>
      <c r="G84" s="3657"/>
      <c r="H84" s="2089"/>
      <c r="I84" s="1836"/>
    </row>
    <row r="85" spans="2:9" x14ac:dyDescent="0.25">
      <c r="B85" s="1797"/>
      <c r="C85" s="1648"/>
      <c r="D85" s="1133"/>
      <c r="E85" s="6">
        <f>E84+1</f>
        <v>2</v>
      </c>
      <c r="F85" s="3191" t="str">
        <f>CONCATENATE("Undertaking ",E85)</f>
        <v>Undertaking 2</v>
      </c>
      <c r="G85" s="3657"/>
      <c r="H85" s="2089"/>
      <c r="I85" s="1836"/>
    </row>
    <row r="86" spans="2:9" x14ac:dyDescent="0.25">
      <c r="B86" s="1797"/>
      <c r="C86" s="1648"/>
      <c r="D86" s="1133"/>
      <c r="E86" s="1133"/>
      <c r="F86" s="1133"/>
      <c r="G86" s="1216"/>
      <c r="H86" s="847"/>
      <c r="I86" s="1836"/>
    </row>
    <row r="87" spans="2:9" ht="39.75" customHeight="1" x14ac:dyDescent="0.25">
      <c r="B87" s="1797"/>
      <c r="C87" s="1855"/>
      <c r="D87" s="8" t="s">
        <v>29</v>
      </c>
      <c r="E87" s="3794" t="s">
        <v>12685</v>
      </c>
      <c r="F87" s="3795"/>
      <c r="G87" s="3795"/>
      <c r="H87" s="3796"/>
      <c r="I87" s="1836"/>
    </row>
    <row r="88" spans="2:9" ht="12.75" customHeight="1" x14ac:dyDescent="0.25">
      <c r="B88" s="1797"/>
      <c r="C88" s="1648"/>
      <c r="D88" s="1133"/>
      <c r="E88" s="6">
        <v>1</v>
      </c>
      <c r="F88" s="3191" t="str">
        <f>CONCATENATE("Undertaking ",E88)</f>
        <v>Undertaking 1</v>
      </c>
      <c r="G88" s="3657"/>
      <c r="H88" s="2089"/>
      <c r="I88" s="1836"/>
    </row>
    <row r="89" spans="2:9" ht="12.75" customHeight="1" x14ac:dyDescent="0.25">
      <c r="B89" s="1797"/>
      <c r="C89" s="1648"/>
      <c r="D89" s="1133"/>
      <c r="E89" s="6">
        <f>E88+1</f>
        <v>2</v>
      </c>
      <c r="F89" s="3191" t="str">
        <f>CONCATENATE("Undertaking ",E89)</f>
        <v>Undertaking 2</v>
      </c>
      <c r="G89" s="3657"/>
      <c r="H89" s="2089"/>
      <c r="I89" s="1836"/>
    </row>
    <row r="90" spans="2:9" x14ac:dyDescent="0.25">
      <c r="B90" s="1797"/>
      <c r="C90" s="1648"/>
      <c r="D90" s="1133"/>
      <c r="E90" s="1133"/>
      <c r="F90" s="1133"/>
      <c r="G90" s="1216"/>
      <c r="H90" s="847"/>
      <c r="I90" s="1836"/>
    </row>
    <row r="91" spans="2:9" ht="22.5" customHeight="1" x14ac:dyDescent="0.25">
      <c r="B91" s="1797"/>
      <c r="C91" s="1855"/>
      <c r="D91" s="8" t="s">
        <v>36</v>
      </c>
      <c r="E91" s="3794" t="s">
        <v>1134</v>
      </c>
      <c r="F91" s="3795"/>
      <c r="G91" s="3795"/>
      <c r="H91" s="3796"/>
      <c r="I91" s="1836"/>
    </row>
    <row r="92" spans="2:9" ht="24.75" customHeight="1" x14ac:dyDescent="0.25">
      <c r="B92" s="1797"/>
      <c r="C92" s="1648"/>
      <c r="D92" s="848"/>
      <c r="E92" s="2" t="s">
        <v>13015</v>
      </c>
      <c r="F92" s="3336" t="s">
        <v>1135</v>
      </c>
      <c r="G92" s="3694"/>
      <c r="H92" s="3694"/>
      <c r="I92" s="1836"/>
    </row>
    <row r="93" spans="2:9" ht="13.5" customHeight="1" x14ac:dyDescent="0.25">
      <c r="B93" s="1797"/>
      <c r="C93" s="1648"/>
      <c r="D93" s="1820"/>
      <c r="E93" s="1133"/>
      <c r="F93" s="6">
        <v>1</v>
      </c>
      <c r="G93" s="2048" t="str">
        <f>CONCATENATE("Undertaking ",F93)</f>
        <v>Undertaking 1</v>
      </c>
      <c r="H93" s="2089"/>
      <c r="I93" s="1836"/>
    </row>
    <row r="94" spans="2:9" ht="13.5" customHeight="1" x14ac:dyDescent="0.25">
      <c r="B94" s="1797"/>
      <c r="C94" s="1648"/>
      <c r="D94" s="1820"/>
      <c r="E94" s="1133"/>
      <c r="F94" s="6">
        <f>F93+1</f>
        <v>2</v>
      </c>
      <c r="G94" s="2048" t="str">
        <f>CONCATENATE("Undertaking ",F94)</f>
        <v>Undertaking 2</v>
      </c>
      <c r="H94" s="2089"/>
      <c r="I94" s="1836"/>
    </row>
    <row r="95" spans="2:9" x14ac:dyDescent="0.25">
      <c r="B95" s="1797"/>
      <c r="C95" s="1648"/>
      <c r="D95" s="1820"/>
      <c r="E95" s="1133"/>
      <c r="F95" s="1133"/>
      <c r="G95" s="1133"/>
      <c r="H95" s="1820"/>
      <c r="I95" s="1836"/>
    </row>
    <row r="96" spans="2:9" ht="25.5" customHeight="1" x14ac:dyDescent="0.25">
      <c r="B96" s="1797"/>
      <c r="C96" s="1648"/>
      <c r="D96" s="1820"/>
      <c r="E96" s="2047" t="s">
        <v>13016</v>
      </c>
      <c r="F96" s="3336" t="s">
        <v>1136</v>
      </c>
      <c r="G96" s="3694"/>
      <c r="H96" s="3694"/>
      <c r="I96" s="1836"/>
    </row>
    <row r="97" spans="2:9" ht="12.75" customHeight="1" x14ac:dyDescent="0.25">
      <c r="B97" s="1797"/>
      <c r="C97" s="1648"/>
      <c r="D97" s="1820"/>
      <c r="E97" s="1133"/>
      <c r="F97" s="6">
        <v>1</v>
      </c>
      <c r="G97" s="2048" t="str">
        <f>CONCATENATE("Undertaking ",F97)</f>
        <v>Undertaking 1</v>
      </c>
      <c r="H97" s="2089"/>
      <c r="I97" s="1836"/>
    </row>
    <row r="98" spans="2:9" ht="12.75" customHeight="1" x14ac:dyDescent="0.25">
      <c r="B98" s="1797"/>
      <c r="C98" s="1648"/>
      <c r="D98" s="1820"/>
      <c r="E98" s="1133"/>
      <c r="F98" s="6">
        <f>F97+1</f>
        <v>2</v>
      </c>
      <c r="G98" s="2048" t="str">
        <f>CONCATENATE("Undertaking ",F98)</f>
        <v>Undertaking 2</v>
      </c>
      <c r="H98" s="2089"/>
      <c r="I98" s="1836"/>
    </row>
    <row r="99" spans="2:9" x14ac:dyDescent="0.25">
      <c r="B99" s="1797"/>
      <c r="C99" s="1648"/>
      <c r="D99" s="1820"/>
      <c r="E99" s="1133"/>
      <c r="F99" s="1133"/>
      <c r="G99" s="1133"/>
      <c r="H99" s="1820"/>
      <c r="I99" s="1836"/>
    </row>
    <row r="100" spans="2:9" ht="25.5" customHeight="1" x14ac:dyDescent="0.25">
      <c r="B100" s="1797"/>
      <c r="C100" s="1648"/>
      <c r="D100" s="1820"/>
      <c r="E100" s="2047" t="s">
        <v>13017</v>
      </c>
      <c r="F100" s="3336" t="s">
        <v>1137</v>
      </c>
      <c r="G100" s="3694"/>
      <c r="H100" s="3694"/>
      <c r="I100" s="1836"/>
    </row>
    <row r="101" spans="2:9" ht="12.75" customHeight="1" x14ac:dyDescent="0.25">
      <c r="B101" s="1797"/>
      <c r="C101" s="1648"/>
      <c r="D101" s="1820"/>
      <c r="E101" s="1133"/>
      <c r="F101" s="6">
        <v>1</v>
      </c>
      <c r="G101" s="2048" t="str">
        <f>CONCATENATE("Undertaking ",F101)</f>
        <v>Undertaking 1</v>
      </c>
      <c r="H101" s="2089"/>
      <c r="I101" s="1836"/>
    </row>
    <row r="102" spans="2:9" ht="12.75" customHeight="1" x14ac:dyDescent="0.25">
      <c r="B102" s="1797"/>
      <c r="C102" s="1648"/>
      <c r="D102" s="1820"/>
      <c r="E102" s="1133"/>
      <c r="F102" s="6">
        <f>F101+1</f>
        <v>2</v>
      </c>
      <c r="G102" s="2048" t="str">
        <f>CONCATENATE("Undertaking ",F102)</f>
        <v>Undertaking 2</v>
      </c>
      <c r="H102" s="2089"/>
      <c r="I102" s="1836"/>
    </row>
    <row r="103" spans="2:9" x14ac:dyDescent="0.25">
      <c r="B103" s="1797"/>
      <c r="C103" s="1648"/>
      <c r="D103" s="1820"/>
      <c r="E103" s="1133"/>
      <c r="F103" s="1133"/>
      <c r="G103" s="1133"/>
      <c r="H103" s="1820"/>
      <c r="I103" s="1836"/>
    </row>
    <row r="104" spans="2:9" ht="26.25" customHeight="1" x14ac:dyDescent="0.25">
      <c r="B104" s="1797"/>
      <c r="C104" s="1648"/>
      <c r="D104" s="1820"/>
      <c r="E104" s="2047" t="s">
        <v>13018</v>
      </c>
      <c r="F104" s="3336" t="s">
        <v>1138</v>
      </c>
      <c r="G104" s="3694"/>
      <c r="H104" s="3694"/>
      <c r="I104" s="1836"/>
    </row>
    <row r="105" spans="2:9" ht="12.75" customHeight="1" x14ac:dyDescent="0.25">
      <c r="B105" s="1797"/>
      <c r="C105" s="1648"/>
      <c r="D105" s="1820"/>
      <c r="E105" s="1133"/>
      <c r="F105" s="6">
        <v>1</v>
      </c>
      <c r="G105" s="2048" t="str">
        <f>CONCATENATE("Undertaking ",F105)</f>
        <v>Undertaking 1</v>
      </c>
      <c r="H105" s="2089"/>
      <c r="I105" s="1836"/>
    </row>
    <row r="106" spans="2:9" ht="12.75" customHeight="1" x14ac:dyDescent="0.25">
      <c r="B106" s="1797"/>
      <c r="C106" s="1648"/>
      <c r="D106" s="1820"/>
      <c r="E106" s="1133"/>
      <c r="F106" s="6">
        <f>F105+1</f>
        <v>2</v>
      </c>
      <c r="G106" s="2048" t="str">
        <f>CONCATENATE("Undertaking ",F106)</f>
        <v>Undertaking 2</v>
      </c>
      <c r="H106" s="2089"/>
      <c r="I106" s="1836"/>
    </row>
    <row r="107" spans="2:9" x14ac:dyDescent="0.25">
      <c r="B107" s="1797"/>
      <c r="C107" s="1648"/>
      <c r="D107" s="1820"/>
      <c r="E107" s="1133"/>
      <c r="F107" s="1133"/>
      <c r="G107" s="1133"/>
      <c r="H107" s="1820"/>
      <c r="I107" s="1836"/>
    </row>
    <row r="108" spans="2:9" ht="25.5" customHeight="1" x14ac:dyDescent="0.25">
      <c r="B108" s="1797"/>
      <c r="C108" s="1648"/>
      <c r="D108" s="1820"/>
      <c r="E108" s="2047" t="s">
        <v>13019</v>
      </c>
      <c r="F108" s="3336" t="s">
        <v>1139</v>
      </c>
      <c r="G108" s="3694"/>
      <c r="H108" s="3694"/>
      <c r="I108" s="1836"/>
    </row>
    <row r="109" spans="2:9" ht="12.75" customHeight="1" x14ac:dyDescent="0.25">
      <c r="B109" s="1797"/>
      <c r="C109" s="1648"/>
      <c r="D109" s="1820"/>
      <c r="E109" s="1133"/>
      <c r="F109" s="6">
        <v>1</v>
      </c>
      <c r="G109" s="2048" t="str">
        <f>CONCATENATE("Undertaking ",F109)</f>
        <v>Undertaking 1</v>
      </c>
      <c r="H109" s="2089"/>
      <c r="I109" s="1836"/>
    </row>
    <row r="110" spans="2:9" ht="12.75" customHeight="1" x14ac:dyDescent="0.25">
      <c r="B110" s="1797"/>
      <c r="C110" s="1648"/>
      <c r="D110" s="1820"/>
      <c r="E110" s="1133"/>
      <c r="F110" s="6">
        <f>F109+1</f>
        <v>2</v>
      </c>
      <c r="G110" s="2048" t="str">
        <f>CONCATENATE("Undertaking ",F110)</f>
        <v>Undertaking 2</v>
      </c>
      <c r="H110" s="2089"/>
      <c r="I110" s="1836"/>
    </row>
    <row r="111" spans="2:9" x14ac:dyDescent="0.25">
      <c r="B111" s="1797"/>
      <c r="C111" s="1648"/>
      <c r="D111" s="1820"/>
      <c r="E111" s="1133"/>
      <c r="F111" s="1133"/>
      <c r="G111" s="1133"/>
      <c r="H111" s="1820"/>
      <c r="I111" s="1836"/>
    </row>
    <row r="112" spans="2:9" ht="25.5" customHeight="1" x14ac:dyDescent="0.25">
      <c r="B112" s="1797"/>
      <c r="C112" s="1648"/>
      <c r="D112" s="1820"/>
      <c r="E112" s="2047" t="s">
        <v>13020</v>
      </c>
      <c r="F112" s="3336" t="s">
        <v>1140</v>
      </c>
      <c r="G112" s="3694"/>
      <c r="H112" s="3694"/>
      <c r="I112" s="1836"/>
    </row>
    <row r="113" spans="1:10" ht="12.75" customHeight="1" x14ac:dyDescent="0.25">
      <c r="B113" s="1797"/>
      <c r="C113" s="1648"/>
      <c r="D113" s="1820"/>
      <c r="E113" s="1133"/>
      <c r="F113" s="6">
        <v>1</v>
      </c>
      <c r="G113" s="2048" t="str">
        <f>CONCATENATE("Undertaking ",F113)</f>
        <v>Undertaking 1</v>
      </c>
      <c r="H113" s="2089"/>
      <c r="I113" s="1836"/>
    </row>
    <row r="114" spans="1:10" ht="12.75" customHeight="1" x14ac:dyDescent="0.25">
      <c r="B114" s="1797"/>
      <c r="C114" s="1648"/>
      <c r="D114" s="1820"/>
      <c r="E114" s="1133"/>
      <c r="F114" s="6">
        <f>F113+1</f>
        <v>2</v>
      </c>
      <c r="G114" s="2048" t="str">
        <f>CONCATENATE("Undertaking ",F114)</f>
        <v>Undertaking 2</v>
      </c>
      <c r="H114" s="2089"/>
      <c r="I114" s="1836"/>
    </row>
    <row r="115" spans="1:10" x14ac:dyDescent="0.25">
      <c r="B115" s="1797"/>
      <c r="C115" s="1648"/>
      <c r="D115" s="1820"/>
      <c r="E115" s="1133"/>
      <c r="F115" s="1133"/>
      <c r="G115" s="1133"/>
      <c r="H115" s="1820"/>
      <c r="I115" s="1836"/>
    </row>
    <row r="116" spans="1:10" ht="24.75" customHeight="1" x14ac:dyDescent="0.25">
      <c r="B116" s="1797"/>
      <c r="C116" s="1648"/>
      <c r="D116" s="1820"/>
      <c r="E116" s="2047" t="s">
        <v>13021</v>
      </c>
      <c r="F116" s="3336" t="s">
        <v>1141</v>
      </c>
      <c r="G116" s="3694"/>
      <c r="H116" s="3694"/>
      <c r="I116" s="1836"/>
    </row>
    <row r="117" spans="1:10" ht="12.75" customHeight="1" x14ac:dyDescent="0.25">
      <c r="B117" s="1797"/>
      <c r="C117" s="1648"/>
      <c r="D117" s="1820"/>
      <c r="E117" s="1133"/>
      <c r="F117" s="6">
        <v>1</v>
      </c>
      <c r="G117" s="2048" t="str">
        <f>CONCATENATE("Undertaking ",F117)</f>
        <v>Undertaking 1</v>
      </c>
      <c r="H117" s="2089"/>
      <c r="I117" s="1836"/>
    </row>
    <row r="118" spans="1:10" ht="12.75" customHeight="1" x14ac:dyDescent="0.25">
      <c r="B118" s="1797"/>
      <c r="C118" s="1648"/>
      <c r="D118" s="1820"/>
      <c r="E118" s="1133"/>
      <c r="F118" s="6">
        <f>F117+1</f>
        <v>2</v>
      </c>
      <c r="G118" s="2048" t="str">
        <f>CONCATENATE("Undertaking ",F118)</f>
        <v>Undertaking 2</v>
      </c>
      <c r="H118" s="2089"/>
      <c r="I118" s="1836"/>
    </row>
    <row r="119" spans="1:10" x14ac:dyDescent="0.25">
      <c r="B119" s="1797"/>
      <c r="C119" s="1648"/>
      <c r="D119" s="1820"/>
      <c r="E119" s="1133"/>
      <c r="F119" s="1133"/>
      <c r="G119" s="1133"/>
      <c r="H119" s="1820"/>
      <c r="I119" s="1836"/>
    </row>
    <row r="120" spans="1:10" ht="27" customHeight="1" x14ac:dyDescent="0.25">
      <c r="B120" s="1797"/>
      <c r="C120" s="1648"/>
      <c r="D120" s="1820"/>
      <c r="E120" s="296" t="s">
        <v>13022</v>
      </c>
      <c r="F120" s="3005" t="s">
        <v>12682</v>
      </c>
      <c r="G120" s="3008"/>
      <c r="H120" s="1501">
        <f>IF(bacValue=1,0,SUM(IC80.Assam,IC80.ArunachalPradesh,IC80.Manipur,IC80.Mizoram,IC80.Meghalaya,IC80.Nagaland,IC80.Tripura))</f>
        <v>0</v>
      </c>
      <c r="I120" s="1836"/>
    </row>
    <row r="121" spans="1:10" ht="14.25" customHeight="1" x14ac:dyDescent="0.25">
      <c r="B121" s="1797"/>
      <c r="C121" s="1648"/>
      <c r="D121" s="1820"/>
      <c r="E121" s="1133"/>
      <c r="F121" s="1133"/>
      <c r="G121" s="1133"/>
      <c r="H121" s="1133"/>
      <c r="I121" s="1809"/>
    </row>
    <row r="122" spans="1:10" ht="19.5" customHeight="1" x14ac:dyDescent="0.25">
      <c r="B122" s="1797"/>
      <c r="C122" s="253"/>
      <c r="D122" s="2442" t="s">
        <v>38</v>
      </c>
      <c r="E122" s="3814" t="s">
        <v>12683</v>
      </c>
      <c r="F122" s="3814"/>
      <c r="G122" s="3815"/>
      <c r="H122" s="756">
        <f>IF(bacValue=1,0,SUM(IC80.DeductInSikkim,IC80.DeductInHimachalP,IC80.DeductInUttaranchal,IC80.TotDeductInNorthEast))</f>
        <v>0</v>
      </c>
      <c r="I122" s="1836"/>
    </row>
    <row r="123" spans="1:10" ht="15.75" thickBot="1" x14ac:dyDescent="0.3">
      <c r="B123" s="1824"/>
      <c r="C123" s="1841"/>
      <c r="D123" s="1841"/>
      <c r="E123" s="1841"/>
      <c r="F123" s="1841"/>
      <c r="G123" s="1841"/>
      <c r="H123" s="1841"/>
      <c r="I123" s="1845"/>
    </row>
    <row r="124" spans="1:10" x14ac:dyDescent="0.25"/>
    <row r="125" spans="1:10" hidden="1" x14ac:dyDescent="0.25">
      <c r="A125"/>
      <c r="B125"/>
      <c r="C125"/>
      <c r="D125"/>
      <c r="E125"/>
      <c r="F125"/>
      <c r="G125"/>
      <c r="H125"/>
      <c r="I125"/>
      <c r="J125"/>
    </row>
    <row r="126" spans="1:10" hidden="1" x14ac:dyDescent="0.25">
      <c r="A126"/>
      <c r="B126"/>
      <c r="C126"/>
      <c r="D126"/>
      <c r="E126"/>
      <c r="F126"/>
      <c r="G126"/>
      <c r="H126"/>
      <c r="I126"/>
      <c r="J126"/>
    </row>
    <row r="127" spans="1:10" hidden="1" x14ac:dyDescent="0.25">
      <c r="A127"/>
      <c r="B127"/>
      <c r="C127"/>
      <c r="D127"/>
      <c r="E127"/>
      <c r="F127"/>
      <c r="G127"/>
      <c r="H127"/>
      <c r="I127"/>
      <c r="J127"/>
    </row>
    <row r="128" spans="1:10" hidden="1" x14ac:dyDescent="0.25">
      <c r="A128"/>
      <c r="B128"/>
      <c r="C128"/>
      <c r="D128"/>
      <c r="E128"/>
      <c r="F128"/>
      <c r="G128"/>
      <c r="H128"/>
      <c r="I128"/>
      <c r="J128"/>
    </row>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idden="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idden="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row r="502" customFormat="1" hidden="1" x14ac:dyDescent="0.25"/>
    <row r="503" customFormat="1" hidden="1" x14ac:dyDescent="0.25"/>
    <row r="504" customFormat="1" hidden="1" x14ac:dyDescent="0.25"/>
    <row r="505" customFormat="1" hidden="1" x14ac:dyDescent="0.25"/>
    <row r="506" customFormat="1" hidden="1" x14ac:dyDescent="0.25"/>
    <row r="507" customFormat="1" hidden="1" x14ac:dyDescent="0.25"/>
    <row r="508" customFormat="1" hidden="1" x14ac:dyDescent="0.25"/>
    <row r="509" customFormat="1" hidden="1" x14ac:dyDescent="0.25"/>
    <row r="510" customFormat="1" hidden="1" x14ac:dyDescent="0.25"/>
    <row r="511" customFormat="1" hidden="1" x14ac:dyDescent="0.25"/>
    <row r="512" customFormat="1" hidden="1" x14ac:dyDescent="0.25"/>
    <row r="513" customFormat="1" hidden="1" x14ac:dyDescent="0.25"/>
    <row r="514" customFormat="1" hidden="1" x14ac:dyDescent="0.25"/>
    <row r="515" customFormat="1" hidden="1" x14ac:dyDescent="0.25"/>
    <row r="516" customFormat="1" hidden="1" x14ac:dyDescent="0.25"/>
    <row r="517" customFormat="1" hidden="1" x14ac:dyDescent="0.25"/>
    <row r="518" customFormat="1" hidden="1" x14ac:dyDescent="0.25"/>
    <row r="519" customFormat="1" hidden="1" x14ac:dyDescent="0.25"/>
    <row r="520" customFormat="1" hidden="1" x14ac:dyDescent="0.25"/>
    <row r="521" customFormat="1" hidden="1" x14ac:dyDescent="0.25"/>
    <row r="522" customFormat="1" hidden="1" x14ac:dyDescent="0.25"/>
    <row r="523" customFormat="1" hidden="1" x14ac:dyDescent="0.25"/>
    <row r="524" customFormat="1" hidden="1" x14ac:dyDescent="0.25"/>
    <row r="525" customFormat="1" hidden="1" x14ac:dyDescent="0.25"/>
    <row r="526" customFormat="1" hidden="1" x14ac:dyDescent="0.25"/>
    <row r="527" customFormat="1" hidden="1" x14ac:dyDescent="0.25"/>
    <row r="528" customFormat="1" hidden="1" x14ac:dyDescent="0.25"/>
    <row r="529" customFormat="1" hidden="1" x14ac:dyDescent="0.25"/>
    <row r="530" customFormat="1" hidden="1" x14ac:dyDescent="0.25"/>
    <row r="531" customFormat="1" hidden="1" x14ac:dyDescent="0.25"/>
    <row r="532" customFormat="1" hidden="1" x14ac:dyDescent="0.25"/>
    <row r="533" customFormat="1" hidden="1" x14ac:dyDescent="0.25"/>
    <row r="534" customFormat="1" hidden="1" x14ac:dyDescent="0.25"/>
    <row r="535" customFormat="1" hidden="1" x14ac:dyDescent="0.25"/>
    <row r="536" customFormat="1" hidden="1" x14ac:dyDescent="0.25"/>
    <row r="537" customFormat="1" hidden="1" x14ac:dyDescent="0.25"/>
    <row r="538" customFormat="1" hidden="1" x14ac:dyDescent="0.25"/>
    <row r="539" customFormat="1" hidden="1" x14ac:dyDescent="0.25"/>
    <row r="540" customFormat="1" hidden="1" x14ac:dyDescent="0.25"/>
    <row r="541" customFormat="1" hidden="1" x14ac:dyDescent="0.25"/>
    <row r="542" customFormat="1" hidden="1" x14ac:dyDescent="0.25"/>
    <row r="543" customFormat="1" hidden="1" x14ac:dyDescent="0.25"/>
    <row r="544" customFormat="1" hidden="1" x14ac:dyDescent="0.25"/>
    <row r="545" customFormat="1" hidden="1" x14ac:dyDescent="0.25"/>
    <row r="546" customFormat="1" hidden="1" x14ac:dyDescent="0.25"/>
    <row r="547" customFormat="1" hidden="1" x14ac:dyDescent="0.25"/>
    <row r="548" customFormat="1" hidden="1" x14ac:dyDescent="0.25"/>
    <row r="549" customFormat="1" hidden="1" x14ac:dyDescent="0.25"/>
    <row r="550" customFormat="1" hidden="1" x14ac:dyDescent="0.25"/>
    <row r="551" customFormat="1" hidden="1" x14ac:dyDescent="0.25"/>
    <row r="552" customFormat="1" hidden="1" x14ac:dyDescent="0.25"/>
    <row r="553" customFormat="1" hidden="1" x14ac:dyDescent="0.25"/>
    <row r="554" customFormat="1" hidden="1" x14ac:dyDescent="0.25"/>
    <row r="555" customFormat="1" hidden="1" x14ac:dyDescent="0.25"/>
    <row r="556" customFormat="1" hidden="1" x14ac:dyDescent="0.25"/>
    <row r="557" customFormat="1" hidden="1" x14ac:dyDescent="0.25"/>
    <row r="558" customFormat="1" hidden="1" x14ac:dyDescent="0.25"/>
    <row r="559" customFormat="1" hidden="1" x14ac:dyDescent="0.25"/>
    <row r="560" customFormat="1" hidden="1" x14ac:dyDescent="0.25"/>
    <row r="561" customFormat="1" hidden="1" x14ac:dyDescent="0.25"/>
    <row r="562" customFormat="1" hidden="1" x14ac:dyDescent="0.25"/>
    <row r="563" customFormat="1" hidden="1" x14ac:dyDescent="0.25"/>
    <row r="564" customFormat="1" hidden="1" x14ac:dyDescent="0.25"/>
    <row r="565" customFormat="1" hidden="1" x14ac:dyDescent="0.25"/>
    <row r="566" customFormat="1" hidden="1" x14ac:dyDescent="0.25"/>
    <row r="567" customFormat="1" hidden="1" x14ac:dyDescent="0.25"/>
    <row r="568" customFormat="1" hidden="1" x14ac:dyDescent="0.25"/>
    <row r="569" customFormat="1" hidden="1" x14ac:dyDescent="0.25"/>
    <row r="570" customFormat="1" hidden="1" x14ac:dyDescent="0.25"/>
    <row r="571" customFormat="1" hidden="1" x14ac:dyDescent="0.25"/>
    <row r="572" customFormat="1" hidden="1" x14ac:dyDescent="0.25"/>
    <row r="573" customFormat="1" hidden="1" x14ac:dyDescent="0.25"/>
    <row r="574" customFormat="1" hidden="1" x14ac:dyDescent="0.25"/>
    <row r="575" customFormat="1" hidden="1" x14ac:dyDescent="0.25"/>
    <row r="576" customFormat="1" hidden="1" x14ac:dyDescent="0.25"/>
    <row r="577" customFormat="1" hidden="1" x14ac:dyDescent="0.25"/>
    <row r="578" customFormat="1" hidden="1" x14ac:dyDescent="0.25"/>
    <row r="579" customFormat="1" hidden="1" x14ac:dyDescent="0.25"/>
    <row r="580" customFormat="1" hidden="1" x14ac:dyDescent="0.25"/>
    <row r="581" customFormat="1" hidden="1" x14ac:dyDescent="0.25"/>
    <row r="582" customFormat="1" hidden="1" x14ac:dyDescent="0.25"/>
    <row r="583" customFormat="1" hidden="1" x14ac:dyDescent="0.25"/>
    <row r="584" customFormat="1" hidden="1" x14ac:dyDescent="0.25"/>
    <row r="585" customFormat="1" hidden="1" x14ac:dyDescent="0.25"/>
    <row r="586" customFormat="1" hidden="1" x14ac:dyDescent="0.25"/>
    <row r="587" customFormat="1" hidden="1" x14ac:dyDescent="0.25"/>
    <row r="588" customFormat="1" hidden="1" x14ac:dyDescent="0.25"/>
    <row r="589" customFormat="1" hidden="1" x14ac:dyDescent="0.25"/>
    <row r="590" customFormat="1" hidden="1" x14ac:dyDescent="0.25"/>
    <row r="591" customFormat="1" hidden="1" x14ac:dyDescent="0.25"/>
    <row r="592" customFormat="1" hidden="1" x14ac:dyDescent="0.25"/>
    <row r="593" customFormat="1" hidden="1" x14ac:dyDescent="0.25"/>
    <row r="594" customFormat="1" hidden="1" x14ac:dyDescent="0.25"/>
    <row r="595" customFormat="1" hidden="1" x14ac:dyDescent="0.25"/>
    <row r="596" customFormat="1" hidden="1" x14ac:dyDescent="0.25"/>
    <row r="597" customFormat="1" hidden="1" x14ac:dyDescent="0.25"/>
    <row r="598" customFormat="1" hidden="1" x14ac:dyDescent="0.25"/>
    <row r="599" customFormat="1" hidden="1" x14ac:dyDescent="0.25"/>
    <row r="600" customFormat="1" hidden="1" x14ac:dyDescent="0.25"/>
    <row r="601" customFormat="1" hidden="1" x14ac:dyDescent="0.25"/>
    <row r="602" customFormat="1" hidden="1" x14ac:dyDescent="0.25"/>
    <row r="603" customFormat="1" hidden="1" x14ac:dyDescent="0.25"/>
    <row r="604" customFormat="1" hidden="1" x14ac:dyDescent="0.25"/>
    <row r="605" customFormat="1" hidden="1" x14ac:dyDescent="0.25"/>
    <row r="606" customFormat="1" hidden="1" x14ac:dyDescent="0.25"/>
    <row r="607" customFormat="1" hidden="1" x14ac:dyDescent="0.25"/>
    <row r="608" customFormat="1" hidden="1" x14ac:dyDescent="0.25"/>
    <row r="609" customFormat="1" hidden="1" x14ac:dyDescent="0.25"/>
    <row r="610" customFormat="1" hidden="1" x14ac:dyDescent="0.25"/>
    <row r="611" customFormat="1" hidden="1" x14ac:dyDescent="0.25"/>
    <row r="612" customFormat="1" hidden="1" x14ac:dyDescent="0.25"/>
    <row r="613" customFormat="1" hidden="1" x14ac:dyDescent="0.25"/>
    <row r="614" customFormat="1" hidden="1" x14ac:dyDescent="0.25"/>
    <row r="615" customFormat="1" hidden="1" x14ac:dyDescent="0.25"/>
    <row r="616" customFormat="1" hidden="1" x14ac:dyDescent="0.25"/>
    <row r="617" customFormat="1" hidden="1" x14ac:dyDescent="0.25"/>
    <row r="618" customFormat="1" hidden="1" x14ac:dyDescent="0.25"/>
    <row r="619" customFormat="1" hidden="1" x14ac:dyDescent="0.25"/>
    <row r="620" customFormat="1" hidden="1" x14ac:dyDescent="0.25"/>
    <row r="621" customFormat="1" hidden="1" x14ac:dyDescent="0.25"/>
    <row r="622" customFormat="1" hidden="1" x14ac:dyDescent="0.25"/>
    <row r="623" customFormat="1" hidden="1" x14ac:dyDescent="0.25"/>
    <row r="624" customFormat="1" hidden="1" x14ac:dyDescent="0.25"/>
    <row r="625" customFormat="1" hidden="1" x14ac:dyDescent="0.25"/>
    <row r="626" customFormat="1" hidden="1" x14ac:dyDescent="0.25"/>
    <row r="627" customFormat="1" hidden="1" x14ac:dyDescent="0.25"/>
    <row r="628" customFormat="1" hidden="1" x14ac:dyDescent="0.25"/>
    <row r="629" customFormat="1" hidden="1" x14ac:dyDescent="0.25"/>
    <row r="630" customFormat="1" hidden="1" x14ac:dyDescent="0.25"/>
    <row r="631" customFormat="1" hidden="1" x14ac:dyDescent="0.25"/>
    <row r="632" customFormat="1" hidden="1" x14ac:dyDescent="0.25"/>
    <row r="633" customFormat="1" hidden="1" x14ac:dyDescent="0.25"/>
    <row r="634" customFormat="1" hidden="1" x14ac:dyDescent="0.25"/>
    <row r="635" customFormat="1" hidden="1" x14ac:dyDescent="0.25"/>
    <row r="636" customFormat="1" hidden="1" x14ac:dyDescent="0.25"/>
    <row r="637" customFormat="1" hidden="1" x14ac:dyDescent="0.25"/>
    <row r="638" customFormat="1" hidden="1" x14ac:dyDescent="0.25"/>
    <row r="639" customFormat="1" hidden="1" x14ac:dyDescent="0.25"/>
    <row r="640" customFormat="1" hidden="1" x14ac:dyDescent="0.25"/>
    <row r="641" customFormat="1" hidden="1" x14ac:dyDescent="0.25"/>
    <row r="642" customFormat="1" hidden="1" x14ac:dyDescent="0.25"/>
    <row r="643" customFormat="1" hidden="1" x14ac:dyDescent="0.25"/>
    <row r="644" customFormat="1" hidden="1" x14ac:dyDescent="0.25"/>
    <row r="645" customFormat="1" hidden="1" x14ac:dyDescent="0.25"/>
    <row r="646" customFormat="1" hidden="1" x14ac:dyDescent="0.25"/>
    <row r="647" customFormat="1" hidden="1" x14ac:dyDescent="0.25"/>
    <row r="648" customFormat="1" hidden="1" x14ac:dyDescent="0.25"/>
    <row r="649" customFormat="1" hidden="1" x14ac:dyDescent="0.25"/>
    <row r="650" customFormat="1" hidden="1" x14ac:dyDescent="0.25"/>
    <row r="651" customFormat="1" hidden="1" x14ac:dyDescent="0.25"/>
    <row r="652" customFormat="1" hidden="1" x14ac:dyDescent="0.25"/>
    <row r="653" customFormat="1" hidden="1" x14ac:dyDescent="0.25"/>
    <row r="654" customFormat="1" hidden="1" x14ac:dyDescent="0.25"/>
    <row r="655" customFormat="1" hidden="1" x14ac:dyDescent="0.25"/>
    <row r="656" customFormat="1" hidden="1" x14ac:dyDescent="0.25"/>
    <row r="657" customFormat="1" hidden="1" x14ac:dyDescent="0.25"/>
    <row r="658" customFormat="1" hidden="1" x14ac:dyDescent="0.25"/>
    <row r="659" customFormat="1" hidden="1" x14ac:dyDescent="0.25"/>
    <row r="660" customFormat="1" hidden="1" x14ac:dyDescent="0.25"/>
    <row r="661" customFormat="1" hidden="1" x14ac:dyDescent="0.25"/>
    <row r="662" customFormat="1" hidden="1" x14ac:dyDescent="0.25"/>
    <row r="663" customFormat="1" hidden="1" x14ac:dyDescent="0.25"/>
    <row r="664" customFormat="1" hidden="1" x14ac:dyDescent="0.25"/>
    <row r="665" customFormat="1" hidden="1" x14ac:dyDescent="0.25"/>
    <row r="666" customFormat="1" hidden="1" x14ac:dyDescent="0.25"/>
    <row r="667" customFormat="1" hidden="1" x14ac:dyDescent="0.25"/>
    <row r="668" customFormat="1" hidden="1" x14ac:dyDescent="0.25"/>
    <row r="669" customFormat="1" hidden="1" x14ac:dyDescent="0.25"/>
    <row r="670" customFormat="1" hidden="1" x14ac:dyDescent="0.25"/>
    <row r="671" customFormat="1" hidden="1" x14ac:dyDescent="0.25"/>
    <row r="672" customFormat="1" hidden="1" x14ac:dyDescent="0.25"/>
    <row r="673" customFormat="1" hidden="1" x14ac:dyDescent="0.25"/>
    <row r="674" customFormat="1" hidden="1" x14ac:dyDescent="0.25"/>
    <row r="675" customFormat="1" hidden="1" x14ac:dyDescent="0.25"/>
    <row r="676" customFormat="1" hidden="1" x14ac:dyDescent="0.25"/>
    <row r="677" customFormat="1" hidden="1" x14ac:dyDescent="0.25"/>
    <row r="678" customFormat="1" hidden="1" x14ac:dyDescent="0.25"/>
    <row r="679" customFormat="1" hidden="1" x14ac:dyDescent="0.25"/>
    <row r="680" customFormat="1" hidden="1" x14ac:dyDescent="0.25"/>
    <row r="681" customFormat="1" hidden="1" x14ac:dyDescent="0.25"/>
    <row r="682" customFormat="1" hidden="1" x14ac:dyDescent="0.25"/>
    <row r="683" customFormat="1" hidden="1" x14ac:dyDescent="0.25"/>
    <row r="684" customFormat="1" hidden="1" x14ac:dyDescent="0.25"/>
    <row r="685" customFormat="1" hidden="1" x14ac:dyDescent="0.25"/>
    <row r="686" customFormat="1" hidden="1" x14ac:dyDescent="0.25"/>
    <row r="687" customFormat="1" hidden="1" x14ac:dyDescent="0.25"/>
    <row r="688" customFormat="1" hidden="1" x14ac:dyDescent="0.25"/>
    <row r="689" customFormat="1" hidden="1" x14ac:dyDescent="0.25"/>
    <row r="690" customFormat="1" hidden="1" x14ac:dyDescent="0.25"/>
    <row r="691" customFormat="1" hidden="1" x14ac:dyDescent="0.25"/>
    <row r="692" customFormat="1" hidden="1" x14ac:dyDescent="0.25"/>
    <row r="693" customFormat="1" hidden="1" x14ac:dyDescent="0.25"/>
    <row r="694" customFormat="1" hidden="1" x14ac:dyDescent="0.25"/>
    <row r="695" customFormat="1" hidden="1" x14ac:dyDescent="0.25"/>
    <row r="696" customFormat="1" hidden="1" x14ac:dyDescent="0.25"/>
    <row r="697" customFormat="1" hidden="1" x14ac:dyDescent="0.25"/>
    <row r="698" customFormat="1" hidden="1" x14ac:dyDescent="0.25"/>
    <row r="699" customFormat="1" hidden="1" x14ac:dyDescent="0.25"/>
    <row r="700" customFormat="1" hidden="1" x14ac:dyDescent="0.25"/>
    <row r="701" customFormat="1" hidden="1" x14ac:dyDescent="0.25"/>
    <row r="702" customFormat="1" hidden="1" x14ac:dyDescent="0.25"/>
    <row r="703" customFormat="1" hidden="1" x14ac:dyDescent="0.25"/>
    <row r="704" customFormat="1" hidden="1" x14ac:dyDescent="0.25"/>
    <row r="705" customFormat="1" hidden="1" x14ac:dyDescent="0.25"/>
    <row r="706" customFormat="1" hidden="1" x14ac:dyDescent="0.25"/>
    <row r="707" customFormat="1" hidden="1" x14ac:dyDescent="0.25"/>
    <row r="708" customFormat="1" hidden="1" x14ac:dyDescent="0.25"/>
    <row r="709" customFormat="1" hidden="1" x14ac:dyDescent="0.25"/>
    <row r="710" customFormat="1" hidden="1" x14ac:dyDescent="0.25"/>
    <row r="711" customFormat="1" hidden="1" x14ac:dyDescent="0.25"/>
    <row r="712" customFormat="1" hidden="1" x14ac:dyDescent="0.25"/>
    <row r="713" customFormat="1" hidden="1" x14ac:dyDescent="0.25"/>
    <row r="714" customFormat="1" hidden="1" x14ac:dyDescent="0.25"/>
    <row r="715" customFormat="1" hidden="1" x14ac:dyDescent="0.25"/>
    <row r="716" customFormat="1" hidden="1" x14ac:dyDescent="0.25"/>
    <row r="717" customFormat="1" hidden="1" x14ac:dyDescent="0.25"/>
    <row r="718" customFormat="1" hidden="1" x14ac:dyDescent="0.25"/>
    <row r="719" customFormat="1" hidden="1" x14ac:dyDescent="0.25"/>
    <row r="720" customFormat="1" hidden="1" x14ac:dyDescent="0.25"/>
    <row r="721" customFormat="1" hidden="1" x14ac:dyDescent="0.25"/>
    <row r="722" customFormat="1" hidden="1" x14ac:dyDescent="0.25"/>
    <row r="723" customFormat="1" hidden="1" x14ac:dyDescent="0.25"/>
    <row r="724" customFormat="1" hidden="1" x14ac:dyDescent="0.25"/>
    <row r="725" customFormat="1" hidden="1" x14ac:dyDescent="0.25"/>
    <row r="726" customFormat="1" hidden="1" x14ac:dyDescent="0.25"/>
    <row r="727" customFormat="1" hidden="1" x14ac:dyDescent="0.25"/>
    <row r="728" customFormat="1" hidden="1" x14ac:dyDescent="0.25"/>
    <row r="729" customFormat="1" hidden="1" x14ac:dyDescent="0.25"/>
    <row r="730" customFormat="1" hidden="1" x14ac:dyDescent="0.25"/>
    <row r="731" customFormat="1" hidden="1" x14ac:dyDescent="0.25"/>
    <row r="732" customFormat="1" hidden="1" x14ac:dyDescent="0.25"/>
    <row r="733" customFormat="1" hidden="1" x14ac:dyDescent="0.25"/>
    <row r="734" customFormat="1" hidden="1" x14ac:dyDescent="0.25"/>
    <row r="735" customFormat="1" hidden="1" x14ac:dyDescent="0.25"/>
    <row r="736" customFormat="1" hidden="1" x14ac:dyDescent="0.25"/>
    <row r="737" customFormat="1" hidden="1" x14ac:dyDescent="0.25"/>
    <row r="738" customFormat="1" hidden="1" x14ac:dyDescent="0.25"/>
    <row r="739" customFormat="1" hidden="1" x14ac:dyDescent="0.25"/>
    <row r="740" customFormat="1" hidden="1" x14ac:dyDescent="0.25"/>
    <row r="741" customFormat="1" hidden="1" x14ac:dyDescent="0.25"/>
    <row r="742" customFormat="1" hidden="1" x14ac:dyDescent="0.25"/>
    <row r="743" customFormat="1" hidden="1" x14ac:dyDescent="0.25"/>
    <row r="744" customFormat="1" hidden="1" x14ac:dyDescent="0.25"/>
    <row r="745" customFormat="1" hidden="1" x14ac:dyDescent="0.25"/>
    <row r="746" customFormat="1" hidden="1" x14ac:dyDescent="0.25"/>
    <row r="747" customFormat="1" hidden="1" x14ac:dyDescent="0.25"/>
    <row r="748" customFormat="1" hidden="1" x14ac:dyDescent="0.25"/>
    <row r="749" customFormat="1" hidden="1" x14ac:dyDescent="0.25"/>
    <row r="750" customFormat="1" hidden="1" x14ac:dyDescent="0.25"/>
    <row r="751" customFormat="1" hidden="1" x14ac:dyDescent="0.25"/>
    <row r="752" customFormat="1" hidden="1" x14ac:dyDescent="0.25"/>
    <row r="753" customFormat="1" hidden="1" x14ac:dyDescent="0.25"/>
    <row r="754" customFormat="1" hidden="1" x14ac:dyDescent="0.25"/>
    <row r="755" customFormat="1" hidden="1" x14ac:dyDescent="0.25"/>
    <row r="756" customFormat="1" hidden="1" x14ac:dyDescent="0.25"/>
    <row r="757" customFormat="1" hidden="1" x14ac:dyDescent="0.25"/>
    <row r="758" customFormat="1" hidden="1" x14ac:dyDescent="0.25"/>
    <row r="759" customFormat="1" hidden="1" x14ac:dyDescent="0.25"/>
    <row r="760" customFormat="1" hidden="1" x14ac:dyDescent="0.25"/>
    <row r="761" customFormat="1" hidden="1" x14ac:dyDescent="0.25"/>
    <row r="762" customFormat="1" hidden="1" x14ac:dyDescent="0.25"/>
    <row r="763" customFormat="1" hidden="1" x14ac:dyDescent="0.25"/>
    <row r="764" customFormat="1" hidden="1" x14ac:dyDescent="0.25"/>
    <row r="765" customFormat="1" hidden="1" x14ac:dyDescent="0.25"/>
    <row r="766" customFormat="1" hidden="1" x14ac:dyDescent="0.25"/>
    <row r="767" customFormat="1" hidden="1" x14ac:dyDescent="0.25"/>
    <row r="768" customFormat="1" hidden="1" x14ac:dyDescent="0.25"/>
    <row r="769" customFormat="1" hidden="1" x14ac:dyDescent="0.25"/>
    <row r="770" customFormat="1" hidden="1" x14ac:dyDescent="0.25"/>
    <row r="771" customFormat="1" hidden="1" x14ac:dyDescent="0.25"/>
    <row r="772" customFormat="1" hidden="1" x14ac:dyDescent="0.25"/>
    <row r="773" customFormat="1" hidden="1" x14ac:dyDescent="0.25"/>
    <row r="774" customFormat="1" hidden="1" x14ac:dyDescent="0.25"/>
    <row r="775" customFormat="1" hidden="1" x14ac:dyDescent="0.25"/>
    <row r="776" customFormat="1" hidden="1" x14ac:dyDescent="0.25"/>
    <row r="777" customFormat="1" hidden="1" x14ac:dyDescent="0.25"/>
    <row r="778" customFormat="1" hidden="1" x14ac:dyDescent="0.25"/>
    <row r="779" customFormat="1" hidden="1" x14ac:dyDescent="0.25"/>
    <row r="780" customFormat="1" hidden="1" x14ac:dyDescent="0.25"/>
    <row r="781" customFormat="1" hidden="1" x14ac:dyDescent="0.25"/>
    <row r="782" customFormat="1" hidden="1" x14ac:dyDescent="0.25"/>
    <row r="783" customFormat="1" hidden="1" x14ac:dyDescent="0.25"/>
    <row r="784" customFormat="1" hidden="1" x14ac:dyDescent="0.25"/>
    <row r="785" customFormat="1" hidden="1" x14ac:dyDescent="0.25"/>
    <row r="786" customFormat="1" hidden="1" x14ac:dyDescent="0.25"/>
    <row r="787" customFormat="1" hidden="1" x14ac:dyDescent="0.25"/>
    <row r="788" customFormat="1" hidden="1" x14ac:dyDescent="0.25"/>
    <row r="789" customFormat="1" hidden="1" x14ac:dyDescent="0.25"/>
    <row r="790" customFormat="1" hidden="1" x14ac:dyDescent="0.25"/>
    <row r="791" customFormat="1" hidden="1" x14ac:dyDescent="0.25"/>
    <row r="792" customFormat="1" hidden="1" x14ac:dyDescent="0.25"/>
    <row r="793" customFormat="1" hidden="1" x14ac:dyDescent="0.25"/>
    <row r="794" customFormat="1" hidden="1" x14ac:dyDescent="0.25"/>
    <row r="795" customFormat="1" hidden="1" x14ac:dyDescent="0.25"/>
    <row r="796" customFormat="1" hidden="1" x14ac:dyDescent="0.25"/>
    <row r="797" customFormat="1" hidden="1" x14ac:dyDescent="0.25"/>
    <row r="798" customFormat="1" hidden="1" x14ac:dyDescent="0.25"/>
    <row r="799" customFormat="1" hidden="1" x14ac:dyDescent="0.25"/>
    <row r="800" customFormat="1" hidden="1" x14ac:dyDescent="0.25"/>
    <row r="801" customFormat="1" hidden="1" x14ac:dyDescent="0.25"/>
    <row r="802" customFormat="1" hidden="1" x14ac:dyDescent="0.25"/>
    <row r="803" customFormat="1" hidden="1" x14ac:dyDescent="0.25"/>
    <row r="804" customFormat="1" hidden="1" x14ac:dyDescent="0.25"/>
    <row r="805" customFormat="1" hidden="1" x14ac:dyDescent="0.25"/>
    <row r="806" customFormat="1" hidden="1" x14ac:dyDescent="0.25"/>
    <row r="807" customFormat="1" hidden="1" x14ac:dyDescent="0.25"/>
    <row r="808" customFormat="1" hidden="1" x14ac:dyDescent="0.25"/>
    <row r="809" customFormat="1" hidden="1" x14ac:dyDescent="0.25"/>
    <row r="810" customFormat="1" hidden="1" x14ac:dyDescent="0.25"/>
    <row r="811" customFormat="1" hidden="1" x14ac:dyDescent="0.25"/>
    <row r="812" customFormat="1" hidden="1" x14ac:dyDescent="0.25"/>
    <row r="813" customFormat="1" hidden="1" x14ac:dyDescent="0.25"/>
    <row r="814" customFormat="1" hidden="1" x14ac:dyDescent="0.25"/>
    <row r="815" customFormat="1" hidden="1" x14ac:dyDescent="0.25"/>
    <row r="816" customFormat="1" hidden="1" x14ac:dyDescent="0.25"/>
    <row r="817" customFormat="1" hidden="1" x14ac:dyDescent="0.25"/>
    <row r="818" customFormat="1" hidden="1" x14ac:dyDescent="0.25"/>
    <row r="819" customFormat="1" hidden="1" x14ac:dyDescent="0.25"/>
    <row r="820" customFormat="1" hidden="1" x14ac:dyDescent="0.25"/>
    <row r="821" customFormat="1" hidden="1" x14ac:dyDescent="0.25"/>
    <row r="822" customFormat="1" hidden="1" x14ac:dyDescent="0.25"/>
    <row r="823" customFormat="1" hidden="1" x14ac:dyDescent="0.25"/>
    <row r="824" customFormat="1" hidden="1" x14ac:dyDescent="0.25"/>
    <row r="825" customFormat="1" hidden="1" x14ac:dyDescent="0.25"/>
    <row r="826" customFormat="1" hidden="1" x14ac:dyDescent="0.25"/>
    <row r="827" customFormat="1" hidden="1" x14ac:dyDescent="0.25"/>
    <row r="828" customFormat="1" hidden="1" x14ac:dyDescent="0.25"/>
    <row r="829" customFormat="1" hidden="1" x14ac:dyDescent="0.25"/>
    <row r="830" customFormat="1" hidden="1" x14ac:dyDescent="0.25"/>
    <row r="831" customFormat="1" hidden="1" x14ac:dyDescent="0.25"/>
    <row r="832" customFormat="1" hidden="1" x14ac:dyDescent="0.25"/>
    <row r="833" customFormat="1" hidden="1" x14ac:dyDescent="0.25"/>
    <row r="834" customFormat="1" hidden="1" x14ac:dyDescent="0.25"/>
    <row r="835" customFormat="1" hidden="1" x14ac:dyDescent="0.25"/>
    <row r="836" customFormat="1" hidden="1" x14ac:dyDescent="0.25"/>
    <row r="837" customFormat="1" hidden="1" x14ac:dyDescent="0.25"/>
    <row r="838" customFormat="1" hidden="1" x14ac:dyDescent="0.25"/>
    <row r="839" customFormat="1" hidden="1" x14ac:dyDescent="0.25"/>
    <row r="840" customFormat="1" hidden="1" x14ac:dyDescent="0.25"/>
    <row r="841" customFormat="1" hidden="1" x14ac:dyDescent="0.25"/>
    <row r="842" customFormat="1" hidden="1" x14ac:dyDescent="0.25"/>
    <row r="843" customFormat="1" hidden="1" x14ac:dyDescent="0.25"/>
    <row r="844" customFormat="1" hidden="1" x14ac:dyDescent="0.25"/>
    <row r="845" customFormat="1" hidden="1" x14ac:dyDescent="0.25"/>
    <row r="846" customFormat="1" hidden="1" x14ac:dyDescent="0.25"/>
    <row r="847" customFormat="1" hidden="1" x14ac:dyDescent="0.25"/>
    <row r="848" customFormat="1" hidden="1" x14ac:dyDescent="0.25"/>
    <row r="849" customFormat="1" hidden="1" x14ac:dyDescent="0.25"/>
    <row r="850" customFormat="1" hidden="1" x14ac:dyDescent="0.25"/>
    <row r="851" customFormat="1" hidden="1" x14ac:dyDescent="0.25"/>
    <row r="852" customFormat="1" hidden="1" x14ac:dyDescent="0.25"/>
    <row r="853" customFormat="1" hidden="1" x14ac:dyDescent="0.25"/>
    <row r="854" customFormat="1" hidden="1" x14ac:dyDescent="0.25"/>
    <row r="855" customFormat="1" hidden="1" x14ac:dyDescent="0.25"/>
    <row r="856" customFormat="1" hidden="1" x14ac:dyDescent="0.25"/>
    <row r="857" customFormat="1" hidden="1" x14ac:dyDescent="0.25"/>
    <row r="858" customFormat="1" hidden="1" x14ac:dyDescent="0.25"/>
    <row r="859" customFormat="1" hidden="1" x14ac:dyDescent="0.25"/>
    <row r="860" customFormat="1" hidden="1" x14ac:dyDescent="0.25"/>
    <row r="861" customFormat="1" hidden="1" x14ac:dyDescent="0.25"/>
    <row r="862" customFormat="1" hidden="1" x14ac:dyDescent="0.25"/>
    <row r="863" customFormat="1" hidden="1" x14ac:dyDescent="0.25"/>
    <row r="864" customFormat="1" hidden="1" x14ac:dyDescent="0.25"/>
    <row r="865" customFormat="1" hidden="1" x14ac:dyDescent="0.25"/>
    <row r="866" customFormat="1" hidden="1" x14ac:dyDescent="0.25"/>
    <row r="867" customFormat="1" hidden="1" x14ac:dyDescent="0.25"/>
    <row r="868" customFormat="1" hidden="1" x14ac:dyDescent="0.25"/>
    <row r="869" customFormat="1" hidden="1" x14ac:dyDescent="0.25"/>
    <row r="870" customFormat="1" hidden="1" x14ac:dyDescent="0.25"/>
    <row r="871" customFormat="1" hidden="1" x14ac:dyDescent="0.25"/>
    <row r="872" customFormat="1" hidden="1" x14ac:dyDescent="0.25"/>
    <row r="873" customFormat="1" hidden="1" x14ac:dyDescent="0.25"/>
    <row r="874" customFormat="1" hidden="1" x14ac:dyDescent="0.25"/>
    <row r="875" customFormat="1" hidden="1" x14ac:dyDescent="0.25"/>
    <row r="876" customFormat="1" hidden="1" x14ac:dyDescent="0.25"/>
    <row r="877" customFormat="1" hidden="1" x14ac:dyDescent="0.25"/>
    <row r="878" customFormat="1" hidden="1" x14ac:dyDescent="0.25"/>
    <row r="879" customFormat="1" hidden="1" x14ac:dyDescent="0.25"/>
    <row r="880" customFormat="1" hidden="1" x14ac:dyDescent="0.25"/>
    <row r="881" customFormat="1" hidden="1" x14ac:dyDescent="0.25"/>
    <row r="882" customFormat="1" hidden="1" x14ac:dyDescent="0.25"/>
    <row r="883" customFormat="1" hidden="1" x14ac:dyDescent="0.25"/>
    <row r="884" customFormat="1" hidden="1" x14ac:dyDescent="0.25"/>
    <row r="885" customFormat="1" hidden="1" x14ac:dyDescent="0.25"/>
    <row r="886" customFormat="1" hidden="1" x14ac:dyDescent="0.25"/>
    <row r="887" customFormat="1" hidden="1" x14ac:dyDescent="0.25"/>
    <row r="888" customFormat="1" hidden="1" x14ac:dyDescent="0.25"/>
    <row r="889" customFormat="1" hidden="1" x14ac:dyDescent="0.25"/>
    <row r="890" customFormat="1" hidden="1" x14ac:dyDescent="0.25"/>
    <row r="891" customFormat="1" hidden="1" x14ac:dyDescent="0.25"/>
    <row r="892" customFormat="1" hidden="1" x14ac:dyDescent="0.25"/>
    <row r="893" customFormat="1" hidden="1" x14ac:dyDescent="0.25"/>
    <row r="894" customFormat="1" hidden="1" x14ac:dyDescent="0.25"/>
    <row r="895" customFormat="1" hidden="1" x14ac:dyDescent="0.25"/>
    <row r="896" customFormat="1" hidden="1" x14ac:dyDescent="0.25"/>
    <row r="897" customFormat="1" hidden="1" x14ac:dyDescent="0.25"/>
    <row r="898" customFormat="1" hidden="1" x14ac:dyDescent="0.25"/>
    <row r="899" customFormat="1" hidden="1" x14ac:dyDescent="0.25"/>
    <row r="900" customFormat="1" hidden="1" x14ac:dyDescent="0.25"/>
    <row r="901" customFormat="1" hidden="1" x14ac:dyDescent="0.25"/>
    <row r="902" customFormat="1" hidden="1" x14ac:dyDescent="0.25"/>
    <row r="903" customFormat="1" hidden="1" x14ac:dyDescent="0.25"/>
    <row r="904" customFormat="1" hidden="1" x14ac:dyDescent="0.25"/>
    <row r="905" customFormat="1" hidden="1" x14ac:dyDescent="0.25"/>
    <row r="906" customFormat="1" hidden="1" x14ac:dyDescent="0.25"/>
    <row r="907" customFormat="1" hidden="1" x14ac:dyDescent="0.25"/>
    <row r="908" customFormat="1" hidden="1" x14ac:dyDescent="0.25"/>
    <row r="909" customFormat="1" hidden="1" x14ac:dyDescent="0.25"/>
    <row r="910" customFormat="1" hidden="1" x14ac:dyDescent="0.25"/>
    <row r="911" customFormat="1" hidden="1" x14ac:dyDescent="0.25"/>
    <row r="912" customFormat="1" hidden="1" x14ac:dyDescent="0.25"/>
    <row r="913" customFormat="1" hidden="1" x14ac:dyDescent="0.25"/>
    <row r="914" customFormat="1" hidden="1" x14ac:dyDescent="0.25"/>
    <row r="915" customFormat="1" hidden="1" x14ac:dyDescent="0.25"/>
    <row r="916" customFormat="1" hidden="1" x14ac:dyDescent="0.25"/>
    <row r="917" customFormat="1" hidden="1" x14ac:dyDescent="0.25"/>
    <row r="918" customFormat="1" hidden="1" x14ac:dyDescent="0.25"/>
    <row r="919" customFormat="1" hidden="1" x14ac:dyDescent="0.25"/>
    <row r="920" customFormat="1" hidden="1" x14ac:dyDescent="0.25"/>
    <row r="921" customFormat="1" hidden="1" x14ac:dyDescent="0.25"/>
    <row r="922" customFormat="1" hidden="1" x14ac:dyDescent="0.25"/>
    <row r="923" customFormat="1" hidden="1" x14ac:dyDescent="0.25"/>
    <row r="924" customFormat="1" hidden="1" x14ac:dyDescent="0.25"/>
    <row r="925" customFormat="1" hidden="1" x14ac:dyDescent="0.25"/>
    <row r="926" customFormat="1" hidden="1" x14ac:dyDescent="0.25"/>
    <row r="927" customFormat="1" hidden="1" x14ac:dyDescent="0.25"/>
    <row r="928" customFormat="1" hidden="1" x14ac:dyDescent="0.25"/>
    <row r="929" customFormat="1" hidden="1" x14ac:dyDescent="0.25"/>
    <row r="930" customFormat="1" hidden="1" x14ac:dyDescent="0.25"/>
    <row r="931" customFormat="1" hidden="1" x14ac:dyDescent="0.25"/>
    <row r="932" customFormat="1" hidden="1" x14ac:dyDescent="0.25"/>
    <row r="933" customFormat="1" hidden="1" x14ac:dyDescent="0.25"/>
    <row r="934" customFormat="1" hidden="1" x14ac:dyDescent="0.25"/>
    <row r="935" customFormat="1" hidden="1" x14ac:dyDescent="0.25"/>
    <row r="936" customFormat="1" hidden="1" x14ac:dyDescent="0.25"/>
    <row r="937" customFormat="1" hidden="1" x14ac:dyDescent="0.25"/>
    <row r="938" customFormat="1" hidden="1" x14ac:dyDescent="0.25"/>
    <row r="939" customFormat="1" hidden="1" x14ac:dyDescent="0.25"/>
    <row r="940" customFormat="1" hidden="1" x14ac:dyDescent="0.25"/>
    <row r="941" customFormat="1" hidden="1" x14ac:dyDescent="0.25"/>
    <row r="942" customFormat="1" hidden="1" x14ac:dyDescent="0.25"/>
    <row r="943" customFormat="1" hidden="1" x14ac:dyDescent="0.25"/>
    <row r="944" customFormat="1" hidden="1" x14ac:dyDescent="0.25"/>
    <row r="945" customFormat="1" hidden="1" x14ac:dyDescent="0.25"/>
    <row r="946" customFormat="1" hidden="1" x14ac:dyDescent="0.25"/>
    <row r="947" customFormat="1" hidden="1" x14ac:dyDescent="0.25"/>
    <row r="948" customFormat="1" hidden="1" x14ac:dyDescent="0.25"/>
    <row r="949" customFormat="1" hidden="1" x14ac:dyDescent="0.25"/>
    <row r="950" customFormat="1" hidden="1" x14ac:dyDescent="0.25"/>
    <row r="951" customFormat="1" hidden="1" x14ac:dyDescent="0.25"/>
    <row r="952" customFormat="1" hidden="1" x14ac:dyDescent="0.25"/>
    <row r="953" customFormat="1" hidden="1" x14ac:dyDescent="0.25"/>
    <row r="954" customFormat="1" hidden="1" x14ac:dyDescent="0.25"/>
    <row r="955" customFormat="1" hidden="1" x14ac:dyDescent="0.25"/>
    <row r="956" customFormat="1" hidden="1" x14ac:dyDescent="0.25"/>
    <row r="957" customFormat="1" hidden="1" x14ac:dyDescent="0.25"/>
    <row r="958" customFormat="1" hidden="1" x14ac:dyDescent="0.25"/>
    <row r="959" customFormat="1" hidden="1" x14ac:dyDescent="0.25"/>
    <row r="960" customFormat="1" hidden="1" x14ac:dyDescent="0.25"/>
    <row r="961" customFormat="1" hidden="1" x14ac:dyDescent="0.25"/>
    <row r="962" customFormat="1" hidden="1" x14ac:dyDescent="0.25"/>
    <row r="963" customFormat="1" hidden="1" x14ac:dyDescent="0.25"/>
    <row r="964" customFormat="1" hidden="1" x14ac:dyDescent="0.25"/>
    <row r="965" customFormat="1" hidden="1" x14ac:dyDescent="0.25"/>
    <row r="966" customFormat="1" hidden="1" x14ac:dyDescent="0.25"/>
    <row r="967" customFormat="1" hidden="1" x14ac:dyDescent="0.25"/>
    <row r="968" customFormat="1" hidden="1" x14ac:dyDescent="0.25"/>
    <row r="969" customFormat="1" hidden="1" x14ac:dyDescent="0.25"/>
    <row r="970" customFormat="1" hidden="1" x14ac:dyDescent="0.25"/>
    <row r="971" customFormat="1" hidden="1" x14ac:dyDescent="0.25"/>
    <row r="972" customFormat="1" hidden="1" x14ac:dyDescent="0.25"/>
    <row r="973" customFormat="1" hidden="1" x14ac:dyDescent="0.25"/>
    <row r="974" customFormat="1" hidden="1" x14ac:dyDescent="0.25"/>
    <row r="975" customFormat="1" hidden="1" x14ac:dyDescent="0.25"/>
    <row r="976" customFormat="1" hidden="1" x14ac:dyDescent="0.25"/>
    <row r="977" customFormat="1" hidden="1" x14ac:dyDescent="0.25"/>
    <row r="978" customFormat="1" hidden="1" x14ac:dyDescent="0.25"/>
    <row r="979" customFormat="1" hidden="1" x14ac:dyDescent="0.25"/>
    <row r="980" customFormat="1" hidden="1" x14ac:dyDescent="0.25"/>
    <row r="981" customFormat="1" hidden="1" x14ac:dyDescent="0.25"/>
    <row r="982" customFormat="1" hidden="1" x14ac:dyDescent="0.25"/>
    <row r="983" customFormat="1" hidden="1" x14ac:dyDescent="0.25"/>
    <row r="984" customFormat="1" hidden="1" x14ac:dyDescent="0.25"/>
    <row r="985" customFormat="1" hidden="1" x14ac:dyDescent="0.25"/>
    <row r="986" customFormat="1" hidden="1" x14ac:dyDescent="0.25"/>
    <row r="987" customFormat="1" hidden="1" x14ac:dyDescent="0.25"/>
    <row r="988" customFormat="1" hidden="1" x14ac:dyDescent="0.25"/>
    <row r="989" customFormat="1" hidden="1" x14ac:dyDescent="0.25"/>
    <row r="990" customFormat="1" hidden="1" x14ac:dyDescent="0.25"/>
    <row r="991" customFormat="1" hidden="1" x14ac:dyDescent="0.25"/>
    <row r="992" customFormat="1" hidden="1" x14ac:dyDescent="0.25"/>
    <row r="993" customFormat="1" hidden="1" x14ac:dyDescent="0.25"/>
    <row r="994" customFormat="1" hidden="1" x14ac:dyDescent="0.25"/>
    <row r="995" customFormat="1" hidden="1" x14ac:dyDescent="0.25"/>
    <row r="996" customFormat="1" hidden="1" x14ac:dyDescent="0.25"/>
    <row r="997" customFormat="1" hidden="1" x14ac:dyDescent="0.25"/>
    <row r="998" customFormat="1" hidden="1" x14ac:dyDescent="0.25"/>
    <row r="999" customFormat="1" hidden="1" x14ac:dyDescent="0.25"/>
    <row r="1000" customFormat="1" hidden="1" x14ac:dyDescent="0.25"/>
  </sheetData>
  <sheetProtection algorithmName="SHA-512" hashValue="kPklSvXRoqepT5p+kuVH3RULsja/+k54iKCtNW8Ff6WVeddkFXqklV0PgOaVelhL/48vbIBFt7bDfNt7HIRA9w==" saltValue="C7AYqisq9iEjpusXdmK98w==" spinCount="100000" sheet="1" objects="1" scenarios="1"/>
  <mergeCells count="77">
    <mergeCell ref="F116:H116"/>
    <mergeCell ref="F120:G120"/>
    <mergeCell ref="E122:G122"/>
    <mergeCell ref="F81:G81"/>
    <mergeCell ref="E91:H91"/>
    <mergeCell ref="F112:H112"/>
    <mergeCell ref="F104:H104"/>
    <mergeCell ref="F100:H100"/>
    <mergeCell ref="F92:H92"/>
    <mergeCell ref="F108:H108"/>
    <mergeCell ref="F88:G88"/>
    <mergeCell ref="F89:G89"/>
    <mergeCell ref="F85:G85"/>
    <mergeCell ref="E83:H83"/>
    <mergeCell ref="F96:H96"/>
    <mergeCell ref="E87:H87"/>
    <mergeCell ref="F84:G84"/>
    <mergeCell ref="F80:G80"/>
    <mergeCell ref="F72:G72"/>
    <mergeCell ref="F73:G73"/>
    <mergeCell ref="E79:H79"/>
    <mergeCell ref="F77:H77"/>
    <mergeCell ref="F53:G53"/>
    <mergeCell ref="E67:H67"/>
    <mergeCell ref="F65:G65"/>
    <mergeCell ref="E55:H55"/>
    <mergeCell ref="F61:G61"/>
    <mergeCell ref="F56:G56"/>
    <mergeCell ref="E63:H63"/>
    <mergeCell ref="F60:G60"/>
    <mergeCell ref="E59:H59"/>
    <mergeCell ref="F57:G57"/>
    <mergeCell ref="F64:G64"/>
    <mergeCell ref="E71:H71"/>
    <mergeCell ref="F69:G69"/>
    <mergeCell ref="D75:G75"/>
    <mergeCell ref="C77:E77"/>
    <mergeCell ref="F68:G68"/>
    <mergeCell ref="F49:G49"/>
    <mergeCell ref="F52:G52"/>
    <mergeCell ref="F36:G36"/>
    <mergeCell ref="E39:H39"/>
    <mergeCell ref="F37:G37"/>
    <mergeCell ref="F40:G40"/>
    <mergeCell ref="F45:G45"/>
    <mergeCell ref="F44:G44"/>
    <mergeCell ref="E51:H51"/>
    <mergeCell ref="F48:G48"/>
    <mergeCell ref="E47:H47"/>
    <mergeCell ref="F41:G41"/>
    <mergeCell ref="F20:G20"/>
    <mergeCell ref="F25:H25"/>
    <mergeCell ref="F21:G21"/>
    <mergeCell ref="F33:G33"/>
    <mergeCell ref="E43:H43"/>
    <mergeCell ref="E35:H35"/>
    <mergeCell ref="E31:H31"/>
    <mergeCell ref="F32:G32"/>
    <mergeCell ref="E27:H27"/>
    <mergeCell ref="F29:G29"/>
    <mergeCell ref="C25:E25"/>
    <mergeCell ref="D23:G23"/>
    <mergeCell ref="F28:G28"/>
    <mergeCell ref="E15:H15"/>
    <mergeCell ref="F13:G13"/>
    <mergeCell ref="F16:G16"/>
    <mergeCell ref="F17:G17"/>
    <mergeCell ref="E19:H19"/>
    <mergeCell ref="F12:G12"/>
    <mergeCell ref="E11:H11"/>
    <mergeCell ref="C3:H3"/>
    <mergeCell ref="F4:H4"/>
    <mergeCell ref="C4:E4"/>
    <mergeCell ref="E6:H6"/>
    <mergeCell ref="F7:G7"/>
    <mergeCell ref="F8:G8"/>
    <mergeCell ref="F9:G9"/>
  </mergeCells>
  <dataValidations xWindow="722" yWindow="413" count="24">
    <dataValidation type="whole" allowBlank="1" showErrorMessage="1" errorTitle="DeductProfUs80_IA_4_i" error="DeductProfUs80_IA_4_i  Non negative, no decimal, upto 99,999,999,999,999" sqref="G88:G89 G48:G49 G28:G29 G52:G53 G56:G57 G32:G33 G68:G69 G72:G73 G44:G45 G84:G85 G80:G81 G64:G65 G60:G61 G36:G37 G40:G41">
      <formula1>0</formula1>
      <formula2>99999999999999</formula2>
    </dataValidation>
    <dataValidation type="whole" allowBlank="1" showInputMessage="1" showErrorMessage="1" errorTitle="DeductProfUs80_IA_4_iv" error="DeductProfUs80_IA_4_iv  Non negative, no decimal, upto 99,999,999,999,999" prompt="Please ensure to submit Form 10CCBD" sqref="H16:H17">
      <formula1>0</formula1>
      <formula2>99999999999999</formula2>
    </dataValidation>
    <dataValidation type="whole" allowBlank="1" showInputMessage="1" showErrorMessage="1" errorTitle="DeductProfUs80_IA_4_v" error="DeductProfUs80_IA_4_v  Non negative, no decimal, upto 99,999,999,999,999" prompt="Please ensure to submit Form 10CCBD" sqref="H20:H21">
      <formula1>0</formula1>
      <formula2>99999999999999</formula2>
    </dataValidation>
    <dataValidation type="whole" allowBlank="1" showInputMessage="1" showErrorMessage="1" errorTitle="DeductBackStatesUs80_IB_4" error="DeductBackStatesUs80_IB_4  Non negative, no decimal, upto 99,999,999,999,999" prompt="Please ensure to submit Form 10CCB" sqref="H32:H33 H28:H29">
      <formula1>0</formula1>
      <formula2>99999999999999</formula2>
    </dataValidation>
    <dataValidation type="whole" allowBlank="1" showInputMessage="1" showErrorMessage="1" errorTitle="DeductBackDisttUs80_IB_5" error="DeductBackDisttUs80_IB_5  Non negative, no decimal, upto 99,999,999,999,999" prompt="Please ensure to submit Form 10CCB" sqref="H36:H37">
      <formula1>0</formula1>
      <formula2>99999999999999</formula2>
    </dataValidation>
    <dataValidation type="whole" allowBlank="1" showInputMessage="1" showErrorMessage="1" errorTitle="DeductMultiplexUs80_IB_7A" error="DeductMultiplexUs80_IB_7A  Non negative, no decimal, upto 99,999,999,999,999" prompt="Please ensure to submit Form 10CCB" sqref="H40:H41">
      <formula1>0</formula1>
      <formula2>99999999999999</formula2>
    </dataValidation>
    <dataValidation type="whole" allowBlank="1" showInputMessage="1" showErrorMessage="1" errorTitle="DeductConvCentUs80_IB_7B" error="DeductConvCentUs80_IB_7B  Non negative, no decimal, upto 99,999,999,999,999" prompt="Please ensure to submit Form 10CCB" sqref="H44:H45">
      <formula1>0</formula1>
      <formula2>99999999999999</formula2>
    </dataValidation>
    <dataValidation type="whole" allowBlank="1" showInputMessage="1" showErrorMessage="1" errorTitle="DeductMinOilUs80_IB_9" error="DeductMinOilUs80_IB_9  Non negative, no decimal, upto 99,999,999,999,999" prompt="Please ensure to submit Form 10CCB" sqref="H48:H49">
      <formula1>0</formula1>
      <formula2>99999999999999</formula2>
    </dataValidation>
    <dataValidation type="whole" allowBlank="1" showInputMessage="1" showErrorMessage="1" errorTitle="DeductHousUs80_IB_10" error="DeductHousUs80_IB_10  Non negative, no decimal, upto 99,999,999,999,999" prompt="Please ensure to submit Form 10CCBD" sqref="H72:H73">
      <formula1>0</formula1>
      <formula2>99999999999999</formula2>
    </dataValidation>
    <dataValidation type="whole" allowBlank="1" showInputMessage="1" showErrorMessage="1" errorTitle="DeductInSikkim" error="DeductInSikkim  Non negative, no decimal, upto 99,999,999,999,999" prompt="Please ensure to submit Form 10CCB" sqref="H80:H81">
      <formula1>0</formula1>
      <formula2>99999999999999</formula2>
    </dataValidation>
    <dataValidation type="whole" allowBlank="1" showInputMessage="1" showErrorMessage="1" errorTitle="DeductInHimachalP" error="DeductInHimachalP  Non negative, no decimal, upto 99,999,999,999,999" prompt="Please ensure to submit Form 10CCB" sqref="H84:H85">
      <formula1>0</formula1>
      <formula2>99999999999999</formula2>
    </dataValidation>
    <dataValidation type="whole" allowBlank="1" showInputMessage="1" showErrorMessage="1" errorTitle="DeductInUttaranchal" error="DeductInUttaranchal  Non negative, no decimal, upto 99,999,999,999,999" prompt="Please ensure to submit Form 10CCB" sqref="H88:H89">
      <formula1>0</formula1>
      <formula2>99999999999999</formula2>
    </dataValidation>
    <dataValidation type="whole" allowBlank="1" showInputMessage="1" showErrorMessage="1" errorTitle="Assam" error="Assam  Non negative, no decimal, upto 99,999,999,999,999" prompt="Please ensure to submit Form 10CCB" sqref="H93:H94">
      <formula1>0</formula1>
      <formula2>99999999999999</formula2>
    </dataValidation>
    <dataValidation type="whole" allowBlank="1" showInputMessage="1" showErrorMessage="1" errorTitle="IA80.DeductProfUs80_IA_4_iii" error="IA80.DeductProfUs80_IA_4_iii  Non negative, no decimal, upto 99,999,999,999,999" prompt="Please ensure to submit Form 10CCBD" sqref="H12:H13">
      <formula1>0</formula1>
      <formula2>99999999999999</formula2>
    </dataValidation>
    <dataValidation type="whole" allowBlank="1" showInputMessage="1" showErrorMessage="1" errorTitle="DeductProfUs80_IA_4_ii" error="DeductProfUs80_IA_4_ii  Non negative, no decimal, upto 99,999,999,999,999" prompt="Please ensure to submit Form 10CCB" sqref="H7:H9">
      <formula1>0</formula1>
      <formula2>99999999999999</formula2>
    </dataValidation>
    <dataValidation type="whole" allowBlank="1" showInputMessage="1" showErrorMessage="1" errorTitle="Tripura" error="Tripura  Non negative, no decimal, upto 99,999,999,999,999" prompt="Please ensure to submit Form 10CCB" sqref="H117:H118">
      <formula1>0</formula1>
      <formula2>99999999999999</formula2>
    </dataValidation>
    <dataValidation type="whole" allowBlank="1" showInputMessage="1" showErrorMessage="1" errorTitle="Nagaland" error="Nagaland  Non negative, no decimal, upto 99,999,999,999,999" prompt="Please ensure to submit Form 10CCB" sqref="H113:H114">
      <formula1>0</formula1>
      <formula2>99999999999999</formula2>
    </dataValidation>
    <dataValidation type="whole" allowBlank="1" showInputMessage="1" showErrorMessage="1" errorTitle="Meghalya" error="Meghalya  Non negative, no decimal, upto 99,999,999,999,999" prompt="Please ensure to submit Form 10CCB" sqref="H109:H110">
      <formula1>0</formula1>
      <formula2>99999999999999</formula2>
    </dataValidation>
    <dataValidation type="whole" allowBlank="1" showInputMessage="1" showErrorMessage="1" errorTitle="Mizoram" error="Mizoram  Non negative, no decimal, upto 99,999,999,999,999" prompt="Please ensure to submit Form 10CCB" sqref="H105:H106">
      <formula1>0</formula1>
      <formula2>99999999999999</formula2>
    </dataValidation>
    <dataValidation type="whole" allowBlank="1" showInputMessage="1" showErrorMessage="1" errorTitle="Manipur" error="Manipur  Non negative, no decimal, upto 99,999,999,999,999" prompt="Please ensure to submit Form 10CCB" sqref="H101:H102">
      <formula1>0</formula1>
      <formula2>99999999999999</formula2>
    </dataValidation>
    <dataValidation type="whole" allowBlank="1" showInputMessage="1" showErrorMessage="1" errorTitle="AP" error="AP  Non negative, no decimal, upto 99,999,999,999,999" prompt="Please ensure to submit Form 10CCB" sqref="H97:H98">
      <formula1>0</formula1>
      <formula2>99999999999999</formula2>
    </dataValidation>
    <dataValidation allowBlank="1" showInputMessage="1" showErrorMessage="1" prompt="Please ensure to submit Form 10CCB" sqref="H23"/>
    <dataValidation type="whole" allowBlank="1" showInputMessage="1" showErrorMessage="1" errorTitle="DeductHousUs80_IB_10" error="DeductHousUs80_IB_10  Non negative, no decimal, upto 99,999,999,999,999" prompt="Please ensure to submit Form 10CCB" sqref="H52:H53 H56:H57 H60:H61 H64:H65">
      <formula1>0</formula1>
      <formula2>99999999999999</formula2>
    </dataValidation>
    <dataValidation type="whole" allowBlank="1" showInputMessage="1" showErrorMessage="1" errorTitle="DeductHousUs80_IB_10" error="DeductHousUs80_IB_10  Non negative, no decimal, upto 99,999,999,999,999" prompt="Please ensure to submit Form 10CCBC" sqref="H68:H69">
      <formula1>0</formula1>
      <formula2>99999999999999</formula2>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4469" r:id="rId5" name="Button 21">
              <controlPr defaultSize="0" print="0" autoFill="0" autoPict="0" macro="[0]!addrowsIC80_Assam" altText="Add Rows">
                <anchor moveWithCells="1">
                  <from>
                    <xdr:col>6</xdr:col>
                    <xdr:colOff>1609725</xdr:colOff>
                    <xdr:row>91</xdr:row>
                    <xdr:rowOff>0</xdr:rowOff>
                  </from>
                  <to>
                    <xdr:col>7</xdr:col>
                    <xdr:colOff>1181100</xdr:colOff>
                    <xdr:row>91</xdr:row>
                    <xdr:rowOff>285750</xdr:rowOff>
                  </to>
                </anchor>
              </controlPr>
            </control>
          </mc:Choice>
        </mc:AlternateContent>
        <mc:AlternateContent xmlns:mc="http://schemas.openxmlformats.org/markup-compatibility/2006">
          <mc:Choice Requires="x14">
            <control shapeId="104470" r:id="rId6" name="Button 22">
              <controlPr defaultSize="0" print="0" autoFill="0" autoPict="0" macro="[0]!addrowsIC80_ArunachalPradesh" altText="Add Rows">
                <anchor moveWithCells="1">
                  <from>
                    <xdr:col>6</xdr:col>
                    <xdr:colOff>1609725</xdr:colOff>
                    <xdr:row>95</xdr:row>
                    <xdr:rowOff>9525</xdr:rowOff>
                  </from>
                  <to>
                    <xdr:col>7</xdr:col>
                    <xdr:colOff>1181100</xdr:colOff>
                    <xdr:row>95</xdr:row>
                    <xdr:rowOff>276225</xdr:rowOff>
                  </to>
                </anchor>
              </controlPr>
            </control>
          </mc:Choice>
        </mc:AlternateContent>
        <mc:AlternateContent xmlns:mc="http://schemas.openxmlformats.org/markup-compatibility/2006">
          <mc:Choice Requires="x14">
            <control shapeId="104471" r:id="rId7" name="Button 23">
              <controlPr defaultSize="0" print="0" autoFill="0" autoPict="0" macro="[0]!addrowsIC80_Manipur" altText="Add Rows">
                <anchor moveWithCells="1">
                  <from>
                    <xdr:col>6</xdr:col>
                    <xdr:colOff>1609725</xdr:colOff>
                    <xdr:row>99</xdr:row>
                    <xdr:rowOff>9525</xdr:rowOff>
                  </from>
                  <to>
                    <xdr:col>7</xdr:col>
                    <xdr:colOff>1181100</xdr:colOff>
                    <xdr:row>99</xdr:row>
                    <xdr:rowOff>276225</xdr:rowOff>
                  </to>
                </anchor>
              </controlPr>
            </control>
          </mc:Choice>
        </mc:AlternateContent>
        <mc:AlternateContent xmlns:mc="http://schemas.openxmlformats.org/markup-compatibility/2006">
          <mc:Choice Requires="x14">
            <control shapeId="104472" r:id="rId8" name="Button 24">
              <controlPr defaultSize="0" print="0" autoFill="0" autoPict="0" macro="[0]!addrowsIC80_Mizoram" altText="Add Rows">
                <anchor moveWithCells="1">
                  <from>
                    <xdr:col>6</xdr:col>
                    <xdr:colOff>1609725</xdr:colOff>
                    <xdr:row>103</xdr:row>
                    <xdr:rowOff>28575</xdr:rowOff>
                  </from>
                  <to>
                    <xdr:col>7</xdr:col>
                    <xdr:colOff>1181100</xdr:colOff>
                    <xdr:row>103</xdr:row>
                    <xdr:rowOff>295275</xdr:rowOff>
                  </to>
                </anchor>
              </controlPr>
            </control>
          </mc:Choice>
        </mc:AlternateContent>
        <mc:AlternateContent xmlns:mc="http://schemas.openxmlformats.org/markup-compatibility/2006">
          <mc:Choice Requires="x14">
            <control shapeId="104473" r:id="rId9" name="Button 25">
              <controlPr defaultSize="0" print="0" autoFill="0" autoPict="0" macro="[0]!addrowsIC80_Meghalaya" altText="Add Rows">
                <anchor moveWithCells="1">
                  <from>
                    <xdr:col>6</xdr:col>
                    <xdr:colOff>1609725</xdr:colOff>
                    <xdr:row>107</xdr:row>
                    <xdr:rowOff>28575</xdr:rowOff>
                  </from>
                  <to>
                    <xdr:col>7</xdr:col>
                    <xdr:colOff>1181100</xdr:colOff>
                    <xdr:row>107</xdr:row>
                    <xdr:rowOff>295275</xdr:rowOff>
                  </to>
                </anchor>
              </controlPr>
            </control>
          </mc:Choice>
        </mc:AlternateContent>
        <mc:AlternateContent xmlns:mc="http://schemas.openxmlformats.org/markup-compatibility/2006">
          <mc:Choice Requires="x14">
            <control shapeId="104474" r:id="rId10" name="Button 26">
              <controlPr defaultSize="0" print="0" autoFill="0" autoPict="0" macro="[0]!addrowsIC80_Nagaland" altText="Add Rows">
                <anchor moveWithCells="1">
                  <from>
                    <xdr:col>6</xdr:col>
                    <xdr:colOff>1609725</xdr:colOff>
                    <xdr:row>111</xdr:row>
                    <xdr:rowOff>28575</xdr:rowOff>
                  </from>
                  <to>
                    <xdr:col>7</xdr:col>
                    <xdr:colOff>1181100</xdr:colOff>
                    <xdr:row>111</xdr:row>
                    <xdr:rowOff>295275</xdr:rowOff>
                  </to>
                </anchor>
              </controlPr>
            </control>
          </mc:Choice>
        </mc:AlternateContent>
        <mc:AlternateContent xmlns:mc="http://schemas.openxmlformats.org/markup-compatibility/2006">
          <mc:Choice Requires="x14">
            <control shapeId="104475" r:id="rId11" name="Button 27">
              <controlPr defaultSize="0" print="0" autoFill="0" autoPict="0" macro="[0]!addrowsIC80_Tripura" altText="Add Rows">
                <anchor moveWithCells="1">
                  <from>
                    <xdr:col>6</xdr:col>
                    <xdr:colOff>1609725</xdr:colOff>
                    <xdr:row>115</xdr:row>
                    <xdr:rowOff>28575</xdr:rowOff>
                  </from>
                  <to>
                    <xdr:col>7</xdr:col>
                    <xdr:colOff>1181100</xdr:colOff>
                    <xdr:row>115</xdr:row>
                    <xdr:rowOff>295275</xdr:rowOff>
                  </to>
                </anchor>
              </controlPr>
            </control>
          </mc:Choice>
        </mc:AlternateContent>
        <mc:AlternateContent xmlns:mc="http://schemas.openxmlformats.org/markup-compatibility/2006">
          <mc:Choice Requires="x14">
            <control shapeId="104478" r:id="rId12" name="Button 30">
              <controlPr defaultSize="0" print="0" autoFill="0" autoPict="0" macro="[0]!addrowsIB80_DeductBackStatesUs80_IB_4" altText="Add Rows">
                <anchor moveWithCells="1">
                  <from>
                    <xdr:col>6</xdr:col>
                    <xdr:colOff>1619250</xdr:colOff>
                    <xdr:row>46</xdr:row>
                    <xdr:rowOff>219075</xdr:rowOff>
                  </from>
                  <to>
                    <xdr:col>7</xdr:col>
                    <xdr:colOff>1190625</xdr:colOff>
                    <xdr:row>46</xdr:row>
                    <xdr:rowOff>485775</xdr:rowOff>
                  </to>
                </anchor>
              </controlPr>
            </control>
          </mc:Choice>
        </mc:AlternateContent>
        <mc:AlternateContent xmlns:mc="http://schemas.openxmlformats.org/markup-compatibility/2006">
          <mc:Choice Requires="x14">
            <control shapeId="104479" r:id="rId13" name="Button 31">
              <controlPr defaultSize="0" print="0" autoFill="0" autoPict="0" macro="[0]!addrowsIB80_DeductBackDisttUs80_IB_5" altText="Add Rows">
                <anchor moveWithCells="1">
                  <from>
                    <xdr:col>6</xdr:col>
                    <xdr:colOff>1619250</xdr:colOff>
                    <xdr:row>46</xdr:row>
                    <xdr:rowOff>200025</xdr:rowOff>
                  </from>
                  <to>
                    <xdr:col>7</xdr:col>
                    <xdr:colOff>1190625</xdr:colOff>
                    <xdr:row>46</xdr:row>
                    <xdr:rowOff>466725</xdr:rowOff>
                  </to>
                </anchor>
              </controlPr>
            </control>
          </mc:Choice>
        </mc:AlternateContent>
        <mc:AlternateContent xmlns:mc="http://schemas.openxmlformats.org/markup-compatibility/2006">
          <mc:Choice Requires="x14">
            <control shapeId="104482" r:id="rId14" name="Button 34">
              <controlPr defaultSize="0" print="0" autoFill="0" autoPict="0" macro="[0]!addrowsIB80_DeductMinOilUs80_IB_9" altText="Add Rows">
                <anchor moveWithCells="1">
                  <from>
                    <xdr:col>6</xdr:col>
                    <xdr:colOff>1619250</xdr:colOff>
                    <xdr:row>46</xdr:row>
                    <xdr:rowOff>200025</xdr:rowOff>
                  </from>
                  <to>
                    <xdr:col>7</xdr:col>
                    <xdr:colOff>1190625</xdr:colOff>
                    <xdr:row>46</xdr:row>
                    <xdr:rowOff>466725</xdr:rowOff>
                  </to>
                </anchor>
              </controlPr>
            </control>
          </mc:Choice>
        </mc:AlternateContent>
        <mc:AlternateContent xmlns:mc="http://schemas.openxmlformats.org/markup-compatibility/2006">
          <mc:Choice Requires="x14">
            <control shapeId="104483" r:id="rId15" name="Button 35">
              <controlPr defaultSize="0" print="0" autoFill="0" autoPict="0" macro="[0]!addrowsIB80_DeductHousUs80_IB_10" altText="Add Rows">
                <anchor moveWithCells="1">
                  <from>
                    <xdr:col>6</xdr:col>
                    <xdr:colOff>1619250</xdr:colOff>
                    <xdr:row>50</xdr:row>
                    <xdr:rowOff>190500</xdr:rowOff>
                  </from>
                  <to>
                    <xdr:col>7</xdr:col>
                    <xdr:colOff>1190625</xdr:colOff>
                    <xdr:row>50</xdr:row>
                    <xdr:rowOff>476250</xdr:rowOff>
                  </to>
                </anchor>
              </controlPr>
            </control>
          </mc:Choice>
        </mc:AlternateContent>
        <mc:AlternateContent xmlns:mc="http://schemas.openxmlformats.org/markup-compatibility/2006">
          <mc:Choice Requires="x14">
            <control shapeId="104484" r:id="rId16" name="Button 36">
              <controlPr defaultSize="0" print="0" autoFill="0" autoPict="0" macro="[0]!addrowsIB80_DeductColdChainUs80_IB_11" altText="Add Rows">
                <anchor moveWithCells="1">
                  <from>
                    <xdr:col>6</xdr:col>
                    <xdr:colOff>1619250</xdr:colOff>
                    <xdr:row>58</xdr:row>
                    <xdr:rowOff>180975</xdr:rowOff>
                  </from>
                  <to>
                    <xdr:col>7</xdr:col>
                    <xdr:colOff>1190625</xdr:colOff>
                    <xdr:row>58</xdr:row>
                    <xdr:rowOff>447675</xdr:rowOff>
                  </to>
                </anchor>
              </controlPr>
            </control>
          </mc:Choice>
        </mc:AlternateContent>
        <mc:AlternateContent xmlns:mc="http://schemas.openxmlformats.org/markup-compatibility/2006">
          <mc:Choice Requires="x14">
            <control shapeId="104485" r:id="rId17" name="Button 37">
              <controlPr defaultSize="0" print="0" autoFill="0" autoPict="0" macro="[0]!addrowsIB80_DeductFruitVegUs80_IB_11A" altText="Add Rows">
                <anchor moveWithCells="1">
                  <from>
                    <xdr:col>6</xdr:col>
                    <xdr:colOff>1619250</xdr:colOff>
                    <xdr:row>58</xdr:row>
                    <xdr:rowOff>257175</xdr:rowOff>
                  </from>
                  <to>
                    <xdr:col>7</xdr:col>
                    <xdr:colOff>1190625</xdr:colOff>
                    <xdr:row>58</xdr:row>
                    <xdr:rowOff>523875</xdr:rowOff>
                  </to>
                </anchor>
              </controlPr>
            </control>
          </mc:Choice>
        </mc:AlternateContent>
        <mc:AlternateContent xmlns:mc="http://schemas.openxmlformats.org/markup-compatibility/2006">
          <mc:Choice Requires="x14">
            <control shapeId="104486" r:id="rId18" name="Button 38">
              <controlPr defaultSize="0" print="0" autoFill="0" autoPict="0" macro="[0]!addrowsIB80_DeductFoodGrainUs80_IB_11A" altText="Add Rows">
                <anchor moveWithCells="1">
                  <from>
                    <xdr:col>6</xdr:col>
                    <xdr:colOff>1619250</xdr:colOff>
                    <xdr:row>62</xdr:row>
                    <xdr:rowOff>257175</xdr:rowOff>
                  </from>
                  <to>
                    <xdr:col>7</xdr:col>
                    <xdr:colOff>1190625</xdr:colOff>
                    <xdr:row>62</xdr:row>
                    <xdr:rowOff>523875</xdr:rowOff>
                  </to>
                </anchor>
              </controlPr>
            </control>
          </mc:Choice>
        </mc:AlternateContent>
        <mc:AlternateContent xmlns:mc="http://schemas.openxmlformats.org/markup-compatibility/2006">
          <mc:Choice Requires="x14">
            <control shapeId="104490" r:id="rId19" name="Button 42">
              <controlPr defaultSize="0" print="0" autoFill="0" autoPict="0" macro="[0]!addrowsIC80_DeductInSikkim" altText="Add Rows">
                <anchor moveWithCells="1">
                  <from>
                    <xdr:col>6</xdr:col>
                    <xdr:colOff>1619250</xdr:colOff>
                    <xdr:row>78</xdr:row>
                    <xdr:rowOff>104775</xdr:rowOff>
                  </from>
                  <to>
                    <xdr:col>7</xdr:col>
                    <xdr:colOff>1190625</xdr:colOff>
                    <xdr:row>78</xdr:row>
                    <xdr:rowOff>371475</xdr:rowOff>
                  </to>
                </anchor>
              </controlPr>
            </control>
          </mc:Choice>
        </mc:AlternateContent>
        <mc:AlternateContent xmlns:mc="http://schemas.openxmlformats.org/markup-compatibility/2006">
          <mc:Choice Requires="x14">
            <control shapeId="104491" r:id="rId20" name="Button 43">
              <controlPr defaultSize="0" print="0" autoFill="0" autoPict="0" macro="[0]!addrowsIC80_DeductInHimachalP" altText="Add Rows">
                <anchor moveWithCells="1">
                  <from>
                    <xdr:col>6</xdr:col>
                    <xdr:colOff>1619250</xdr:colOff>
                    <xdr:row>82</xdr:row>
                    <xdr:rowOff>47625</xdr:rowOff>
                  </from>
                  <to>
                    <xdr:col>7</xdr:col>
                    <xdr:colOff>1190625</xdr:colOff>
                    <xdr:row>82</xdr:row>
                    <xdr:rowOff>314325</xdr:rowOff>
                  </to>
                </anchor>
              </controlPr>
            </control>
          </mc:Choice>
        </mc:AlternateContent>
        <mc:AlternateContent xmlns:mc="http://schemas.openxmlformats.org/markup-compatibility/2006">
          <mc:Choice Requires="x14">
            <control shapeId="104492" r:id="rId21" name="Button 44">
              <controlPr defaultSize="0" print="0" autoFill="0" autoPict="0" macro="[0]!addrowsIC80_DeductInUttaranchal" altText="Add Rows">
                <anchor moveWithCells="1">
                  <from>
                    <xdr:col>6</xdr:col>
                    <xdr:colOff>1619250</xdr:colOff>
                    <xdr:row>86</xdr:row>
                    <xdr:rowOff>200025</xdr:rowOff>
                  </from>
                  <to>
                    <xdr:col>7</xdr:col>
                    <xdr:colOff>1190625</xdr:colOff>
                    <xdr:row>86</xdr:row>
                    <xdr:rowOff>466725</xdr:rowOff>
                  </to>
                </anchor>
              </controlPr>
            </control>
          </mc:Choice>
        </mc:AlternateContent>
        <mc:AlternateContent xmlns:mc="http://schemas.openxmlformats.org/markup-compatibility/2006">
          <mc:Choice Requires="x14">
            <control shapeId="104497" r:id="rId22" name="Button 49">
              <controlPr defaultSize="0" print="0" autoFill="0" autoPict="0" macro="[0]!addrowsIA80_DeductProfUs80_IA_4_iii">
                <anchor moveWithCells="1">
                  <from>
                    <xdr:col>6</xdr:col>
                    <xdr:colOff>1619250</xdr:colOff>
                    <xdr:row>14</xdr:row>
                    <xdr:rowOff>190500</xdr:rowOff>
                  </from>
                  <to>
                    <xdr:col>7</xdr:col>
                    <xdr:colOff>1190625</xdr:colOff>
                    <xdr:row>15</xdr:row>
                    <xdr:rowOff>0</xdr:rowOff>
                  </to>
                </anchor>
              </controlPr>
            </control>
          </mc:Choice>
        </mc:AlternateContent>
        <mc:AlternateContent xmlns:mc="http://schemas.openxmlformats.org/markup-compatibility/2006">
          <mc:Choice Requires="x14">
            <control shapeId="104499" r:id="rId23" name="Button 51">
              <controlPr defaultSize="0" print="0" autoFill="0" autoPict="0" macro="[0]!addrowsIB80_DeductJKLocUs80_IB_4">
                <anchor moveWithCells="1">
                  <from>
                    <xdr:col>6</xdr:col>
                    <xdr:colOff>1619250</xdr:colOff>
                    <xdr:row>26</xdr:row>
                    <xdr:rowOff>200025</xdr:rowOff>
                  </from>
                  <to>
                    <xdr:col>7</xdr:col>
                    <xdr:colOff>1190625</xdr:colOff>
                    <xdr:row>26</xdr:row>
                    <xdr:rowOff>466725</xdr:rowOff>
                  </to>
                </anchor>
              </controlPr>
            </control>
          </mc:Choice>
        </mc:AlternateContent>
        <mc:AlternateContent xmlns:mc="http://schemas.openxmlformats.org/markup-compatibility/2006">
          <mc:Choice Requires="x14">
            <control shapeId="104540" r:id="rId24" name="Button 92">
              <controlPr defaultSize="0" print="0" autoFill="0" autoPict="0" macro="[0]!ValidateSheet80Click">
                <anchor>
                  <from>
                    <xdr:col>9</xdr:col>
                    <xdr:colOff>95250</xdr:colOff>
                    <xdr:row>3</xdr:row>
                    <xdr:rowOff>133350</xdr:rowOff>
                  </from>
                  <to>
                    <xdr:col>9</xdr:col>
                    <xdr:colOff>1466850</xdr:colOff>
                    <xdr:row>9</xdr:row>
                    <xdr:rowOff>133350</xdr:rowOff>
                  </to>
                </anchor>
              </controlPr>
            </control>
          </mc:Choice>
        </mc:AlternateContent>
        <mc:AlternateContent xmlns:mc="http://schemas.openxmlformats.org/markup-compatibility/2006">
          <mc:Choice Requires="x14">
            <control shapeId="104541" r:id="rId25" name="Button 93">
              <controlPr defaultSize="0" print="0" autoFill="0" autoPict="0" macro="[0]!Prev_Sheet">
                <anchor>
                  <from>
                    <xdr:col>9</xdr:col>
                    <xdr:colOff>95250</xdr:colOff>
                    <xdr:row>14</xdr:row>
                    <xdr:rowOff>257175</xdr:rowOff>
                  </from>
                  <to>
                    <xdr:col>9</xdr:col>
                    <xdr:colOff>1466850</xdr:colOff>
                    <xdr:row>15</xdr:row>
                    <xdr:rowOff>57150</xdr:rowOff>
                  </to>
                </anchor>
              </controlPr>
            </control>
          </mc:Choice>
        </mc:AlternateContent>
        <mc:AlternateContent xmlns:mc="http://schemas.openxmlformats.org/markup-compatibility/2006">
          <mc:Choice Requires="x14">
            <control shapeId="104542" r:id="rId26" name="Button 94">
              <controlPr defaultSize="0" print="0" autoFill="0" autoPict="0" macro="[0]!Img_Home_Click">
                <anchor>
                  <from>
                    <xdr:col>9</xdr:col>
                    <xdr:colOff>95250</xdr:colOff>
                    <xdr:row>2</xdr:row>
                    <xdr:rowOff>0</xdr:rowOff>
                  </from>
                  <to>
                    <xdr:col>9</xdr:col>
                    <xdr:colOff>1466850</xdr:colOff>
                    <xdr:row>3</xdr:row>
                    <xdr:rowOff>114300</xdr:rowOff>
                  </to>
                </anchor>
              </controlPr>
            </control>
          </mc:Choice>
        </mc:AlternateContent>
        <mc:AlternateContent xmlns:mc="http://schemas.openxmlformats.org/markup-compatibility/2006">
          <mc:Choice Requires="x14">
            <control shapeId="104544" r:id="rId27" name="Button 96">
              <controlPr defaultSize="0" print="0" autoFill="0" autoPict="0" macro="[0]!Next_Sheet">
                <anchor>
                  <from>
                    <xdr:col>9</xdr:col>
                    <xdr:colOff>95250</xdr:colOff>
                    <xdr:row>9</xdr:row>
                    <xdr:rowOff>152400</xdr:rowOff>
                  </from>
                  <to>
                    <xdr:col>9</xdr:col>
                    <xdr:colOff>1466850</xdr:colOff>
                    <xdr:row>14</xdr:row>
                    <xdr:rowOff>228600</xdr:rowOff>
                  </to>
                </anchor>
              </controlPr>
            </control>
          </mc:Choice>
        </mc:AlternateContent>
        <mc:AlternateContent xmlns:mc="http://schemas.openxmlformats.org/markup-compatibility/2006">
          <mc:Choice Requires="x14">
            <control shapeId="104545" r:id="rId28" name="Button 97">
              <controlPr defaultSize="0" print="0" autoFill="0" autoPict="0" macro="[0]!Instruction_Sheet">
                <anchor>
                  <from>
                    <xdr:col>9</xdr:col>
                    <xdr:colOff>95250</xdr:colOff>
                    <xdr:row>22</xdr:row>
                    <xdr:rowOff>152400</xdr:rowOff>
                  </from>
                  <to>
                    <xdr:col>9</xdr:col>
                    <xdr:colOff>1466850</xdr:colOff>
                    <xdr:row>23</xdr:row>
                    <xdr:rowOff>38100</xdr:rowOff>
                  </to>
                </anchor>
              </controlPr>
            </control>
          </mc:Choice>
        </mc:AlternateContent>
        <mc:AlternateContent xmlns:mc="http://schemas.openxmlformats.org/markup-compatibility/2006">
          <mc:Choice Requires="x14">
            <control shapeId="104546" r:id="rId29" name="Button 98">
              <controlPr defaultSize="0" print="0" autoFill="0" autoPict="0" macro="[0]!WorksheetsPrint">
                <anchor>
                  <from>
                    <xdr:col>9</xdr:col>
                    <xdr:colOff>95250</xdr:colOff>
                    <xdr:row>17</xdr:row>
                    <xdr:rowOff>57150</xdr:rowOff>
                  </from>
                  <to>
                    <xdr:col>9</xdr:col>
                    <xdr:colOff>1466850</xdr:colOff>
                    <xdr:row>22</xdr:row>
                    <xdr:rowOff>133350</xdr:rowOff>
                  </to>
                </anchor>
              </controlPr>
            </control>
          </mc:Choice>
        </mc:AlternateContent>
        <mc:AlternateContent xmlns:mc="http://schemas.openxmlformats.org/markup-compatibility/2006">
          <mc:Choice Requires="x14">
            <control shapeId="104547" r:id="rId30" name="Button 99">
              <controlPr defaultSize="0" print="0" autoFill="0" autoPict="0" macro="[0]!GenerateJSON.GenerateJSON">
                <anchor>
                  <from>
                    <xdr:col>9</xdr:col>
                    <xdr:colOff>95250</xdr:colOff>
                    <xdr:row>15</xdr:row>
                    <xdr:rowOff>66675</xdr:rowOff>
                  </from>
                  <to>
                    <xdr:col>9</xdr:col>
                    <xdr:colOff>1466850</xdr:colOff>
                    <xdr:row>17</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XFC48"/>
  <sheetViews>
    <sheetView showGridLines="0" showRowColHeaders="0" zoomScaleNormal="100" workbookViewId="0">
      <selection activeCell="I18" sqref="I18"/>
    </sheetView>
  </sheetViews>
  <sheetFormatPr defaultColWidth="0" defaultRowHeight="12.75" zeroHeight="1" x14ac:dyDescent="0.2"/>
  <cols>
    <col min="1" max="1" width="4.28515625" style="113" customWidth="1"/>
    <col min="2" max="2" width="4.140625" style="113" customWidth="1"/>
    <col min="3" max="4" width="9.140625" style="113" customWidth="1"/>
    <col min="5" max="5" width="34.7109375" style="113" customWidth="1"/>
    <col min="6" max="6" width="14.140625" style="113" customWidth="1"/>
    <col min="7" max="7" width="34.42578125" style="113" customWidth="1"/>
    <col min="8" max="8" width="12.85546875" style="113" customWidth="1"/>
    <col min="9" max="9" width="16" style="113" customWidth="1"/>
    <col min="10" max="10" width="12.85546875" style="113" hidden="1" customWidth="1"/>
    <col min="11" max="11" width="18.85546875" style="113" customWidth="1"/>
    <col min="12" max="12" width="4" style="113" customWidth="1"/>
    <col min="13" max="13" width="32.42578125" style="113" customWidth="1"/>
    <col min="14" max="25" width="6.140625" style="113" hidden="1"/>
    <col min="26" max="26" width="11.28515625" style="113" hidden="1"/>
    <col min="27" max="27" width="6.140625" style="113" hidden="1"/>
    <col min="28" max="31" width="8.85546875" style="113" hidden="1"/>
    <col min="32" max="32" width="14.28515625" style="113" hidden="1"/>
    <col min="33" max="33" width="13.42578125" style="113" hidden="1"/>
    <col min="34" max="40" width="8.85546875" style="113" hidden="1"/>
    <col min="41" max="16383" width="2" style="113" hidden="1"/>
    <col min="16384" max="16384" width="3.7109375" style="113" hidden="1"/>
  </cols>
  <sheetData>
    <row r="1" spans="2:55" ht="13.5" thickBot="1" x14ac:dyDescent="0.25"/>
    <row r="2" spans="2:55" x14ac:dyDescent="0.2">
      <c r="B2" s="1794"/>
      <c r="C2" s="1795"/>
      <c r="D2" s="1795"/>
      <c r="E2" s="1795"/>
      <c r="F2" s="1795"/>
      <c r="G2" s="1795"/>
      <c r="H2" s="1795"/>
      <c r="I2" s="1795"/>
      <c r="J2" s="1795"/>
      <c r="K2" s="1795"/>
      <c r="L2" s="1831"/>
      <c r="Q2" s="113" t="s">
        <v>12129</v>
      </c>
      <c r="AC2" s="121"/>
      <c r="AD2" s="121"/>
      <c r="AE2" s="121"/>
      <c r="AF2" s="740" t="s">
        <v>12141</v>
      </c>
      <c r="AG2" s="1912">
        <v>0</v>
      </c>
      <c r="AH2" s="121"/>
      <c r="AI2" s="121"/>
    </row>
    <row r="3" spans="2:55" ht="25.5" customHeight="1" x14ac:dyDescent="0.2">
      <c r="B3" s="1797"/>
      <c r="C3" s="3029" t="s">
        <v>1142</v>
      </c>
      <c r="D3" s="3030"/>
      <c r="E3" s="3017" t="s">
        <v>685</v>
      </c>
      <c r="F3" s="3015"/>
      <c r="G3" s="3015"/>
      <c r="H3" s="3015"/>
      <c r="I3" s="3015"/>
      <c r="J3" s="3015"/>
      <c r="K3" s="3016"/>
      <c r="L3" s="1191"/>
      <c r="V3" s="113" t="s">
        <v>6531</v>
      </c>
      <c r="W3" s="113">
        <f>MAX(0,ROUND((Sheet8b.GrossTotalIncome-Sheet8b.IncChargeableTaxSplRates),0))</f>
        <v>0</v>
      </c>
      <c r="Y3" s="113">
        <f>MAX(0,MIN(GTI_LIMIT))</f>
        <v>0</v>
      </c>
      <c r="AC3" s="121"/>
      <c r="AD3" s="121"/>
      <c r="AE3" s="121"/>
      <c r="AF3" s="740" t="s">
        <v>12140</v>
      </c>
      <c r="AG3" s="1912">
        <v>0</v>
      </c>
      <c r="AH3" s="121"/>
      <c r="AI3" s="121"/>
    </row>
    <row r="4" spans="2:55" ht="48" hidden="1" customHeight="1" x14ac:dyDescent="0.2">
      <c r="B4" s="1797"/>
      <c r="C4" s="2983"/>
      <c r="D4" s="3119"/>
      <c r="E4" s="3119"/>
      <c r="F4" s="3119"/>
      <c r="G4" s="3119"/>
      <c r="H4" s="3119"/>
      <c r="I4" s="3120"/>
      <c r="J4" s="2023"/>
      <c r="K4" s="1715"/>
      <c r="L4" s="1192"/>
      <c r="AC4" s="121"/>
      <c r="AD4" s="121"/>
      <c r="AE4" s="121"/>
      <c r="AF4" s="740" t="s">
        <v>12139</v>
      </c>
      <c r="AG4" s="1912">
        <v>0</v>
      </c>
      <c r="AH4" s="121"/>
      <c r="AI4" s="121"/>
    </row>
    <row r="5" spans="2:55" ht="12.75" customHeight="1" x14ac:dyDescent="0.2">
      <c r="B5" s="1797"/>
      <c r="C5" s="3012" t="s">
        <v>1143</v>
      </c>
      <c r="D5" s="3822" t="s">
        <v>1144</v>
      </c>
      <c r="E5" s="3823"/>
      <c r="F5" s="3823"/>
      <c r="G5" s="3823"/>
      <c r="H5" s="3823"/>
      <c r="I5" s="3823"/>
      <c r="J5" s="2058"/>
      <c r="K5" s="760" t="s">
        <v>1145</v>
      </c>
      <c r="L5" s="1192"/>
      <c r="V5" s="113" t="s">
        <v>7269</v>
      </c>
      <c r="W5" s="113">
        <f>IF(GTI_LIMIT&gt;150000,150000,GTI_LIMIT)</f>
        <v>0</v>
      </c>
      <c r="AC5" s="121"/>
      <c r="AD5" s="121"/>
      <c r="AE5" s="121"/>
      <c r="AF5" s="740" t="s">
        <v>12138</v>
      </c>
      <c r="AG5" s="1912">
        <v>0</v>
      </c>
      <c r="AH5" s="121"/>
      <c r="AI5" s="121"/>
    </row>
    <row r="6" spans="2:55" ht="27" customHeight="1" x14ac:dyDescent="0.2">
      <c r="B6" s="1797"/>
      <c r="C6" s="3156"/>
      <c r="D6" s="257" t="s">
        <v>27</v>
      </c>
      <c r="E6" s="2993" t="s">
        <v>8424</v>
      </c>
      <c r="F6" s="2994"/>
      <c r="G6" s="2995"/>
      <c r="H6" s="257" t="s">
        <v>27</v>
      </c>
      <c r="I6" s="2667">
        <v>0</v>
      </c>
      <c r="J6" s="761"/>
      <c r="K6" s="1857">
        <f>MIN(MIN(VALUE(scvia.Section80C),150000),GTI_LIMIT)</f>
        <v>0</v>
      </c>
      <c r="L6" s="1192"/>
      <c r="AC6" s="121"/>
      <c r="AD6" s="121"/>
      <c r="AE6" s="121"/>
      <c r="AF6" s="740" t="s">
        <v>12137</v>
      </c>
      <c r="AG6" s="1912">
        <v>0</v>
      </c>
      <c r="AH6" s="121"/>
      <c r="AI6" s="121"/>
      <c r="BC6" s="762">
        <f>IF(AND(MID(sheet1.Status,1,1)="I",BC7=1),1,0)</f>
        <v>0</v>
      </c>
    </row>
    <row r="7" spans="2:55" ht="12.75" customHeight="1" x14ac:dyDescent="0.2">
      <c r="B7" s="1797"/>
      <c r="C7" s="3156"/>
      <c r="D7" s="8" t="s">
        <v>28</v>
      </c>
      <c r="E7" s="3017" t="s">
        <v>8425</v>
      </c>
      <c r="F7" s="3015"/>
      <c r="G7" s="3016"/>
      <c r="H7" s="8" t="s">
        <v>28</v>
      </c>
      <c r="I7" s="2089">
        <v>0</v>
      </c>
      <c r="J7" s="761"/>
      <c r="K7" s="1858">
        <f>IF(MID(sheet1.Status,1,1)="H",0,MIN(MIN(VALUE(scvia.Section80CCC), 150000,150000 - scvia.Section80C_Calc),GTI_LIMIT))</f>
        <v>0</v>
      </c>
      <c r="L7" s="1192"/>
      <c r="AC7" s="121"/>
      <c r="AD7" s="121"/>
      <c r="AE7" s="121"/>
      <c r="AF7" s="740" t="s">
        <v>12136</v>
      </c>
      <c r="AG7" s="1912">
        <v>2</v>
      </c>
      <c r="AH7" s="1912">
        <f>IF(SalarySectionCount=Temp_Null,Temp_Null,0)</f>
        <v>2</v>
      </c>
      <c r="AI7" s="121"/>
      <c r="BC7" s="762">
        <f>IF(AND(age&gt;59,MID(sheet1.ResidentialStatus1, 1, 2) = "NR"),1,0)</f>
        <v>0</v>
      </c>
    </row>
    <row r="8" spans="2:55" ht="12.75" customHeight="1" x14ac:dyDescent="0.2">
      <c r="B8" s="1797"/>
      <c r="C8" s="3156"/>
      <c r="D8" s="8" t="s">
        <v>29</v>
      </c>
      <c r="E8" s="3017" t="s">
        <v>8426</v>
      </c>
      <c r="F8" s="3015"/>
      <c r="G8" s="3016"/>
      <c r="H8" s="8" t="s">
        <v>29</v>
      </c>
      <c r="I8" s="2089">
        <v>0</v>
      </c>
      <c r="J8" s="761"/>
      <c r="K8" s="1859">
        <f>IF(MID(sheet1.Status,1,1)="H",0,IF(SAL.TotalGrossSalary=0,MIN(VALUE(scvia.Section80CCD_SE),MIN(150000,IF(OR(Temp_Pensioner&gt;0,Temp_Null_1&gt;0),ROUND(Sheet8b.GrossTotalIncome*0.2,0),ROUND(Temp_DA_BS*0.1,0))),Max_Amount-scvia.Section80C_Calc-scvia.Section80CCC_Calc),MIN(VALUE(scvia.Section80CCD_SE),Max_Amount-scvia.Section80C_Calc-scvia.Section80CCC_Calc,MIN(150000,MAX(0,,IF(OR(Temp_Pensioner&gt;0,Temp_Null_1&gt;0),ROUND(Sheet8b.GrossTotalIncome*0.2,0),ROUND(Temp_DA_BS*0.1,0)))))))</f>
        <v>0</v>
      </c>
      <c r="L8" s="1192"/>
      <c r="O8" s="144">
        <v>0</v>
      </c>
      <c r="Q8" s="144" t="s">
        <v>8418</v>
      </c>
      <c r="R8" s="144">
        <v>0</v>
      </c>
      <c r="AC8" s="121"/>
      <c r="AD8" s="1914">
        <f>IF(AND(MID(sheet1.Status,1,1)="I",AD9=1),1,0)</f>
        <v>0</v>
      </c>
      <c r="AE8" s="121"/>
      <c r="AF8" s="740" t="s">
        <v>12135</v>
      </c>
      <c r="AG8" s="1912">
        <v>0</v>
      </c>
      <c r="AH8" s="121"/>
      <c r="AI8" s="121"/>
      <c r="BC8" s="763">
        <f>IF(OR(age&lt;= 59,MID(sheet1.ResidentialStatus1, 1, 2) = "NR"),1,0)</f>
        <v>0</v>
      </c>
    </row>
    <row r="9" spans="2:55" ht="12.75" customHeight="1" x14ac:dyDescent="0.2">
      <c r="B9" s="1797"/>
      <c r="C9" s="3156"/>
      <c r="D9" s="8" t="s">
        <v>36</v>
      </c>
      <c r="E9" s="3017" t="s">
        <v>8842</v>
      </c>
      <c r="F9" s="3015"/>
      <c r="G9" s="3016"/>
      <c r="H9" s="8" t="s">
        <v>36</v>
      </c>
      <c r="I9" s="2089">
        <v>0</v>
      </c>
      <c r="J9" s="761"/>
      <c r="K9" s="1859">
        <f>IF(MID(sheet1.Status,1,1)="I",MIN(VALUE(scvia.Section80CCD1B_SE),50000,GTI_LIMIT),0)</f>
        <v>0</v>
      </c>
      <c r="L9" s="1192"/>
      <c r="AC9" s="121"/>
      <c r="AD9" s="1914">
        <f>IF(AND(age&gt;59,MID(sheet1.ResidentialStatus1, 1, 2) = "NR"),1,0)</f>
        <v>0</v>
      </c>
      <c r="AE9" s="121"/>
      <c r="AF9" s="121"/>
      <c r="AG9" s="1912">
        <f>IF(MID(sheet1.Status,1,1)="H",0,IF(SAL.TotalGrossSalary=0,MIN(VALUE(scvia.Section80CCD_SE),MIN(150000,ROUND(Sheet8b.GrossTotalIncome*0.2,0)),Max_Amount-scvia.Section80C_Calc-scvia.Section80CCC_Calc),MIN(VALUE(scvia.Section80CCD_SE),Max_Amount-scvia.Section80C_Calc-scvia.Section80CCC_Calc,MIN(150000,MAX(0,ROUND(Sheet11.Salaries80CCD2*0.1,0))))))</f>
        <v>0</v>
      </c>
      <c r="AH9" s="121"/>
      <c r="AI9" s="121"/>
      <c r="BC9" s="763">
        <f>IF(AND(MID(sheet1.Status,1,1)="I",BC8=1),1,0)</f>
        <v>0</v>
      </c>
    </row>
    <row r="10" spans="2:55" ht="12.75" customHeight="1" x14ac:dyDescent="0.2">
      <c r="B10" s="1797"/>
      <c r="C10" s="3156"/>
      <c r="D10" s="8" t="s">
        <v>38</v>
      </c>
      <c r="E10" s="2993" t="s">
        <v>8427</v>
      </c>
      <c r="F10" s="3015"/>
      <c r="G10" s="3015"/>
      <c r="H10" s="8" t="s">
        <v>38</v>
      </c>
      <c r="I10" s="2089">
        <v>0</v>
      </c>
      <c r="J10" s="761"/>
      <c r="K10" s="1859">
        <f>ROUND(IF(MID(sheet1.Status,1,1)="H",0,MIN(MIN(VALUE(scvia.Section80CCD), MAX(0,IF(OR(Temp_CG&gt;0,Temp_SG&gt;0),0.14*(Temp_DA_BS),IF(OR(Temp_SG&gt;0,Temp_PSU&gt;0,Temp_OTH&gt;0),0.1*(Temp_DA_BS),0)))),GTI_LIMIT)),0)</f>
        <v>0</v>
      </c>
      <c r="L10" s="1192"/>
      <c r="W10" s="113" t="s">
        <v>1538</v>
      </c>
      <c r="AC10" s="1912">
        <v>0</v>
      </c>
      <c r="AD10" s="1912">
        <f>IF(OR(age&lt;=59,MID(sheet1.ResidentialStatus1, 1, 2) = "NR"),1,0)</f>
        <v>0</v>
      </c>
      <c r="AE10" s="121"/>
      <c r="AF10" s="740" t="s">
        <v>12134</v>
      </c>
      <c r="AG10" s="1912">
        <v>0</v>
      </c>
      <c r="AH10" s="121"/>
      <c r="AI10" s="121"/>
      <c r="BC10" s="763">
        <f>IF(OR(MID(SELECT80D,1,1) ="(", MID(SELECT80D,1,1)=""),0,MID(SELECT80D,1,1))</f>
        <v>0</v>
      </c>
    </row>
    <row r="11" spans="2:55" ht="12.75" hidden="1" customHeight="1" x14ac:dyDescent="0.2">
      <c r="B11" s="1797"/>
      <c r="C11" s="3156"/>
      <c r="D11" s="8" t="s">
        <v>40</v>
      </c>
      <c r="E11" s="3017" t="s">
        <v>8428</v>
      </c>
      <c r="F11" s="3015"/>
      <c r="G11" s="3015"/>
      <c r="H11" s="8" t="s">
        <v>40</v>
      </c>
      <c r="I11" s="1973"/>
      <c r="J11" s="761"/>
      <c r="K11" s="1859">
        <f>IF(MID(sheet1.Status,1,1)="H",0,MIN(IF(MID(sheet1.ResidentialStatus1,1,3)="NRI",0,IF((GTI_LIMIT +Sheet8b.IncChargeableTaxSplRates)&gt; 1200000,0,MIN(VALUE(scvia.Section80CCG),25000))),GTI_LIMIT))</f>
        <v>0</v>
      </c>
      <c r="L11" s="1192"/>
      <c r="Q11" s="144">
        <f>IF(AND(BC10="1",P16=1),1,IF(AND(BC10="3",P16=2),2,IF(AND(BC10="5",P16=3),3,IF(AND(BC10="6",OR(P16=1,P16=2,P16=3)),4,0))))</f>
        <v>0</v>
      </c>
      <c r="R11" s="144">
        <f>IF(Q11=1,MIN(25000,(IncD.Section80DC_Calc+BC14)),IF(Q11=2,MIN(25000,(IncD.Section80DC_Calc+BC14)),IF(Q11=3,MIN(50000,(IncD.Section80DC_Calc+BC14)),IF(Q11=4,MIN(75000,(IncD.Section80DC_Calc+BC14)),(IncD.Section80DC_Calc+BC14)))))</f>
        <v>0</v>
      </c>
      <c r="W11" s="113">
        <f>ROUND(Sheet8b.TotalIncome,0)</f>
        <v>0</v>
      </c>
      <c r="AC11" s="121"/>
      <c r="AD11" s="1912">
        <f>IF(AND(MID(sheet1.Status,1,1)="I",AD10=1),1,0)</f>
        <v>0</v>
      </c>
      <c r="AE11" s="121"/>
      <c r="AF11" s="740" t="s">
        <v>12134</v>
      </c>
      <c r="AG11" s="1912"/>
      <c r="AH11" s="121" t="s">
        <v>12133</v>
      </c>
      <c r="AI11" s="1823" t="e">
        <f>MAX(0,VALUE(Sheet2.GrossTotalIncome)-VALUE(Sheet2.IncChargeableTaxSplRates))</f>
        <v>#NAME?</v>
      </c>
      <c r="BC11" s="763">
        <f>IF(OR(BC10="1",BC10="3"),25000,IF(OR(BC10="2",BC10="4"),IF(AND(BC10="2",BC6=1),25000,50000),IF(BC10="5",50000,IF(BC10="6",75000,IF(BC10="7",IF(BC9=1,75000,100000),0)))))</f>
        <v>0</v>
      </c>
    </row>
    <row r="12" spans="2:55" ht="15" hidden="1" customHeight="1" x14ac:dyDescent="0.2">
      <c r="B12" s="1797"/>
      <c r="C12" s="3156"/>
      <c r="D12" s="201" t="s">
        <v>40</v>
      </c>
      <c r="E12" s="3191" t="s">
        <v>1146</v>
      </c>
      <c r="F12" s="3192"/>
      <c r="G12" s="3192"/>
      <c r="H12" s="201" t="s">
        <v>40</v>
      </c>
      <c r="I12" s="1717"/>
      <c r="J12" s="761"/>
      <c r="K12" s="1718" t="s">
        <v>1537</v>
      </c>
      <c r="L12" s="1192"/>
      <c r="AC12" s="121"/>
      <c r="AD12" s="1912"/>
      <c r="AE12" s="121"/>
      <c r="AF12" s="740" t="s">
        <v>12131</v>
      </c>
      <c r="AG12" s="1912">
        <v>0</v>
      </c>
      <c r="AH12" s="121"/>
      <c r="AI12" s="1823"/>
      <c r="BC12" s="763"/>
    </row>
    <row r="13" spans="2:55" ht="15" customHeight="1" x14ac:dyDescent="0.2">
      <c r="B13" s="1797"/>
      <c r="C13" s="3156"/>
      <c r="D13" s="201" t="s">
        <v>40</v>
      </c>
      <c r="E13" s="3825" t="s">
        <v>11930</v>
      </c>
      <c r="F13" s="3818"/>
      <c r="G13" s="3818"/>
      <c r="H13" s="8" t="s">
        <v>40</v>
      </c>
      <c r="I13" s="1859">
        <f>Eligible_Amount_80D</f>
        <v>0</v>
      </c>
      <c r="J13" s="2045"/>
      <c r="K13" s="1859">
        <f>scvia.Section80DValue</f>
        <v>0</v>
      </c>
      <c r="L13" s="1192"/>
      <c r="R13" s="144">
        <f>IF(ISERROR(R11),0,R11)</f>
        <v>0</v>
      </c>
      <c r="AC13" s="1913">
        <f>IF( OR(MID(SELECT80D,1,1) ="(", MID(SELECT80D,1,1)=""),0,MID(SELECT80D,1,1))</f>
        <v>0</v>
      </c>
      <c r="AD13" s="1912">
        <f>IF(OR(AC13="1",AC13="3"),25000,IF(OR(AC13="2",AC13="4"),IF(AND(AC13="2",AD8=1),25000,50000),IF(AC13="5",50000,IF(AC13="6",75000,IF(AC13="7",IF(AD11=1,75000,100000),0)))))</f>
        <v>0</v>
      </c>
      <c r="AE13" s="1912">
        <f>MIN(VALUE(scvia.Section80D),MIN(GTI_LIMIT,AD13))</f>
        <v>0</v>
      </c>
      <c r="AF13" s="740" t="s">
        <v>12131</v>
      </c>
      <c r="AG13" s="1912">
        <v>0</v>
      </c>
      <c r="AH13" s="121" t="s">
        <v>12132</v>
      </c>
      <c r="AI13" s="121">
        <f>IF(GTI_LIMIT&gt;150000,150000,GTI_LIMIT)</f>
        <v>0</v>
      </c>
      <c r="BC13" s="763"/>
    </row>
    <row r="14" spans="2:55" ht="15" hidden="1" customHeight="1" x14ac:dyDescent="0.2">
      <c r="B14" s="1797"/>
      <c r="C14" s="3156"/>
      <c r="D14" s="241"/>
      <c r="E14" s="2025" t="s">
        <v>8429</v>
      </c>
      <c r="F14" s="3816"/>
      <c r="G14" s="3816"/>
      <c r="H14" s="3729"/>
      <c r="I14" s="806"/>
      <c r="J14" s="761"/>
      <c r="K14" s="1719"/>
      <c r="L14" s="1192"/>
      <c r="AC14" s="1913">
        <f>IF( OR(MID(SELECT80DB,1,1) ="(", MID(SELECT80DB,1,1)=""),0,MID(SELECT80DB,1,1))</f>
        <v>0</v>
      </c>
      <c r="AD14" s="1912">
        <f>IF(AC14="1",50000,IF(AC14="2",50000,IF(AC14="3",100000,0)))</f>
        <v>0</v>
      </c>
      <c r="AE14" s="1912" t="e">
        <f>IF(MID(sheet1.Status,1,1)&lt;&gt;"I",MIN(VALUE(scvia.Section80DB),MIN(GTI_LIMIT,50000)),IF(AND(MID(sheet1.ResidentialStatus1,1,3)&lt;&gt;"NRI",age&gt;=80),MIN(VALUE(scvia.Section80DB),MIN(GTI_LIMIT,AD14)),MIN(VALUE(scvia.Section80DB),MIN(GTI_LIMIT,AD14))))</f>
        <v>#NAME?</v>
      </c>
      <c r="AF14" s="740" t="s">
        <v>12131</v>
      </c>
      <c r="AG14" s="1912"/>
      <c r="AH14" s="121"/>
      <c r="AI14" s="121"/>
      <c r="BC14" s="763">
        <f>IF(MID(sheet1.Status,1,1)&lt;&gt;"I",MIN(VALUE(scvia.Section80D),MIN(GTI_LIMIT,50000)),IF(AND(MID(sheet1.ResidentialStatus1,1,3)&lt;&gt;"NRI",age&gt;59),MIN(VALUE(scvia.Section80D),MIN(GTI_LIMIT,BC11)),MIN(VALUE(scvia.Section80D),MIN(GTI_LIMIT,BC11))))</f>
        <v>0</v>
      </c>
    </row>
    <row r="15" spans="2:55" ht="15" hidden="1" customHeight="1" x14ac:dyDescent="0.2">
      <c r="B15" s="1797"/>
      <c r="C15" s="3156"/>
      <c r="D15" s="241"/>
      <c r="E15" s="2025" t="s">
        <v>8430</v>
      </c>
      <c r="F15" s="3816"/>
      <c r="G15" s="3816"/>
      <c r="H15" s="3730"/>
      <c r="I15" s="1973"/>
      <c r="J15" s="761"/>
      <c r="K15" s="1860">
        <f>T15</f>
        <v>0</v>
      </c>
      <c r="L15" s="1192"/>
      <c r="O15" s="113" t="s">
        <v>8422</v>
      </c>
      <c r="P15" s="113">
        <f>IF( OR(MID(SELECT80DB,1,1) ="(", MID(SELECT80DB,1,1)=""),0,MID(SELECT80DB,1,1))</f>
        <v>0</v>
      </c>
      <c r="Q15" s="113">
        <f>IF(P15="1",50000,IF(P15="2",50000,IF(P15="3",100000,0)))</f>
        <v>0</v>
      </c>
      <c r="R15" s="113" t="e">
        <f>IF(AND(INT(MID(sheet1.DOB,4,2))=4,INT(MID(sheet1.DOB,1,2))=1),IF(MID(sheet1.ResidentialStatus1,1,2)="NR",Q15,Q15),Q15)</f>
        <v>#VALUE!</v>
      </c>
      <c r="S15" s="113" t="e">
        <f>IF(MID(sheet1.Status,1,1)="H",MIN(50000,MIN(VALUE(IncD.Section80DB),GTI_LIMIT)),MIN(MIN(IF(INT(MID(sheet1.DOB,7,4))&lt;1939,IF(MID(sheet1.ResidentialStatus1,1,2)="NR",Q15,Q15),IF(INT(MID(sheet1.DOB,7,4))=1939, IF(INT(MID(sheet1.DOB,4,2))&lt;4,IF(MID(sheet1.ResidentialStatus1,1,2)="NR",Q15,Q15),R15),Q15)),VALUE(IncD.Section80DB)),GTI_LIMIT))</f>
        <v>#VALUE!</v>
      </c>
      <c r="T15" s="763">
        <f>IF(MID(sheet1.Status,1,1)="H",MIN(50000,SUM(R13,IF(ISERROR(IncD.Section80DB_Calc),0,IncD.Section80DB_Calc))),MIN(100000,SUM(R13,IF(ISERROR(IncD.Section80DB_Calc),0,IncD.Section80DB_Calc))))</f>
        <v>0</v>
      </c>
      <c r="AC15" s="1913">
        <f>IF( OR(MID(SELECT80DC,1,1) ="(", MID(SELECT80DC,1,1)=""),0,MID(SELECT80DC,1,1))</f>
        <v>0</v>
      </c>
      <c r="AD15" s="1912" t="e">
        <f>MIN(MIN(IF(AC15="1",5000,IF(AC15="2",5000,IF(AC15="3",5000,0))),GTI_LIMIT),IF(scvia.Section80DC="",0,scvia.Section80DC))</f>
        <v>#NAME?</v>
      </c>
      <c r="AE15" s="1912" t="e">
        <f>AD15</f>
        <v>#NAME?</v>
      </c>
      <c r="AF15" s="740" t="s">
        <v>12131</v>
      </c>
      <c r="AG15" s="1912"/>
      <c r="AH15" s="121"/>
      <c r="AI15" s="121"/>
      <c r="BC15" s="361"/>
    </row>
    <row r="16" spans="2:55" ht="15" hidden="1" customHeight="1" x14ac:dyDescent="0.2">
      <c r="B16" s="1797"/>
      <c r="C16" s="3156"/>
      <c r="D16" s="257"/>
      <c r="E16" s="1507" t="s">
        <v>8431</v>
      </c>
      <c r="F16" s="3816"/>
      <c r="G16" s="3816"/>
      <c r="H16" s="3731"/>
      <c r="I16" s="1973"/>
      <c r="J16" s="761"/>
      <c r="K16" s="1861"/>
      <c r="L16" s="1192"/>
      <c r="O16" s="113" t="s">
        <v>8423</v>
      </c>
      <c r="P16" s="1068">
        <f>IF(MID(SELECT80DC,1,1)="1",1,IF(MID(SELECT80DC,1,1)="2",2,IF(MID(SELECT80DC,1,1)="3",3,0)))</f>
        <v>0</v>
      </c>
      <c r="Q16" s="1068">
        <f>IF(P16=1,5000,IF(P16=2,5000,IF(P16=3,5000,0)))</f>
        <v>0</v>
      </c>
      <c r="R16" s="1068">
        <f>MIN(Q16,VALUE(IF(IncD.Section80DC="",0,IncD.Section80DC)),GTI_LIMIT)</f>
        <v>0</v>
      </c>
      <c r="AC16" s="1913">
        <f>IF( OR(MID(SELECT80DD,1,1) ="(", MID(SELECT80DD,1,1)=""),0,MID(SELECT80DD,1,1))</f>
        <v>0</v>
      </c>
      <c r="AD16" s="1912">
        <f>IF(AC16="1",75000,IF(AC16="2",125000,0))</f>
        <v>0</v>
      </c>
      <c r="AE16" s="121"/>
      <c r="AF16" s="740" t="s">
        <v>12131</v>
      </c>
      <c r="AG16" s="1912"/>
      <c r="AH16" s="121"/>
      <c r="AI16" s="1823"/>
      <c r="BC16" s="361"/>
    </row>
    <row r="17" spans="2:51" ht="39" customHeight="1" x14ac:dyDescent="0.2">
      <c r="B17" s="1797"/>
      <c r="C17" s="3156"/>
      <c r="D17" s="8" t="s">
        <v>539</v>
      </c>
      <c r="E17" s="2008" t="s">
        <v>8432</v>
      </c>
      <c r="F17" s="3816" t="s">
        <v>12</v>
      </c>
      <c r="G17" s="3816"/>
      <c r="H17" s="8" t="s">
        <v>539</v>
      </c>
      <c r="I17" s="2089">
        <v>0</v>
      </c>
      <c r="J17" s="761"/>
      <c r="K17" s="1862">
        <f>MIN(IF(MID(sheet1.ResidentialStatus1,1,3)&lt;&gt;"NRI",Sec80DDref,0),GTI_LIMIT)</f>
        <v>0</v>
      </c>
      <c r="L17" s="1192"/>
      <c r="W17" s="113" t="s">
        <v>1539</v>
      </c>
      <c r="AC17" s="1913">
        <f>IF( OR(MID(SELECT80DDB,1,1) ="(", MID(SELECT80DDB,1,1)=""),0,MID(SELECT80DDB,1,1))</f>
        <v>0</v>
      </c>
      <c r="AD17" s="1912">
        <f>IF(AC17="1",40000,IF(AC17="2",100000,0))</f>
        <v>0</v>
      </c>
      <c r="AE17" s="121"/>
      <c r="AF17" s="740" t="s">
        <v>12130</v>
      </c>
      <c r="AG17" s="1912">
        <v>0</v>
      </c>
      <c r="AH17" s="121"/>
      <c r="AI17" s="121"/>
      <c r="AW17" s="113" t="s">
        <v>1148</v>
      </c>
      <c r="AX17" s="113">
        <f>IF(MID(SELECT80DD,1,1)="1",1,IF(MID(SELECT80DD,1,1)="2",2,0))</f>
        <v>0</v>
      </c>
      <c r="AY17" s="113">
        <f>IF(VALUE(scvia.Section80DD)&gt;0,IF(AX17=1,75000,IF(AX17=2,125000,0)),0)</f>
        <v>0</v>
      </c>
    </row>
    <row r="18" spans="2:51" ht="27.75" customHeight="1" x14ac:dyDescent="0.2">
      <c r="B18" s="1797"/>
      <c r="C18" s="3156"/>
      <c r="D18" s="8" t="s">
        <v>541</v>
      </c>
      <c r="E18" s="2008" t="s">
        <v>8433</v>
      </c>
      <c r="F18" s="3816" t="s">
        <v>12</v>
      </c>
      <c r="G18" s="3816"/>
      <c r="H18" s="8" t="s">
        <v>541</v>
      </c>
      <c r="I18" s="2089">
        <v>0</v>
      </c>
      <c r="J18" s="761"/>
      <c r="K18" s="1863">
        <f>MIN(IF(MID(sheet1.ResidentialStatus1,1,3)&lt;&gt;"NRI",MIN(Sec80DDBref,VALUE(scvia.Section80DDB)),0),GTI_LIMIT)</f>
        <v>0</v>
      </c>
      <c r="L18" s="1192"/>
      <c r="W18" s="113" t="e">
        <f>ROUND(0.25*totInc_temp,0)</f>
        <v>#VALUE!</v>
      </c>
      <c r="AF18" s="740" t="s">
        <v>13213</v>
      </c>
      <c r="AG18" s="1912">
        <v>0</v>
      </c>
      <c r="AW18" s="113" t="s">
        <v>1149</v>
      </c>
      <c r="AX18" s="113">
        <f>IF(MID(SELECT80DDB,1,1)="1",1,IF(MID(SELECT80DDB,1,1)="2",2,IF(MID(SELECT80DDB,1,1)="3",3,0)))</f>
        <v>0</v>
      </c>
      <c r="AY18" s="113">
        <f>IF(AX18=1,40000,IF(AX18=2,100000,0))</f>
        <v>0</v>
      </c>
    </row>
    <row r="19" spans="2:51" ht="12.75" customHeight="1" x14ac:dyDescent="0.2">
      <c r="B19" s="1797"/>
      <c r="C19" s="3156"/>
      <c r="D19" s="8" t="s">
        <v>287</v>
      </c>
      <c r="E19" s="3017" t="s">
        <v>8434</v>
      </c>
      <c r="F19" s="3015"/>
      <c r="G19" s="3016"/>
      <c r="H19" s="8" t="s">
        <v>287</v>
      </c>
      <c r="I19" s="2089">
        <v>0</v>
      </c>
      <c r="J19" s="761"/>
      <c r="K19" s="1863">
        <f>IF(MID(sheet1.Status,1,1)="H",0,MIN(VALUE(scvia.Section80E),GTI_LIMIT))</f>
        <v>0</v>
      </c>
      <c r="L19" s="1192"/>
      <c r="Q19" s="113" t="s">
        <v>2062</v>
      </c>
      <c r="AF19" s="740" t="s">
        <v>13214</v>
      </c>
      <c r="AG19" s="1912">
        <v>0</v>
      </c>
    </row>
    <row r="20" spans="2:51" ht="12.75" customHeight="1" x14ac:dyDescent="0.2">
      <c r="B20" s="1797"/>
      <c r="C20" s="3156"/>
      <c r="D20" s="8" t="s">
        <v>545</v>
      </c>
      <c r="E20" s="3017" t="s">
        <v>8435</v>
      </c>
      <c r="F20" s="3015"/>
      <c r="G20" s="3016"/>
      <c r="H20" s="8" t="s">
        <v>545</v>
      </c>
      <c r="I20" s="2089"/>
      <c r="J20" s="761"/>
      <c r="K20" s="1863">
        <f>MIN(IF(MID(sheet1.Status,1,1)="H",0,MIN(VALUE(scvia.Section80EE),GTI_LIMIT)),50000)</f>
        <v>0</v>
      </c>
      <c r="L20" s="1192"/>
      <c r="Q20" s="666">
        <f>SUM(K6:K23)+SUM(K26:K26)+SUM(K29:K38)+SUM(K41:K43)</f>
        <v>0</v>
      </c>
    </row>
    <row r="21" spans="2:51" ht="12.75" customHeight="1" x14ac:dyDescent="0.2">
      <c r="B21" s="1797"/>
      <c r="C21" s="3156"/>
      <c r="D21" s="8" t="s">
        <v>547</v>
      </c>
      <c r="E21" s="3017" t="s">
        <v>11931</v>
      </c>
      <c r="F21" s="3015"/>
      <c r="G21" s="3016"/>
      <c r="H21" s="8" t="s">
        <v>547</v>
      </c>
      <c r="I21" s="2089">
        <v>0</v>
      </c>
      <c r="J21" s="761"/>
      <c r="K21" s="1863">
        <f>MAX(0,IF(MID(sheet1.Status,1,1)="H",0,MIN(MIN(VALUE(scvia.Section80EEA),GTI_LIMIT),150000)))</f>
        <v>0</v>
      </c>
      <c r="L21" s="1192"/>
      <c r="Q21" s="1716"/>
    </row>
    <row r="22" spans="2:51" ht="12.75" customHeight="1" x14ac:dyDescent="0.2">
      <c r="B22" s="1797"/>
      <c r="C22" s="3156"/>
      <c r="D22" s="8" t="s">
        <v>549</v>
      </c>
      <c r="E22" s="3017" t="s">
        <v>11932</v>
      </c>
      <c r="F22" s="3015"/>
      <c r="G22" s="3016"/>
      <c r="H22" s="8" t="s">
        <v>549</v>
      </c>
      <c r="I22" s="2089">
        <v>0</v>
      </c>
      <c r="J22" s="761"/>
      <c r="K22" s="1863">
        <f>MAX(0,IF(MID(sheet1.Status,1,1)="H",0,MIN(MIN(VALUE(scvia.Section80EEB),GTI_LIMIT),150000)))</f>
        <v>0</v>
      </c>
      <c r="L22" s="1192"/>
      <c r="Q22" s="1716"/>
    </row>
    <row r="23" spans="2:51" ht="24" customHeight="1" x14ac:dyDescent="0.2">
      <c r="B23" s="1797"/>
      <c r="C23" s="3156"/>
      <c r="D23" s="8" t="s">
        <v>551</v>
      </c>
      <c r="E23" s="3817" t="s">
        <v>11833</v>
      </c>
      <c r="F23" s="3818"/>
      <c r="G23" s="3819"/>
      <c r="H23" s="8" t="s">
        <v>551</v>
      </c>
      <c r="I23" s="1502">
        <f>Per5080G.TotalEligibleDonationsUs80G</f>
        <v>0</v>
      </c>
      <c r="J23" s="761"/>
      <c r="K23" s="1864">
        <f>Per5080G.TotalEligibleDonationsUs80G</f>
        <v>0</v>
      </c>
      <c r="L23" s="1192"/>
    </row>
    <row r="24" spans="2:51" ht="12.75" customHeight="1" x14ac:dyDescent="0.2">
      <c r="B24" s="1797"/>
      <c r="C24" s="3156"/>
      <c r="D24" s="8" t="s">
        <v>553</v>
      </c>
      <c r="E24" s="3017" t="s">
        <v>8436</v>
      </c>
      <c r="F24" s="3015"/>
      <c r="G24" s="3016"/>
      <c r="H24" s="8" t="s">
        <v>553</v>
      </c>
      <c r="I24" s="2089">
        <v>0</v>
      </c>
      <c r="J24" s="761"/>
      <c r="K24" s="1863">
        <f>MIN(MIN(ROUND(IF(MID(sheet1.Status,1,1)="H",0,MIN(60000, 0.25*(MAX(0,GTI_LIMIT-Q20)))),0),VALUE(scvia.Section80GG)),GTI_LIMIT)</f>
        <v>0</v>
      </c>
      <c r="L24" s="1192"/>
      <c r="Z24" s="113">
        <f>ROUND(Sheet8b.GrossTotalIncome*0.2,0)</f>
        <v>0</v>
      </c>
    </row>
    <row r="25" spans="2:51" ht="27.75" customHeight="1" x14ac:dyDescent="0.2">
      <c r="B25" s="1797"/>
      <c r="C25" s="3156"/>
      <c r="D25" s="8" t="s">
        <v>555</v>
      </c>
      <c r="E25" s="3820" t="s">
        <v>13171</v>
      </c>
      <c r="F25" s="3821"/>
      <c r="G25" s="3821"/>
      <c r="H25" s="8" t="s">
        <v>555</v>
      </c>
      <c r="I25" s="1502">
        <f>Total_Donation_Total_80GGANew</f>
        <v>0</v>
      </c>
      <c r="J25" s="761"/>
      <c r="K25" s="1502">
        <f>IF(bacValue=1,0,IF(Sheet8b.TotProfBusGain&gt;0,0,Total_Donation_Eligible_80GGANew))</f>
        <v>0</v>
      </c>
      <c r="L25" s="1192"/>
      <c r="Z25" s="113">
        <f>Max_Amount-scvia.Section80C_Calc-scvia.Section80CCC_Calc</f>
        <v>0</v>
      </c>
    </row>
    <row r="26" spans="2:51" ht="12.75" customHeight="1" x14ac:dyDescent="0.2">
      <c r="B26" s="1797"/>
      <c r="C26" s="3156"/>
      <c r="D26" s="201" t="s">
        <v>13170</v>
      </c>
      <c r="E26" s="3017" t="s">
        <v>8437</v>
      </c>
      <c r="F26" s="3015"/>
      <c r="G26" s="3016"/>
      <c r="H26" s="201" t="s">
        <v>13170</v>
      </c>
      <c r="I26" s="2089">
        <v>0</v>
      </c>
      <c r="J26" s="761"/>
      <c r="K26" s="1863">
        <f>ROUND(MIN(IF(MID(sheet1.PAN,4,1)="J",0,IF(MID(sheet1.PAN,4,1)="L",0,VALUE(scvia.Section80GGC))),GTI_LIMIT),0)</f>
        <v>0</v>
      </c>
      <c r="L26" s="1192"/>
      <c r="U26" s="113" t="s">
        <v>1606</v>
      </c>
    </row>
    <row r="27" spans="2:51" ht="12.75" customHeight="1" x14ac:dyDescent="0.2">
      <c r="B27" s="1797"/>
      <c r="C27" s="3824"/>
      <c r="D27" s="3017" t="s">
        <v>13172</v>
      </c>
      <c r="E27" s="3015"/>
      <c r="F27" s="3015"/>
      <c r="G27" s="3015"/>
      <c r="H27" s="3016"/>
      <c r="I27" s="2030">
        <f>SUM(I6:I26)</f>
        <v>0</v>
      </c>
      <c r="J27" s="761"/>
      <c r="K27" s="1865">
        <f>MIN(SUM(K6:K26),Sheet8b.GrossTotalIncome-Sheet8b.IncChargeableTaxSplRates)</f>
        <v>0</v>
      </c>
      <c r="L27" s="1192"/>
      <c r="U27" s="113">
        <f>(Sheet8b.GrossTotalIncome-Sheet8b.IncChargeableTaxSplRates-Sheet8b.PartCchapterVIA)</f>
        <v>0</v>
      </c>
    </row>
    <row r="28" spans="2:51" ht="12.75" customHeight="1" x14ac:dyDescent="0.2">
      <c r="B28" s="1797"/>
      <c r="C28" s="3156"/>
      <c r="D28" s="3017" t="s">
        <v>1150</v>
      </c>
      <c r="E28" s="3015"/>
      <c r="F28" s="3015"/>
      <c r="G28" s="3015"/>
      <c r="H28" s="3016"/>
      <c r="I28" s="764"/>
      <c r="J28" s="765"/>
      <c r="K28" s="1866"/>
      <c r="L28" s="1192"/>
    </row>
    <row r="29" spans="2:51" ht="30" customHeight="1" x14ac:dyDescent="0.2">
      <c r="B29" s="1797"/>
      <c r="C29" s="3156"/>
      <c r="D29" s="8" t="s">
        <v>557</v>
      </c>
      <c r="E29" s="2993" t="s">
        <v>13239</v>
      </c>
      <c r="F29" s="2994"/>
      <c r="G29" s="2995"/>
      <c r="H29" s="8" t="s">
        <v>557</v>
      </c>
      <c r="I29" s="1391">
        <f>IA80.TotSchedule80_IA</f>
        <v>0</v>
      </c>
      <c r="J29" s="761"/>
      <c r="K29" s="1867">
        <f>scvia.Section80IA</f>
        <v>0</v>
      </c>
      <c r="L29" s="1192"/>
    </row>
    <row r="30" spans="2:51" ht="25.5" customHeight="1" x14ac:dyDescent="0.2">
      <c r="B30" s="1797"/>
      <c r="C30" s="3156"/>
      <c r="D30" s="8" t="s">
        <v>562</v>
      </c>
      <c r="E30" s="2993" t="s">
        <v>8438</v>
      </c>
      <c r="F30" s="2994"/>
      <c r="G30" s="2995"/>
      <c r="H30" s="8" t="s">
        <v>562</v>
      </c>
      <c r="I30" s="2089">
        <v>0</v>
      </c>
      <c r="J30" s="761"/>
      <c r="K30" s="1859">
        <f>scvia.Section80IAB</f>
        <v>0</v>
      </c>
      <c r="L30" s="1192"/>
      <c r="W30" s="113" t="s">
        <v>1613</v>
      </c>
      <c r="AA30" s="113" t="s">
        <v>1614</v>
      </c>
    </row>
    <row r="31" spans="2:51" ht="27" customHeight="1" x14ac:dyDescent="0.2">
      <c r="B31" s="1797"/>
      <c r="C31" s="3156"/>
      <c r="D31" s="2" t="s">
        <v>1089</v>
      </c>
      <c r="E31" s="2993" t="s">
        <v>13173</v>
      </c>
      <c r="F31" s="2994"/>
      <c r="G31" s="2994"/>
      <c r="H31" s="2" t="s">
        <v>1089</v>
      </c>
      <c r="I31" s="1391">
        <f>IB80.TotSchedule80_IB</f>
        <v>0</v>
      </c>
      <c r="J31" s="761"/>
      <c r="K31" s="1867">
        <f>scvia.Section80IB</f>
        <v>0</v>
      </c>
      <c r="L31" s="1192"/>
      <c r="W31" s="294">
        <f>SUM('VI-A'!K6:K23,'VI-A'!K26,'VI-A'!K29:K38,'VI-A'!K41:K44)</f>
        <v>0</v>
      </c>
      <c r="AA31" s="113" t="s">
        <v>1615</v>
      </c>
      <c r="AB31" s="113">
        <f>MIN(GTI_LIMIT,SUM(K6:K23,scvia.Section80GGC_Calc))</f>
        <v>0</v>
      </c>
    </row>
    <row r="32" spans="2:51" ht="11.25" customHeight="1" x14ac:dyDescent="0.2">
      <c r="B32" s="1797"/>
      <c r="C32" s="3156"/>
      <c r="D32" s="8" t="s">
        <v>1152</v>
      </c>
      <c r="E32" s="2993" t="s">
        <v>8439</v>
      </c>
      <c r="F32" s="2994"/>
      <c r="G32" s="2995"/>
      <c r="H32" s="8" t="s">
        <v>1152</v>
      </c>
      <c r="I32" s="2089">
        <v>0</v>
      </c>
      <c r="J32" s="761"/>
      <c r="K32" s="1859">
        <f>scvia.Section80IBA</f>
        <v>0</v>
      </c>
      <c r="L32" s="1192"/>
      <c r="W32" s="294"/>
    </row>
    <row r="33" spans="2:51" ht="77.25" customHeight="1" x14ac:dyDescent="0.2">
      <c r="B33" s="1797"/>
      <c r="C33" s="3156"/>
      <c r="D33" s="8" t="s">
        <v>1153</v>
      </c>
      <c r="E33" s="2993" t="s">
        <v>12729</v>
      </c>
      <c r="F33" s="2994"/>
      <c r="G33" s="2995"/>
      <c r="H33" s="8" t="s">
        <v>1153</v>
      </c>
      <c r="I33" s="1391">
        <f>IC80.TotSchedule80_IC</f>
        <v>0</v>
      </c>
      <c r="J33" s="761"/>
      <c r="K33" s="1867">
        <f>scvia.Section80IC</f>
        <v>0</v>
      </c>
      <c r="L33" s="1192"/>
      <c r="AA33" s="113" t="s">
        <v>1616</v>
      </c>
      <c r="AB33" s="113">
        <f>MIN(GTI_LIMIT,SUM(K41:K43))</f>
        <v>0</v>
      </c>
    </row>
    <row r="34" spans="2:51" ht="0.75" hidden="1" customHeight="1" x14ac:dyDescent="0.2">
      <c r="B34" s="1797"/>
      <c r="C34" s="3156"/>
      <c r="D34" s="8" t="s">
        <v>1153</v>
      </c>
      <c r="E34" s="3017" t="s">
        <v>1151</v>
      </c>
      <c r="F34" s="3015"/>
      <c r="G34" s="3015"/>
      <c r="H34" s="8" t="s">
        <v>1153</v>
      </c>
      <c r="I34" s="766"/>
      <c r="J34" s="766"/>
      <c r="K34" s="1868">
        <f>MIN(VALUE(scvia.Section80ID),GTI_LIMIT_PartC)*1</f>
        <v>0</v>
      </c>
      <c r="L34" s="1192"/>
      <c r="AA34" s="113" t="s">
        <v>1617</v>
      </c>
      <c r="AB34" s="294">
        <f>MIN(GTI_LIMIT_PartC,SUM(K29:K38))</f>
        <v>0</v>
      </c>
    </row>
    <row r="35" spans="2:51" ht="12.75" customHeight="1" x14ac:dyDescent="0.2">
      <c r="B35" s="1797"/>
      <c r="C35" s="3156"/>
      <c r="D35" s="8" t="s">
        <v>1154</v>
      </c>
      <c r="E35" s="3017" t="s">
        <v>8440</v>
      </c>
      <c r="F35" s="3015"/>
      <c r="G35" s="3015"/>
      <c r="H35" s="8" t="s">
        <v>1154</v>
      </c>
      <c r="I35" s="2089">
        <v>0</v>
      </c>
      <c r="J35" s="761"/>
      <c r="K35" s="789">
        <f>scvia.Section80JJA</f>
        <v>0</v>
      </c>
      <c r="L35" s="1192"/>
      <c r="P35" s="113">
        <f>MIN(MIN(scvia.Section80GG,0),MIN(24000,0.25*MAX(0,(Sheet8b.GrossTotalIncome-SUM(K6:K23,K26,K29:K38,K41:K43)))))</f>
        <v>0</v>
      </c>
    </row>
    <row r="36" spans="2:51" ht="12.75" customHeight="1" x14ac:dyDescent="0.2">
      <c r="B36" s="1797"/>
      <c r="C36" s="3156"/>
      <c r="D36" s="8" t="s">
        <v>299</v>
      </c>
      <c r="E36" s="3017" t="s">
        <v>8441</v>
      </c>
      <c r="F36" s="3015"/>
      <c r="G36" s="3015"/>
      <c r="H36" s="8" t="s">
        <v>299</v>
      </c>
      <c r="I36" s="2089">
        <v>0</v>
      </c>
      <c r="J36" s="761"/>
      <c r="K36" s="789">
        <f>scvia.Section80JJAA</f>
        <v>0</v>
      </c>
      <c r="L36" s="1192"/>
    </row>
    <row r="37" spans="2:51" ht="39" customHeight="1" x14ac:dyDescent="0.2">
      <c r="B37" s="1797"/>
      <c r="C37" s="3156"/>
      <c r="D37" s="8" t="s">
        <v>1156</v>
      </c>
      <c r="E37" s="2993" t="s">
        <v>12730</v>
      </c>
      <c r="F37" s="3015"/>
      <c r="G37" s="3015"/>
      <c r="H37" s="8" t="s">
        <v>1156</v>
      </c>
      <c r="I37" s="2089">
        <v>0</v>
      </c>
      <c r="J37" s="761"/>
      <c r="K37" s="1859">
        <f>MIN(IF(MID(sheet1.ResidentialStatus1,1,3)="NRI",0,IF(MID(sheet1.Status,1,1)&lt;&gt;"I",0,MIN(MIN(VALUE(scvia.Section80QQB),300000),MAX(0,MIN(GTI_LIMIT,MAX(0,os.TotalAnyOtherIncome+PL_TotalOfCreditsToProfit)))))))</f>
        <v>0</v>
      </c>
      <c r="L37" s="1192"/>
    </row>
    <row r="38" spans="2:51" ht="36.75" customHeight="1" x14ac:dyDescent="0.2">
      <c r="B38" s="1797"/>
      <c r="C38" s="3156"/>
      <c r="D38" s="8" t="s">
        <v>437</v>
      </c>
      <c r="E38" s="2993" t="s">
        <v>12731</v>
      </c>
      <c r="F38" s="3015"/>
      <c r="G38" s="3016"/>
      <c r="H38" s="8" t="s">
        <v>437</v>
      </c>
      <c r="I38" s="2089">
        <v>0</v>
      </c>
      <c r="J38" s="761"/>
      <c r="K38" s="1859">
        <f>MIN(IF(MID(sheet1.ResidentialStatus1,1,3)="NRI",0,IF(MID(sheet1.Status,1,1)&lt;&gt;"I",0,MIN(MIN(VALUE(scvia.Section80RRB),300000),MAX(0,MIN(GTI_LIMIT,MAX(0,os.TotalAnyOtherIncome+PL_TotalOfCreditsToProfit)))))))</f>
        <v>0</v>
      </c>
      <c r="L38" s="1192"/>
      <c r="AA38" s="113" t="s">
        <v>1618</v>
      </c>
    </row>
    <row r="39" spans="2:51" ht="12.75" customHeight="1" x14ac:dyDescent="0.2">
      <c r="B39" s="1797"/>
      <c r="C39" s="3156"/>
      <c r="D39" s="3017" t="s">
        <v>12694</v>
      </c>
      <c r="E39" s="3015"/>
      <c r="F39" s="3015"/>
      <c r="G39" s="3016"/>
      <c r="H39" s="8">
        <v>2</v>
      </c>
      <c r="I39" s="1504">
        <f>SUM(I29:I33,I35:I38)</f>
        <v>0</v>
      </c>
      <c r="J39" s="761"/>
      <c r="K39" s="1869">
        <f>MAX(0,MIN(SUM(scvia.Section80IA_Calc,scvia.Section80IAB_Calc,scvia.Section80IB_Calc,scvia.Section80IC_Calc,scvia.Section80JJA_Calc,scvia.Section80QQB_Calc,scvia.Section80RRB_Calc,scvia.Section80JJAA_Calc,scvia.Section80IBA_Calc),(busipofincl.IncOfCurYrAfterSetOffBFLosses2-sheet11.Section44AD-sheet11.Section44ADA-sheet11.Section44AE),Sheet8b.GrossTotalIncome-Sheet8b.IncChargeableTaxSplRates))</f>
        <v>0</v>
      </c>
      <c r="L39" s="1192"/>
      <c r="W39" s="294"/>
      <c r="AA39" s="113">
        <f>IF(Sheet8b.GrossTotalIncome&gt;0,IF(Tot_Inc_Without_80GG&gt;GTI_LIMIT,GTI_LIMIT,Tot_Inc_Without_80GG),Tot_Inc_Without_80GG)</f>
        <v>0</v>
      </c>
    </row>
    <row r="40" spans="2:51" ht="12.75" customHeight="1" x14ac:dyDescent="0.2">
      <c r="B40" s="1797"/>
      <c r="C40" s="3156"/>
      <c r="D40" s="3017" t="s">
        <v>1155</v>
      </c>
      <c r="E40" s="3015"/>
      <c r="F40" s="3015"/>
      <c r="G40" s="3015"/>
      <c r="H40" s="3016"/>
      <c r="I40" s="766"/>
      <c r="J40" s="765"/>
      <c r="K40" s="1866"/>
      <c r="L40" s="1192"/>
    </row>
    <row r="41" spans="2:51" ht="12.75" customHeight="1" x14ac:dyDescent="0.2">
      <c r="B41" s="1797"/>
      <c r="C41" s="3156"/>
      <c r="D41" s="8" t="s">
        <v>7671</v>
      </c>
      <c r="E41" s="3017" t="s">
        <v>11818</v>
      </c>
      <c r="F41" s="3015"/>
      <c r="G41" s="3015"/>
      <c r="H41" s="6" t="s">
        <v>7671</v>
      </c>
      <c r="I41" s="2089">
        <v>0</v>
      </c>
      <c r="J41" s="761"/>
      <c r="K41" s="1859">
        <f>MIN(othsrcincl.IncOfCurYrAfterSetOffBFLosses5,MIN(MIN(VALUE(scvia.Section80TTA),10000),MAX(0,MIN(GTI_LIMIT,MAX(0,os.SavingBank)))))</f>
        <v>0</v>
      </c>
      <c r="L41" s="1192"/>
      <c r="AA41" s="113" t="s">
        <v>1619</v>
      </c>
    </row>
    <row r="42" spans="2:51" ht="12.75" customHeight="1" x14ac:dyDescent="0.2">
      <c r="B42" s="1797"/>
      <c r="C42" s="3156"/>
      <c r="D42" s="8" t="s">
        <v>8906</v>
      </c>
      <c r="E42" s="3017" t="s">
        <v>11817</v>
      </c>
      <c r="F42" s="3015"/>
      <c r="G42" s="3016"/>
      <c r="H42" s="6" t="s">
        <v>8906</v>
      </c>
      <c r="I42" s="2443"/>
      <c r="J42" s="761"/>
      <c r="K42" s="1859">
        <f>MIN(othsrcincl.IncOfCurYrAfterSetOffBFLosses5,MIN(MIN(VALUE(scvia.Section80TTB),50000),MAX(0,MIN(GTI_LIMIT,MAX(0,os.SavingBank+os.TermDeposit)))))</f>
        <v>0</v>
      </c>
      <c r="L42" s="1192"/>
    </row>
    <row r="43" spans="2:51" ht="12.75" customHeight="1" x14ac:dyDescent="0.2">
      <c r="B43" s="1797"/>
      <c r="C43" s="3156"/>
      <c r="D43" s="8" t="s">
        <v>287</v>
      </c>
      <c r="E43" s="2025" t="s">
        <v>8442</v>
      </c>
      <c r="F43" s="3816" t="s">
        <v>12</v>
      </c>
      <c r="G43" s="3816"/>
      <c r="H43" s="6" t="s">
        <v>287</v>
      </c>
      <c r="I43" s="2089"/>
      <c r="J43" s="761"/>
      <c r="K43" s="1859">
        <f>MIN(IF(MID(sheet1.ResidentialStatus1,1,3)="NRI",0,IF(MID(sheet1.Status,1,1)&lt;&gt;"I",0,IF(VALUE(scvia.Section80U)&gt;0,Sec80Uref,0))),GTI_LIMIT)</f>
        <v>0</v>
      </c>
      <c r="L43" s="1192"/>
      <c r="S43" s="294"/>
      <c r="AA43" s="113" t="s">
        <v>1619</v>
      </c>
      <c r="AW43" s="113" t="s">
        <v>1157</v>
      </c>
      <c r="AX43" s="113">
        <f>IF(MID(SELECT80U,1,1)="1",1,IF(MID(SELECT80U,1,1)="2",2,0))</f>
        <v>0</v>
      </c>
      <c r="AY43" s="113">
        <f>IF(AX43=1,75000,IF(AX43=2,125000,0))</f>
        <v>0</v>
      </c>
    </row>
    <row r="44" spans="2:51" ht="12.75" customHeight="1" x14ac:dyDescent="0.2">
      <c r="B44" s="1797"/>
      <c r="C44" s="3156"/>
      <c r="D44" s="3017" t="s">
        <v>12723</v>
      </c>
      <c r="E44" s="3015"/>
      <c r="F44" s="3015"/>
      <c r="G44" s="3016"/>
      <c r="H44" s="8">
        <v>3</v>
      </c>
      <c r="I44" s="1490">
        <f>SUM(scvia.Section80TTA,scvia.Section80TTB,scvia.Section80U)</f>
        <v>0</v>
      </c>
      <c r="J44" s="761"/>
      <c r="K44" s="1391">
        <f>MAX(0,MIN(SUM(K41:K43),Sheet8b.GrossTotalIncome-Sheet8b.IncChargeableTaxSplRates))</f>
        <v>0</v>
      </c>
      <c r="L44" s="1192"/>
    </row>
    <row r="45" spans="2:51" ht="12.75" customHeight="1" x14ac:dyDescent="0.2">
      <c r="B45" s="1797"/>
      <c r="C45" s="3257"/>
      <c r="D45" s="8">
        <v>4</v>
      </c>
      <c r="E45" s="3017" t="s">
        <v>12695</v>
      </c>
      <c r="F45" s="3015"/>
      <c r="G45" s="3016"/>
      <c r="H45" s="6">
        <v>4</v>
      </c>
      <c r="I45" s="1019">
        <f>(scvia.TotPartBchapterVIA+scvia.TotPartCchapterVIA+scvia.TotPartCAandDchapterVIA)</f>
        <v>0</v>
      </c>
      <c r="J45" s="761"/>
      <c r="K45" s="1391">
        <f>ROUND(MAX(0,MIN((scvia.TotPartBchapterVIA_Calc+scvia.TotPartCchapterVIA_Calc+scvia.TotPartCAandDchapterVIA_Calc),Sheet8b.GrossTotalIncome-Sheet8b.IncChargeableTaxSplRates)),0)</f>
        <v>0</v>
      </c>
      <c r="L45" s="1192"/>
    </row>
    <row r="46" spans="2:51" ht="16.5" customHeight="1" thickBot="1" x14ac:dyDescent="0.25">
      <c r="B46" s="1824"/>
      <c r="C46" s="1841"/>
      <c r="D46" s="1841"/>
      <c r="E46" s="1841"/>
      <c r="F46" s="1841"/>
      <c r="G46" s="1841"/>
      <c r="H46" s="1841"/>
      <c r="I46" s="1841"/>
      <c r="J46" s="1841"/>
      <c r="K46" s="1841"/>
      <c r="L46" s="1845"/>
    </row>
    <row r="47" spans="2:51" x14ac:dyDescent="0.2">
      <c r="C47" s="117"/>
      <c r="D47" s="117"/>
      <c r="E47" s="117"/>
      <c r="F47" s="117"/>
      <c r="G47" s="117"/>
      <c r="H47" s="117"/>
      <c r="I47" s="117"/>
      <c r="J47" s="117"/>
      <c r="K47" s="117"/>
      <c r="L47" s="117"/>
    </row>
    <row r="48" spans="2:51" hidden="1" x14ac:dyDescent="0.2">
      <c r="C48" s="117"/>
      <c r="D48" s="117"/>
      <c r="E48" s="117"/>
      <c r="F48" s="117"/>
      <c r="G48" s="117"/>
      <c r="H48" s="117"/>
      <c r="I48" s="117"/>
      <c r="J48" s="117"/>
      <c r="K48" s="117"/>
      <c r="L48" s="117"/>
    </row>
  </sheetData>
  <sheetProtection algorithmName="SHA-512" hashValue="xmIJdj0/koUkEvDC2cp6HOwz6eaxw4whQEWiEgfmQGGQzBJVLojC0ooDWOpikHFLor9pXmqu25dkKz5s3AnN1g==" saltValue="NpIpkcVTD0CX0UDHyvVw0w==" spinCount="100000" sheet="1" objects="1" scenarios="1"/>
  <mergeCells count="46">
    <mergeCell ref="C3:D3"/>
    <mergeCell ref="E3:K3"/>
    <mergeCell ref="D5:I5"/>
    <mergeCell ref="E8:G8"/>
    <mergeCell ref="E7:G7"/>
    <mergeCell ref="C4:I4"/>
    <mergeCell ref="C5:C45"/>
    <mergeCell ref="E6:G6"/>
    <mergeCell ref="F14:G14"/>
    <mergeCell ref="D39:G39"/>
    <mergeCell ref="E12:G12"/>
    <mergeCell ref="E13:G13"/>
    <mergeCell ref="E21:G21"/>
    <mergeCell ref="E22:G22"/>
    <mergeCell ref="E45:G45"/>
    <mergeCell ref="E42:G42"/>
    <mergeCell ref="E25:G25"/>
    <mergeCell ref="E24:G24"/>
    <mergeCell ref="E29:G29"/>
    <mergeCell ref="D44:G44"/>
    <mergeCell ref="D28:H28"/>
    <mergeCell ref="E35:G35"/>
    <mergeCell ref="E33:G33"/>
    <mergeCell ref="E31:G31"/>
    <mergeCell ref="E36:G36"/>
    <mergeCell ref="D40:H40"/>
    <mergeCell ref="E37:G37"/>
    <mergeCell ref="F43:G43"/>
    <mergeCell ref="E34:G34"/>
    <mergeCell ref="D27:H27"/>
    <mergeCell ref="H14:H16"/>
    <mergeCell ref="E10:G10"/>
    <mergeCell ref="E9:G9"/>
    <mergeCell ref="E30:G30"/>
    <mergeCell ref="E41:G41"/>
    <mergeCell ref="E38:G38"/>
    <mergeCell ref="E20:G20"/>
    <mergeCell ref="F16:G16"/>
    <mergeCell ref="E32:G32"/>
    <mergeCell ref="F18:G18"/>
    <mergeCell ref="E19:G19"/>
    <mergeCell ref="F17:G17"/>
    <mergeCell ref="F15:G15"/>
    <mergeCell ref="E26:G26"/>
    <mergeCell ref="E23:G23"/>
    <mergeCell ref="E11:G11"/>
  </mergeCells>
  <dataValidations count="9">
    <dataValidation type="whole" allowBlank="1" showErrorMessage="1" error="  Non negative, no decimal, upto 99,999,999,999,999" sqref="I29:I39 K25 K44 I41:I45 K27 K39 I6:I12 I14:I22 I25:I27">
      <formula1>0</formula1>
      <formula2>99999999999999</formula2>
    </dataValidation>
    <dataValidation type="list" allowBlank="1" showInputMessage="1" showErrorMessage="1" errorTitle="80D" error="Please select from the list_x000a_" sqref="F14:G14">
      <formula1>Selection80D</formula1>
    </dataValidation>
    <dataValidation type="list" allowBlank="1" showInputMessage="1" showErrorMessage="1" errorTitle="Section80DD" error="Select from the list" sqref="F17:G17">
      <formula1>Section80DD</formula1>
    </dataValidation>
    <dataValidation type="list" allowBlank="1" showInputMessage="1" showErrorMessage="1" errorTitle="Section80DDB" error="Select from the list" sqref="F18:G18">
      <formula1>Section80DDB</formula1>
    </dataValidation>
    <dataValidation type="list" allowBlank="1" showInputMessage="1" showErrorMessage="1" errorTitle="Section80U" error="Select from the list" sqref="F43:G43">
      <formula1>Section80U</formula1>
    </dataValidation>
    <dataValidation type="list" allowBlank="1" showInputMessage="1" showErrorMessage="1" errorTitle="80D" error="Please select from the list_x000a_" sqref="F16:G16">
      <formula1>Selection80D_C</formula1>
    </dataValidation>
    <dataValidation type="list" allowBlank="1" showInputMessage="1" showErrorMessage="1" errorTitle="80D" error="Please select from the list_x000a_" sqref="F15:G15">
      <formula1>Selection80D_B</formula1>
    </dataValidation>
    <dataValidation type="whole" allowBlank="1" showInputMessage="1" showErrorMessage="1" error="Deduction under section 80D cannot be more than Rs. 100000." sqref="K15">
      <formula1>0</formula1>
      <formula2>100000</formula2>
    </dataValidation>
    <dataValidation type="whole" showErrorMessage="1" error="  Non negative, no decimal, upto 99,999,999,999,999" sqref="I24">
      <formula1>0</formula1>
      <formula2>99999999999999</formula2>
    </dataValidation>
  </dataValidations>
  <hyperlinks>
    <hyperlink ref="E23:G23" location="'80G'!A1" display="'80G'!A1"/>
    <hyperlink ref="E13:G13" location="'80D'!A1" display="80D-Deduction in respect of Health Insurance premia"/>
    <hyperlink ref="E25:G25" location="'80GGA'!A1" display="80GGA - Certain donations for scientific research or rural development (Please fill 80GGA Schedule. This field is auto-populated from schedule.)"/>
  </hyperlink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0941" r:id="rId5" name="Button 221">
              <controlPr defaultSize="0" print="0" autoFill="0" autoPict="0" macro="[0]!calculateTax">
                <anchor>
                  <from>
                    <xdr:col>12</xdr:col>
                    <xdr:colOff>123825</xdr:colOff>
                    <xdr:row>16</xdr:row>
                    <xdr:rowOff>238125</xdr:rowOff>
                  </from>
                  <to>
                    <xdr:col>12</xdr:col>
                    <xdr:colOff>1276350</xdr:colOff>
                    <xdr:row>16</xdr:row>
                    <xdr:rowOff>314325</xdr:rowOff>
                  </to>
                </anchor>
              </controlPr>
            </control>
          </mc:Choice>
        </mc:AlternateContent>
        <mc:AlternateContent xmlns:mc="http://schemas.openxmlformats.org/markup-compatibility/2006">
          <mc:Choice Requires="x14">
            <control shapeId="30733" r:id="rId6" name="Button 13">
              <controlPr defaultSize="0" print="0" autoFill="0" autoPict="0" macro="[0]!ValidateSheet80_IAClick">
                <anchor>
                  <from>
                    <xdr:col>12</xdr:col>
                    <xdr:colOff>104775</xdr:colOff>
                    <xdr:row>2</xdr:row>
                    <xdr:rowOff>295275</xdr:rowOff>
                  </from>
                  <to>
                    <xdr:col>12</xdr:col>
                    <xdr:colOff>1476375</xdr:colOff>
                    <xdr:row>5</xdr:row>
                    <xdr:rowOff>76200</xdr:rowOff>
                  </to>
                </anchor>
              </controlPr>
            </control>
          </mc:Choice>
        </mc:AlternateContent>
        <mc:AlternateContent xmlns:mc="http://schemas.openxmlformats.org/markup-compatibility/2006">
          <mc:Choice Requires="x14">
            <control shapeId="30735" r:id="rId7" name="Button 15">
              <controlPr defaultSize="0" print="0" autoFill="0" autoPict="0" macro="[0]!Prev_Sheet">
                <anchor>
                  <from>
                    <xdr:col>12</xdr:col>
                    <xdr:colOff>104775</xdr:colOff>
                    <xdr:row>6</xdr:row>
                    <xdr:rowOff>57150</xdr:rowOff>
                  </from>
                  <to>
                    <xdr:col>12</xdr:col>
                    <xdr:colOff>1476375</xdr:colOff>
                    <xdr:row>8</xdr:row>
                    <xdr:rowOff>19050</xdr:rowOff>
                  </to>
                </anchor>
              </controlPr>
            </control>
          </mc:Choice>
        </mc:AlternateContent>
        <mc:AlternateContent xmlns:mc="http://schemas.openxmlformats.org/markup-compatibility/2006">
          <mc:Choice Requires="x14">
            <control shapeId="30736" r:id="rId8" name="Button 16">
              <controlPr defaultSize="0" print="0" autoFill="0" autoPict="0" macro="[0]!Img_Home_Click">
                <anchor>
                  <from>
                    <xdr:col>12</xdr:col>
                    <xdr:colOff>114300</xdr:colOff>
                    <xdr:row>2</xdr:row>
                    <xdr:rowOff>0</xdr:rowOff>
                  </from>
                  <to>
                    <xdr:col>12</xdr:col>
                    <xdr:colOff>1485900</xdr:colOff>
                    <xdr:row>2</xdr:row>
                    <xdr:rowOff>266700</xdr:rowOff>
                  </to>
                </anchor>
              </controlPr>
            </control>
          </mc:Choice>
        </mc:AlternateContent>
        <mc:AlternateContent xmlns:mc="http://schemas.openxmlformats.org/markup-compatibility/2006">
          <mc:Choice Requires="x14">
            <control shapeId="30738" r:id="rId9" name="Button 18">
              <controlPr defaultSize="0" print="0" autoFill="0" autoPict="0" macro="[0]!Next_Sheet">
                <anchor>
                  <from>
                    <xdr:col>12</xdr:col>
                    <xdr:colOff>104775</xdr:colOff>
                    <xdr:row>5</xdr:row>
                    <xdr:rowOff>104775</xdr:rowOff>
                  </from>
                  <to>
                    <xdr:col>12</xdr:col>
                    <xdr:colOff>1476375</xdr:colOff>
                    <xdr:row>6</xdr:row>
                    <xdr:rowOff>28575</xdr:rowOff>
                  </to>
                </anchor>
              </controlPr>
            </control>
          </mc:Choice>
        </mc:AlternateContent>
        <mc:AlternateContent xmlns:mc="http://schemas.openxmlformats.org/markup-compatibility/2006">
          <mc:Choice Requires="x14">
            <control shapeId="30739" r:id="rId10" name="Button 19">
              <controlPr defaultSize="0" print="0" autoFill="0" autoPict="0" macro="[0]!Instruction_Sheet">
                <anchor>
                  <from>
                    <xdr:col>12</xdr:col>
                    <xdr:colOff>104775</xdr:colOff>
                    <xdr:row>16</xdr:row>
                    <xdr:rowOff>104775</xdr:rowOff>
                  </from>
                  <to>
                    <xdr:col>12</xdr:col>
                    <xdr:colOff>1476375</xdr:colOff>
                    <xdr:row>16</xdr:row>
                    <xdr:rowOff>381000</xdr:rowOff>
                  </to>
                </anchor>
              </controlPr>
            </control>
          </mc:Choice>
        </mc:AlternateContent>
        <mc:AlternateContent xmlns:mc="http://schemas.openxmlformats.org/markup-compatibility/2006">
          <mc:Choice Requires="x14">
            <control shapeId="30740" r:id="rId11" name="Button 20">
              <controlPr defaultSize="0" print="0" autoFill="0" autoPict="0" macro="[0]!WorksheetsPrint">
                <anchor>
                  <from>
                    <xdr:col>12</xdr:col>
                    <xdr:colOff>104775</xdr:colOff>
                    <xdr:row>10</xdr:row>
                    <xdr:rowOff>0</xdr:rowOff>
                  </from>
                  <to>
                    <xdr:col>12</xdr:col>
                    <xdr:colOff>1476375</xdr:colOff>
                    <xdr:row>16</xdr:row>
                    <xdr:rowOff>95250</xdr:rowOff>
                  </to>
                </anchor>
              </controlPr>
            </control>
          </mc:Choice>
        </mc:AlternateContent>
        <mc:AlternateContent xmlns:mc="http://schemas.openxmlformats.org/markup-compatibility/2006">
          <mc:Choice Requires="x14">
            <control shapeId="30741" r:id="rId12" name="Button 21">
              <controlPr defaultSize="0" print="0" autoFill="0" autoPict="0" macro="[0]!GenerateJSON.GenerateJSON">
                <anchor>
                  <from>
                    <xdr:col>12</xdr:col>
                    <xdr:colOff>104775</xdr:colOff>
                    <xdr:row>8</xdr:row>
                    <xdr:rowOff>28575</xdr:rowOff>
                  </from>
                  <to>
                    <xdr:col>12</xdr:col>
                    <xdr:colOff>1476375</xdr:colOff>
                    <xdr:row>9</xdr:row>
                    <xdr:rowOff>142875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XFC151"/>
  <sheetViews>
    <sheetView showGridLines="0" showRowColHeaders="0" topLeftCell="B3" zoomScaleNormal="100" workbookViewId="0">
      <selection activeCell="K50" sqref="K50"/>
    </sheetView>
  </sheetViews>
  <sheetFormatPr defaultColWidth="0" defaultRowHeight="15" zeroHeight="1" x14ac:dyDescent="0.25"/>
  <cols>
    <col min="1" max="1" width="3.7109375" style="462" customWidth="1"/>
    <col min="2" max="2" width="3.85546875" style="462" customWidth="1"/>
    <col min="3" max="3" width="4.85546875" style="462" customWidth="1"/>
    <col min="4" max="4" width="9.140625" style="462" customWidth="1"/>
    <col min="5" max="5" width="58.28515625" style="462" customWidth="1"/>
    <col min="6" max="6" width="16.42578125" style="462" customWidth="1"/>
    <col min="7" max="7" width="18" style="462" customWidth="1"/>
    <col min="8" max="8" width="18.42578125" style="462" customWidth="1"/>
    <col min="9" max="9" width="16.85546875" style="462" customWidth="1"/>
    <col min="10" max="10" width="15" style="462" customWidth="1"/>
    <col min="11" max="11" width="16.28515625" style="462" customWidth="1"/>
    <col min="12" max="12" width="27" style="462" customWidth="1"/>
    <col min="13" max="13" width="5.28515625" style="462" customWidth="1"/>
    <col min="14" max="14" width="6" style="462" customWidth="1"/>
    <col min="15" max="39" width="12.28515625" style="462" hidden="1" customWidth="1"/>
    <col min="40" max="51" width="12.28515625" style="462" hidden="1"/>
    <col min="52" max="255" width="2.140625" style="462" hidden="1"/>
    <col min="256" max="16383" width="2.140625" hidden="1"/>
    <col min="16384" max="16384" width="3" hidden="1"/>
  </cols>
  <sheetData>
    <row r="1" spans="2:256" ht="15.75" thickBot="1" x14ac:dyDescent="0.3"/>
    <row r="2" spans="2:256" x14ac:dyDescent="0.25">
      <c r="B2" s="1875"/>
      <c r="C2" s="1876"/>
      <c r="D2" s="1876"/>
      <c r="E2" s="1876"/>
      <c r="F2" s="1876"/>
      <c r="G2" s="1876"/>
      <c r="H2" s="1876"/>
      <c r="I2" s="1876"/>
      <c r="J2" s="1876"/>
      <c r="K2" s="1876"/>
      <c r="L2" s="1876"/>
      <c r="M2" s="1877"/>
    </row>
    <row r="3" spans="2:256" s="113" customFormat="1" ht="12.75" customHeight="1" x14ac:dyDescent="0.2">
      <c r="B3" s="1797"/>
      <c r="C3" s="3826" t="s">
        <v>1172</v>
      </c>
      <c r="D3" s="3827"/>
      <c r="E3" s="3022" t="s">
        <v>9699</v>
      </c>
      <c r="F3" s="3022"/>
      <c r="G3" s="3022"/>
      <c r="H3" s="3022"/>
      <c r="I3" s="3022"/>
      <c r="J3" s="3349"/>
      <c r="K3" s="1133"/>
      <c r="L3" s="1133"/>
      <c r="M3" s="1836"/>
      <c r="N3" s="117"/>
      <c r="O3" s="772"/>
      <c r="IU3" s="117"/>
    </row>
    <row r="4" spans="2:256" s="113" customFormat="1" ht="8.25" customHeight="1" x14ac:dyDescent="0.2">
      <c r="B4" s="1797"/>
      <c r="C4" s="3828"/>
      <c r="D4" s="3290"/>
      <c r="E4" s="3006"/>
      <c r="F4" s="3006"/>
      <c r="G4" s="3006"/>
      <c r="H4" s="3006"/>
      <c r="I4" s="3006"/>
      <c r="J4" s="3260"/>
      <c r="K4" s="1133"/>
      <c r="L4" s="1133"/>
      <c r="M4" s="1836"/>
      <c r="N4" s="117"/>
      <c r="O4" s="772"/>
      <c r="IU4" s="117"/>
    </row>
    <row r="5" spans="2:256" s="113" customFormat="1" ht="27" customHeight="1" x14ac:dyDescent="0.2">
      <c r="B5" s="1797"/>
      <c r="C5" s="701"/>
      <c r="D5" s="257" t="s">
        <v>7563</v>
      </c>
      <c r="E5" s="774" t="s">
        <v>1173</v>
      </c>
      <c r="F5" s="2019" t="s">
        <v>7212</v>
      </c>
      <c r="G5" s="2019" t="s">
        <v>12051</v>
      </c>
      <c r="H5" s="774" t="s">
        <v>1174</v>
      </c>
      <c r="I5" s="421" t="s">
        <v>1176</v>
      </c>
      <c r="J5" s="108" t="s">
        <v>9700</v>
      </c>
      <c r="K5" s="1133"/>
      <c r="L5" s="1133"/>
      <c r="M5" s="1836"/>
      <c r="N5" s="117"/>
      <c r="O5" s="772"/>
      <c r="IU5" s="117"/>
    </row>
    <row r="6" spans="2:256" s="113" customFormat="1" ht="12.75" x14ac:dyDescent="0.2">
      <c r="B6" s="1797"/>
      <c r="C6" s="702"/>
      <c r="D6" s="6">
        <v>1</v>
      </c>
      <c r="E6" s="1986"/>
      <c r="F6" s="1986"/>
      <c r="G6" s="2039"/>
      <c r="H6" s="1986"/>
      <c r="I6" s="2034"/>
      <c r="J6" s="1986" t="s">
        <v>12</v>
      </c>
      <c r="K6" s="1133"/>
      <c r="L6" s="1133"/>
      <c r="M6" s="1836"/>
      <c r="N6" s="117"/>
      <c r="O6" s="772"/>
      <c r="IU6" s="117"/>
    </row>
    <row r="7" spans="2:256" s="113" customFormat="1" ht="12.75" x14ac:dyDescent="0.2">
      <c r="B7" s="1797"/>
      <c r="C7" s="702"/>
      <c r="D7" s="6">
        <f>D6+1</f>
        <v>2</v>
      </c>
      <c r="E7" s="1986"/>
      <c r="F7" s="1986"/>
      <c r="G7" s="2039"/>
      <c r="H7" s="1986"/>
      <c r="I7" s="2034"/>
      <c r="J7" s="1986" t="s">
        <v>12</v>
      </c>
      <c r="K7" s="1133"/>
      <c r="L7" s="1133"/>
      <c r="M7" s="1836"/>
      <c r="N7" s="117"/>
      <c r="O7" s="772"/>
      <c r="IU7" s="117"/>
    </row>
    <row r="8" spans="2:256" s="113" customFormat="1" ht="12.75" x14ac:dyDescent="0.2">
      <c r="B8" s="1797"/>
      <c r="C8" s="702"/>
      <c r="D8" s="6">
        <f>D7+1</f>
        <v>3</v>
      </c>
      <c r="E8" s="1986"/>
      <c r="F8" s="1986"/>
      <c r="G8" s="2039"/>
      <c r="H8" s="1986"/>
      <c r="I8" s="2034"/>
      <c r="J8" s="1986" t="s">
        <v>12</v>
      </c>
      <c r="K8" s="1133"/>
      <c r="L8" s="1133"/>
      <c r="M8" s="1836"/>
      <c r="N8" s="117"/>
      <c r="O8" s="772"/>
      <c r="IU8" s="117"/>
    </row>
    <row r="9" spans="2:256" s="113" customFormat="1" ht="12.75" x14ac:dyDescent="0.2">
      <c r="B9" s="1797"/>
      <c r="C9" s="702"/>
      <c r="D9" s="6">
        <f>D8+1</f>
        <v>4</v>
      </c>
      <c r="E9" s="1986"/>
      <c r="F9" s="1986"/>
      <c r="G9" s="2039"/>
      <c r="H9" s="1986"/>
      <c r="I9" s="2034"/>
      <c r="J9" s="1986" t="s">
        <v>12</v>
      </c>
      <c r="K9" s="1133"/>
      <c r="L9" s="1133"/>
      <c r="M9" s="1836"/>
      <c r="N9" s="117"/>
      <c r="O9" s="772"/>
      <c r="IU9" s="117"/>
    </row>
    <row r="10" spans="2:256" s="113" customFormat="1" ht="12.75" x14ac:dyDescent="0.2">
      <c r="B10" s="1797"/>
      <c r="C10" s="702"/>
      <c r="D10" s="6">
        <f>D9+1</f>
        <v>5</v>
      </c>
      <c r="E10" s="1986"/>
      <c r="F10" s="1986"/>
      <c r="G10" s="2039"/>
      <c r="H10" s="1986"/>
      <c r="I10" s="2034"/>
      <c r="J10" s="1986" t="s">
        <v>12</v>
      </c>
      <c r="K10" s="1133"/>
      <c r="L10" s="1133"/>
      <c r="M10" s="1836"/>
      <c r="N10" s="117"/>
      <c r="O10" s="772"/>
      <c r="IU10" s="117"/>
    </row>
    <row r="11" spans="2:256" s="113" customFormat="1" ht="12.75" x14ac:dyDescent="0.2">
      <c r="B11" s="1797"/>
      <c r="C11" s="702"/>
      <c r="D11" s="6">
        <f>D10+1</f>
        <v>6</v>
      </c>
      <c r="E11" s="1986"/>
      <c r="F11" s="1986"/>
      <c r="G11" s="2039"/>
      <c r="H11" s="1986"/>
      <c r="I11" s="2034"/>
      <c r="J11" s="1986" t="s">
        <v>12</v>
      </c>
      <c r="K11" s="56"/>
      <c r="L11" s="56"/>
      <c r="M11" s="1134"/>
      <c r="N11" s="57"/>
      <c r="O11" s="21"/>
      <c r="P11" s="21"/>
      <c r="Q11" s="21"/>
      <c r="R11" s="21"/>
      <c r="S11" s="21"/>
      <c r="T11" s="21"/>
      <c r="U11" s="21"/>
      <c r="V11" s="21"/>
      <c r="W11" s="21"/>
      <c r="X11" s="21"/>
      <c r="Y11" s="21"/>
      <c r="Z11" s="21"/>
      <c r="AA11" s="21"/>
      <c r="AB11" s="21"/>
      <c r="AC11" s="21"/>
      <c r="AD11" s="21"/>
      <c r="AE11" s="21"/>
      <c r="AF11" s="21"/>
      <c r="IU11" s="117"/>
    </row>
    <row r="12" spans="2:256" s="113" customFormat="1" ht="12.75" customHeight="1" x14ac:dyDescent="0.2">
      <c r="B12" s="1797"/>
      <c r="C12" s="775"/>
      <c r="D12" s="2058"/>
      <c r="E12" s="2058"/>
      <c r="F12" s="2058"/>
      <c r="G12" s="2058"/>
      <c r="H12" s="2058"/>
      <c r="I12" s="1513">
        <f>SUM(SPI.AmtIncluded)</f>
        <v>0</v>
      </c>
      <c r="J12" s="392"/>
      <c r="K12" s="56"/>
      <c r="L12" s="56"/>
      <c r="M12" s="1134"/>
      <c r="N12" s="57"/>
      <c r="O12" s="21"/>
      <c r="P12" s="21"/>
      <c r="Q12" s="21"/>
      <c r="R12" s="21"/>
      <c r="S12" s="21"/>
      <c r="T12" s="21"/>
      <c r="U12" s="21"/>
      <c r="V12" s="21"/>
      <c r="W12" s="21"/>
      <c r="X12" s="21"/>
      <c r="Y12" s="21"/>
      <c r="Z12" s="21"/>
      <c r="AA12" s="21"/>
      <c r="AB12" s="21"/>
      <c r="AC12" s="21"/>
      <c r="AD12" s="21"/>
      <c r="AE12" s="21"/>
      <c r="AF12" s="21"/>
      <c r="IU12" s="117"/>
    </row>
    <row r="13" spans="2:256" s="113" customFormat="1" x14ac:dyDescent="0.25">
      <c r="B13" s="1797"/>
      <c r="C13" s="56"/>
      <c r="D13" s="3829"/>
      <c r="E13" s="3829"/>
      <c r="F13" s="56"/>
      <c r="G13" s="56"/>
      <c r="H13" s="56"/>
      <c r="I13" s="56"/>
      <c r="J13" s="56"/>
      <c r="K13" s="56"/>
      <c r="L13" s="56"/>
      <c r="M13" s="1134"/>
      <c r="N13" s="57"/>
      <c r="O13" s="21"/>
      <c r="P13" s="21"/>
      <c r="Q13" s="21"/>
      <c r="R13" s="21"/>
      <c r="S13" s="21"/>
      <c r="T13" s="21"/>
      <c r="U13" s="21"/>
      <c r="V13" s="21"/>
      <c r="W13" s="21"/>
      <c r="X13" s="21"/>
      <c r="Y13" s="21"/>
      <c r="Z13" s="21"/>
      <c r="AA13" s="21"/>
      <c r="AB13" s="21"/>
      <c r="AC13" s="21"/>
      <c r="AD13" s="21"/>
      <c r="AE13" s="21"/>
      <c r="AF13" s="21"/>
      <c r="IU13" s="117"/>
      <c r="IV13"/>
    </row>
    <row r="14" spans="2:256" s="113" customFormat="1" x14ac:dyDescent="0.25">
      <c r="B14" s="1797"/>
      <c r="C14" s="56"/>
      <c r="D14" s="3830"/>
      <c r="E14" s="3830"/>
      <c r="F14" s="56"/>
      <c r="G14" s="56"/>
      <c r="H14" s="56"/>
      <c r="I14" s="56"/>
      <c r="J14" s="56"/>
      <c r="K14" s="56"/>
      <c r="L14" s="56"/>
      <c r="M14" s="1134"/>
      <c r="N14" s="57"/>
      <c r="O14" s="21">
        <v>0</v>
      </c>
      <c r="P14" s="21">
        <v>0</v>
      </c>
      <c r="Q14" s="21">
        <v>0</v>
      </c>
      <c r="R14" s="21"/>
      <c r="S14" s="21"/>
      <c r="T14" s="21"/>
      <c r="U14" s="21"/>
      <c r="V14" s="21"/>
      <c r="W14" s="21"/>
      <c r="X14" s="21"/>
      <c r="Y14" s="21"/>
      <c r="Z14" s="21"/>
      <c r="AA14" s="21"/>
      <c r="AB14" s="21"/>
      <c r="AC14" s="21"/>
      <c r="AD14" s="21"/>
      <c r="AE14" s="21"/>
      <c r="AF14" s="21"/>
      <c r="IU14" s="117"/>
      <c r="IV14"/>
    </row>
    <row r="15" spans="2:256" s="113" customFormat="1" ht="27" hidden="1" customHeight="1" x14ac:dyDescent="0.25">
      <c r="B15" s="1797"/>
      <c r="C15" s="2993" t="s">
        <v>8799</v>
      </c>
      <c r="D15" s="2994"/>
      <c r="E15" s="2994"/>
      <c r="F15" s="2994"/>
      <c r="G15" s="2994"/>
      <c r="H15" s="2994"/>
      <c r="I15" s="2994"/>
      <c r="J15" s="3349"/>
      <c r="K15" s="56"/>
      <c r="L15" s="56"/>
      <c r="M15" s="1134"/>
      <c r="N15" s="57"/>
      <c r="O15" s="21"/>
      <c r="P15" s="21"/>
      <c r="Q15" s="21"/>
      <c r="R15" s="21"/>
      <c r="S15" s="21"/>
      <c r="T15" s="21"/>
      <c r="U15" s="21"/>
      <c r="V15" s="21"/>
      <c r="W15" s="21"/>
      <c r="X15" s="21"/>
      <c r="Y15" s="21"/>
      <c r="Z15" s="21"/>
      <c r="AA15" s="21"/>
      <c r="AB15" s="21"/>
      <c r="AC15" s="21"/>
      <c r="AD15" s="21"/>
      <c r="AE15" s="21"/>
      <c r="AF15" s="21"/>
      <c r="IU15" s="117"/>
      <c r="IV15"/>
    </row>
    <row r="16" spans="2:256" s="113" customFormat="1" ht="21.75" customHeight="1" x14ac:dyDescent="0.25">
      <c r="B16" s="1797"/>
      <c r="C16" s="3834" t="s">
        <v>1177</v>
      </c>
      <c r="D16" s="3835"/>
      <c r="E16" s="2994" t="s">
        <v>7966</v>
      </c>
      <c r="F16" s="2994"/>
      <c r="G16" s="2994"/>
      <c r="H16" s="2995"/>
      <c r="I16" s="1669"/>
      <c r="J16" s="1672"/>
      <c r="K16" s="56"/>
      <c r="L16" s="56"/>
      <c r="M16" s="1134"/>
      <c r="N16" s="57"/>
      <c r="O16" s="21"/>
      <c r="P16" s="21"/>
      <c r="Q16" s="21"/>
      <c r="R16" s="21"/>
      <c r="S16" s="21"/>
      <c r="T16" s="21"/>
      <c r="U16" s="21"/>
      <c r="V16" s="21"/>
      <c r="W16" s="21"/>
      <c r="X16" s="21"/>
      <c r="Y16" s="21"/>
      <c r="Z16" s="21"/>
      <c r="AA16" s="21"/>
      <c r="AB16" s="21"/>
      <c r="AC16" s="21"/>
      <c r="AD16" s="21"/>
      <c r="AE16" s="21"/>
      <c r="AF16" s="21"/>
      <c r="IU16" s="117"/>
      <c r="IV16"/>
    </row>
    <row r="17" spans="2:256" s="113" customFormat="1" ht="90" customHeight="1" x14ac:dyDescent="0.25">
      <c r="B17" s="1797"/>
      <c r="C17" s="3831" t="s">
        <v>1178</v>
      </c>
      <c r="D17" s="2019" t="s">
        <v>1079</v>
      </c>
      <c r="E17" s="2019" t="s">
        <v>8803</v>
      </c>
      <c r="F17" s="2019" t="s">
        <v>1180</v>
      </c>
      <c r="G17" s="2019" t="s">
        <v>7914</v>
      </c>
      <c r="H17" s="2019" t="s">
        <v>7913</v>
      </c>
      <c r="I17" s="2067" t="s">
        <v>8804</v>
      </c>
      <c r="J17" s="1967"/>
      <c r="K17" s="56"/>
      <c r="L17" s="56"/>
      <c r="M17" s="1134"/>
      <c r="N17" s="57"/>
      <c r="O17" s="21"/>
      <c r="P17" s="21"/>
      <c r="Q17" s="21"/>
      <c r="R17" s="21"/>
      <c r="S17" s="21"/>
      <c r="T17" s="21"/>
      <c r="U17" s="21"/>
      <c r="V17" s="21"/>
      <c r="W17" s="21"/>
      <c r="X17" s="21"/>
      <c r="Y17" s="21"/>
      <c r="Z17" s="21"/>
      <c r="AA17" s="21"/>
      <c r="AB17" s="3384" t="s">
        <v>7281</v>
      </c>
      <c r="AC17" s="3384"/>
      <c r="AD17" s="3384"/>
      <c r="AE17" s="3384"/>
      <c r="AF17" s="3384"/>
      <c r="IU17" s="117"/>
      <c r="IV17"/>
    </row>
    <row r="18" spans="2:256" s="113" customFormat="1" ht="27" customHeight="1" x14ac:dyDescent="0.25">
      <c r="B18" s="1797"/>
      <c r="C18" s="3832"/>
      <c r="D18" s="2019">
        <v>1</v>
      </c>
      <c r="E18" s="1514" t="s">
        <v>1630</v>
      </c>
      <c r="F18" s="1513">
        <v>1</v>
      </c>
      <c r="G18" s="1513">
        <f>R18</f>
        <v>0</v>
      </c>
      <c r="H18" s="1513">
        <f>SI_111</f>
        <v>0</v>
      </c>
      <c r="I18" s="1670">
        <f>os.TaxBenefitTotal</f>
        <v>0</v>
      </c>
      <c r="J18" s="1673"/>
      <c r="K18" s="56"/>
      <c r="L18" s="56"/>
      <c r="M18" s="1134"/>
      <c r="N18" s="57"/>
      <c r="O18" s="1565">
        <v>1</v>
      </c>
      <c r="P18" s="21"/>
      <c r="Q18" s="777">
        <v>1</v>
      </c>
      <c r="R18" s="20">
        <f>MAX(0,MAX(0,os.IncomeBenefitTotal)-MAX(0,IF(MID(sheet1.ResidentialStatus1,1,3)="NRI",SUMIFS(os.DTAA_AmtChk,os.TRC,"=Yes",OS_DTAASectionCode,Q18),SUMIF(OS_DTAASectionCode,Q18,os.DTAA_AmtChk))))</f>
        <v>0</v>
      </c>
      <c r="S18" s="21"/>
      <c r="T18" s="21"/>
      <c r="U18" s="21" t="s">
        <v>1655</v>
      </c>
      <c r="V18" s="21"/>
      <c r="W18" s="21"/>
      <c r="X18" s="21"/>
      <c r="Y18" s="21"/>
      <c r="Z18" s="21"/>
      <c r="AA18" s="21"/>
      <c r="AB18" s="778">
        <v>1</v>
      </c>
      <c r="AC18" s="776">
        <f>F18</f>
        <v>1</v>
      </c>
      <c r="AD18" s="779">
        <f>SI_111</f>
        <v>0</v>
      </c>
      <c r="AE18" s="779">
        <f>SI_111_taxableInc</f>
        <v>0</v>
      </c>
      <c r="AF18" s="776">
        <f>I18</f>
        <v>0</v>
      </c>
      <c r="IU18" s="117"/>
      <c r="IV18"/>
    </row>
    <row r="19" spans="2:256" s="113" customFormat="1" ht="27" customHeight="1" x14ac:dyDescent="0.25">
      <c r="B19" s="1797"/>
      <c r="C19" s="3832"/>
      <c r="D19" s="8">
        <f t="shared" ref="D19:D79" si="0">D18+1</f>
        <v>2</v>
      </c>
      <c r="E19" s="1515" t="s">
        <v>9206</v>
      </c>
      <c r="F19" s="1523">
        <v>1</v>
      </c>
      <c r="G19" s="1513">
        <f>rh.IncOfCurYrAfterSetOffBFLosses_DTAARates</f>
        <v>0</v>
      </c>
      <c r="H19" s="1513">
        <f>DTAA_Inc_OS</f>
        <v>0</v>
      </c>
      <c r="I19" s="1671">
        <v>0</v>
      </c>
      <c r="J19" s="1673"/>
      <c r="K19" s="56"/>
      <c r="L19" s="56"/>
      <c r="M19" s="1134"/>
      <c r="N19" s="57"/>
      <c r="O19" s="1565" t="s">
        <v>7258</v>
      </c>
      <c r="P19" s="21"/>
      <c r="Q19" s="777" t="s">
        <v>1913</v>
      </c>
      <c r="R19" s="20">
        <f t="shared" ref="R19:R24" si="1">MAX(0,MAX(0,SUMIF(os.check,Q19,os.SourceAmount))-MAX(0,IF(MID(sheet1.ResidentialStatus1,1,3)="NRI",SUMIFS(os.DTAA_AmtChk,os.TRC,"=Yes",OS_DTAASectionCode,Q19),SUMIF(OS_DTAASectionCode,Q19,os.DTAA_AmtChk))))</f>
        <v>0</v>
      </c>
      <c r="S19" s="21"/>
      <c r="T19" s="21" t="s">
        <v>1656</v>
      </c>
      <c r="U19" s="21">
        <f>IF(MID(sheet1.ResidentialStatus1,1,3)="NRI",0,IF(bacValue=1,250000,IF(AND(MID(sheet1.Status,1,1)="I",age&gt;59,age&lt;80,OR(MID(sheet1.ResidentialStatus1,1,3)="RES",MID(sheet1.ResidentialStatus1,1,3)="NOR")),300000,IF(AND(MID(sheet1.Status,1,1)="I",age&gt;=80,OR(MID(sheet1.ResidentialStatus1,1,3)="RES",MID(sheet1.ResidentialStatus1,1,3)="NOR")),500000,IF(AND(OR(MID(sheet1.Status,1,1)="I",MID(sheet1.Status,1,1)="H"),OR(MID(sheet1.ResidentialStatus1,1,3)="RES",MID(sheet1.ResidentialStatus1,1,3)="NOR")),250000,0)))))</f>
        <v>0</v>
      </c>
      <c r="V19" s="21"/>
      <c r="W19" s="21"/>
      <c r="X19" s="21"/>
      <c r="Y19" s="21"/>
      <c r="Z19" s="21"/>
      <c r="AA19" s="21"/>
      <c r="AB19" s="778" t="s">
        <v>1914</v>
      </c>
      <c r="AC19" s="776">
        <f>F20</f>
        <v>15</v>
      </c>
      <c r="AD19" s="779">
        <f>splRateInc1A</f>
        <v>0</v>
      </c>
      <c r="AE19" s="779">
        <f>taxableInc1A</f>
        <v>0</v>
      </c>
      <c r="AF19" s="779">
        <f>I20</f>
        <v>0</v>
      </c>
      <c r="IU19" s="117"/>
      <c r="IV19"/>
    </row>
    <row r="20" spans="2:256" s="113" customFormat="1" ht="15" customHeight="1" x14ac:dyDescent="0.25">
      <c r="B20" s="1797"/>
      <c r="C20" s="3832"/>
      <c r="D20" s="8">
        <f>D19+1</f>
        <v>3</v>
      </c>
      <c r="E20" s="1516" t="s">
        <v>1631</v>
      </c>
      <c r="F20" s="1524">
        <v>15</v>
      </c>
      <c r="G20" s="1524">
        <f>BFLAtemp15Sec111a</f>
        <v>0</v>
      </c>
      <c r="H20" s="1524">
        <f>temp111A_exmp</f>
        <v>0</v>
      </c>
      <c r="I20" s="1522">
        <f t="shared" ref="I20:I56" si="2">ROUND(H20*F20/100,0)</f>
        <v>0</v>
      </c>
      <c r="J20" s="759"/>
      <c r="K20" s="56"/>
      <c r="L20" s="56"/>
      <c r="M20" s="1134"/>
      <c r="N20" s="57"/>
      <c r="O20" s="1565" t="s">
        <v>1914</v>
      </c>
      <c r="P20" s="21"/>
      <c r="Q20" s="777" t="s">
        <v>1914</v>
      </c>
      <c r="R20" s="20">
        <f t="shared" si="1"/>
        <v>0</v>
      </c>
      <c r="S20" s="21"/>
      <c r="T20" s="21"/>
      <c r="U20" s="21"/>
      <c r="V20" s="21"/>
      <c r="W20" s="21"/>
      <c r="X20" s="21"/>
      <c r="Y20" s="21"/>
      <c r="Z20" s="21"/>
      <c r="AA20" s="21"/>
      <c r="AB20" s="778">
        <v>21</v>
      </c>
      <c r="AC20" s="779">
        <f>F21</f>
        <v>20</v>
      </c>
      <c r="AD20" s="779">
        <f>splRateInc21</f>
        <v>0</v>
      </c>
      <c r="AE20" s="779">
        <f>taxableInc21</f>
        <v>0</v>
      </c>
      <c r="AF20" s="779">
        <f>I21</f>
        <v>0</v>
      </c>
      <c r="IU20" s="117"/>
      <c r="IV20"/>
    </row>
    <row r="21" spans="2:256" s="113" customFormat="1" ht="15" customHeight="1" x14ac:dyDescent="0.25">
      <c r="B21" s="1797"/>
      <c r="C21" s="3832"/>
      <c r="D21" s="8">
        <f t="shared" si="0"/>
        <v>4</v>
      </c>
      <c r="E21" s="1515" t="s">
        <v>1633</v>
      </c>
      <c r="F21" s="1524">
        <v>20</v>
      </c>
      <c r="G21" s="1524">
        <f>BFLAtemp20Sec112</f>
        <v>0</v>
      </c>
      <c r="H21" s="1524">
        <f>temp112_exmp</f>
        <v>0</v>
      </c>
      <c r="I21" s="1522">
        <f t="shared" si="2"/>
        <v>0</v>
      </c>
      <c r="J21" s="759"/>
      <c r="K21" s="56"/>
      <c r="L21" s="56"/>
      <c r="M21" s="1134"/>
      <c r="N21" s="57"/>
      <c r="O21" s="1565">
        <v>21</v>
      </c>
      <c r="P21" s="21"/>
      <c r="Q21" s="777">
        <v>21</v>
      </c>
      <c r="R21" s="20">
        <f t="shared" si="1"/>
        <v>0</v>
      </c>
      <c r="S21" s="21"/>
      <c r="T21" s="21" t="s">
        <v>1657</v>
      </c>
      <c r="U21" s="21">
        <f>Sheet8b.TotalIncome-Sheet8b.IncChargeableTaxSplRates</f>
        <v>0</v>
      </c>
      <c r="V21" s="21"/>
      <c r="W21" s="21"/>
      <c r="X21" s="21"/>
      <c r="Y21" s="21"/>
      <c r="Z21" s="21"/>
      <c r="AA21" s="21"/>
      <c r="AB21" s="778">
        <v>22</v>
      </c>
      <c r="AC21" s="779">
        <f>F22</f>
        <v>10</v>
      </c>
      <c r="AD21" s="779">
        <f>splRateInc22</f>
        <v>0</v>
      </c>
      <c r="AE21" s="779">
        <f>taxableInc22</f>
        <v>0</v>
      </c>
      <c r="AF21" s="776">
        <f>I22</f>
        <v>0</v>
      </c>
      <c r="IU21" s="117"/>
      <c r="IV21"/>
    </row>
    <row r="22" spans="2:256" s="113" customFormat="1" ht="25.5" customHeight="1" x14ac:dyDescent="0.25">
      <c r="B22" s="1797"/>
      <c r="C22" s="3832"/>
      <c r="D22" s="8">
        <f t="shared" si="0"/>
        <v>5</v>
      </c>
      <c r="E22" s="1515" t="s">
        <v>1634</v>
      </c>
      <c r="F22" s="1524">
        <v>10</v>
      </c>
      <c r="G22" s="1524">
        <f>BFLAtemp10SecPro</f>
        <v>0</v>
      </c>
      <c r="H22" s="1524">
        <f>temp112pro_exmp</f>
        <v>0</v>
      </c>
      <c r="I22" s="1522">
        <f t="shared" si="2"/>
        <v>0</v>
      </c>
      <c r="J22" s="759"/>
      <c r="K22" s="56"/>
      <c r="L22" s="56"/>
      <c r="M22" s="1134"/>
      <c r="N22" s="57"/>
      <c r="O22" s="1565">
        <v>22</v>
      </c>
      <c r="P22" s="21"/>
      <c r="Q22" s="777">
        <v>22</v>
      </c>
      <c r="R22" s="20">
        <f t="shared" si="1"/>
        <v>0</v>
      </c>
      <c r="S22" s="21"/>
      <c r="T22" s="21"/>
      <c r="U22" s="21"/>
      <c r="V22" s="21"/>
      <c r="W22" s="21"/>
      <c r="X22" s="21"/>
      <c r="Y22" s="21"/>
      <c r="Z22" s="21"/>
      <c r="AA22" s="21"/>
      <c r="AB22" s="778" t="s">
        <v>1916</v>
      </c>
      <c r="AC22" s="779">
        <f>F24</f>
        <v>10</v>
      </c>
      <c r="AD22" s="779">
        <f>G24</f>
        <v>0</v>
      </c>
      <c r="AE22" s="779">
        <f>H24</f>
        <v>0</v>
      </c>
      <c r="AF22" s="779">
        <f>I24</f>
        <v>0</v>
      </c>
      <c r="IU22" s="117"/>
      <c r="IV22"/>
    </row>
    <row r="23" spans="2:256" s="113" customFormat="1" ht="25.5" customHeight="1" x14ac:dyDescent="0.25">
      <c r="B23" s="1797"/>
      <c r="C23" s="3832"/>
      <c r="D23" s="8">
        <f t="shared" si="0"/>
        <v>6</v>
      </c>
      <c r="E23" s="1515" t="s">
        <v>9521</v>
      </c>
      <c r="F23" s="1524">
        <v>10</v>
      </c>
      <c r="G23" s="1524">
        <f>BFLAtemp10Sec112A</f>
        <v>0</v>
      </c>
      <c r="H23" s="1524">
        <f>temp112A_exmp</f>
        <v>0</v>
      </c>
      <c r="I23" s="1522">
        <f>ROUND(MAX(0,H23-100000)*F23/100,0)</f>
        <v>0</v>
      </c>
      <c r="J23" s="759"/>
      <c r="K23" s="56"/>
      <c r="L23" s="56"/>
      <c r="M23" s="1134"/>
      <c r="N23" s="57"/>
      <c r="O23" s="1565" t="s">
        <v>9645</v>
      </c>
      <c r="P23" s="21"/>
      <c r="Q23" s="777" t="s">
        <v>9645</v>
      </c>
      <c r="R23" s="20">
        <f t="shared" si="1"/>
        <v>0</v>
      </c>
      <c r="S23" s="21"/>
      <c r="T23" s="21"/>
      <c r="U23" s="21"/>
      <c r="V23" s="21"/>
      <c r="W23" s="21"/>
      <c r="X23" s="21"/>
      <c r="Y23" s="21"/>
      <c r="Z23" s="21"/>
      <c r="AA23" s="21"/>
      <c r="AB23" s="778" t="s">
        <v>9645</v>
      </c>
      <c r="AC23" s="779">
        <f>F23</f>
        <v>10</v>
      </c>
      <c r="AD23" s="776">
        <f>G23</f>
        <v>0</v>
      </c>
      <c r="AE23" s="776">
        <f>H23</f>
        <v>0</v>
      </c>
      <c r="AF23" s="776">
        <f>I23</f>
        <v>0</v>
      </c>
      <c r="IU23" s="117"/>
      <c r="IV23"/>
    </row>
    <row r="24" spans="2:256" s="113" customFormat="1" ht="26.25" customHeight="1" x14ac:dyDescent="0.25">
      <c r="B24" s="1797"/>
      <c r="C24" s="3832"/>
      <c r="D24" s="8">
        <f t="shared" si="0"/>
        <v>7</v>
      </c>
      <c r="E24" s="1515" t="s">
        <v>1635</v>
      </c>
      <c r="F24" s="1524">
        <v>10</v>
      </c>
      <c r="G24" s="1524">
        <f>BFLAtemp10Sec1121c2</f>
        <v>0</v>
      </c>
      <c r="H24" s="1524">
        <f t="shared" ref="H24:H30" si="3">G24</f>
        <v>0</v>
      </c>
      <c r="I24" s="1522">
        <f t="shared" si="2"/>
        <v>0</v>
      </c>
      <c r="J24" s="759"/>
      <c r="K24" s="56"/>
      <c r="L24" s="56"/>
      <c r="M24" s="1134"/>
      <c r="N24" s="57"/>
      <c r="O24" s="1565" t="s">
        <v>1916</v>
      </c>
      <c r="P24" s="21"/>
      <c r="Q24" s="777" t="s">
        <v>1916</v>
      </c>
      <c r="R24" s="20">
        <f t="shared" si="1"/>
        <v>0</v>
      </c>
      <c r="S24" s="21"/>
      <c r="T24" s="21"/>
      <c r="U24" s="21"/>
      <c r="V24" s="21"/>
      <c r="W24" s="21"/>
      <c r="X24" s="21"/>
      <c r="Y24" s="21"/>
      <c r="Z24" s="21"/>
      <c r="AA24" s="21"/>
      <c r="AB24" s="778" t="s">
        <v>1193</v>
      </c>
      <c r="AC24" s="779">
        <f>F25</f>
        <v>30</v>
      </c>
      <c r="AD24" s="779">
        <f>splRateInc115BB</f>
        <v>0</v>
      </c>
      <c r="AE24" s="779">
        <f>taxableInc115BB</f>
        <v>0</v>
      </c>
      <c r="AF24" s="776">
        <f>I25</f>
        <v>0</v>
      </c>
      <c r="IU24" s="117"/>
      <c r="IV24"/>
    </row>
    <row r="25" spans="2:256" s="113" customFormat="1" ht="26.25" customHeight="1" x14ac:dyDescent="0.25">
      <c r="B25" s="1797"/>
      <c r="C25" s="3832"/>
      <c r="D25" s="8">
        <f t="shared" si="0"/>
        <v>8</v>
      </c>
      <c r="E25" s="1515" t="s">
        <v>1649</v>
      </c>
      <c r="F25" s="1505">
        <v>30</v>
      </c>
      <c r="G25" s="1506">
        <f>R25</f>
        <v>0</v>
      </c>
      <c r="H25" s="1506">
        <f t="shared" si="3"/>
        <v>0</v>
      </c>
      <c r="I25" s="1525">
        <f>ROUND(H25*F25/100,0)</f>
        <v>0</v>
      </c>
      <c r="J25" s="759"/>
      <c r="K25" s="56"/>
      <c r="L25" s="56"/>
      <c r="M25" s="1134"/>
      <c r="N25" s="57"/>
      <c r="O25" s="1565" t="s">
        <v>1193</v>
      </c>
      <c r="P25" s="21"/>
      <c r="Q25" s="777" t="s">
        <v>1193</v>
      </c>
      <c r="R25" s="20">
        <f>MAX(0,MAX(0,os.WinLottRacePuzz)-MAX(0,IF(MID(sheet1.ResidentialStatus1,1,3)="NRI",SUMIFS(os.DTAA_AmtChk,os.TRC,"=Yes",OS_DTAASectionCode,Q25),SUMIF(OS_DTAASectionCode,Q25,os.DTAA_AmtChk))))</f>
        <v>0</v>
      </c>
      <c r="S25" s="21"/>
      <c r="T25" s="21"/>
      <c r="U25" s="21"/>
      <c r="V25" s="21"/>
      <c r="W25" s="21"/>
      <c r="X25" s="21"/>
      <c r="Y25" s="21"/>
      <c r="Z25" s="21"/>
      <c r="AA25" s="21"/>
      <c r="AB25" s="778" t="s">
        <v>1919</v>
      </c>
      <c r="AC25" s="779">
        <f>F26</f>
        <v>30</v>
      </c>
      <c r="AD25" s="776">
        <f>G26</f>
        <v>0</v>
      </c>
      <c r="AE25" s="776">
        <f>H26</f>
        <v>0</v>
      </c>
      <c r="AF25" s="776">
        <f>I26</f>
        <v>0</v>
      </c>
      <c r="IU25" s="117"/>
      <c r="IV25"/>
    </row>
    <row r="26" spans="2:256" s="113" customFormat="1" ht="39" customHeight="1" x14ac:dyDescent="0.25">
      <c r="B26" s="1797"/>
      <c r="C26" s="3832"/>
      <c r="D26" s="8">
        <f t="shared" si="0"/>
        <v>9</v>
      </c>
      <c r="E26" s="1566" t="s">
        <v>1647</v>
      </c>
      <c r="F26" s="1505">
        <v>30</v>
      </c>
      <c r="G26" s="1506">
        <f>BFLAtemp115AD30</f>
        <v>0</v>
      </c>
      <c r="H26" s="1506">
        <f t="shared" si="3"/>
        <v>0</v>
      </c>
      <c r="I26" s="1525">
        <f>ROUND(H26*F26/100,0)</f>
        <v>0</v>
      </c>
      <c r="J26" s="759"/>
      <c r="K26" s="56"/>
      <c r="L26" s="56"/>
      <c r="M26" s="1134"/>
      <c r="N26" s="57"/>
      <c r="O26" s="1565" t="s">
        <v>1919</v>
      </c>
      <c r="P26" s="21"/>
      <c r="Q26" s="777" t="s">
        <v>1919</v>
      </c>
      <c r="R26" s="20">
        <f>MAX(0,MAX(0,SUMIF(os.check,Q26,os.SourceAmount))-MAX(0,IF(MID(sheet1.ResidentialStatus1,1,3)="NRI",SUMIFS(os.DTAA_AmtChk,os.TRC,"=Yes",OS_DTAASectionCode,Q26),SUMIF(OS_DTAASectionCode,Q26,os.DTAA_AmtChk))))</f>
        <v>0</v>
      </c>
      <c r="S26" s="21"/>
      <c r="T26" s="21"/>
      <c r="U26" s="21"/>
      <c r="V26" s="21"/>
      <c r="W26" s="21"/>
      <c r="X26" s="21"/>
      <c r="Y26" s="21"/>
      <c r="Z26" s="21"/>
      <c r="AA26" s="21"/>
      <c r="AB26" s="778" t="s">
        <v>9646</v>
      </c>
      <c r="AC26" s="776">
        <f>F46</f>
        <v>10</v>
      </c>
      <c r="AD26" s="776">
        <f>G46</f>
        <v>0</v>
      </c>
      <c r="AE26" s="776">
        <f>H46</f>
        <v>0</v>
      </c>
      <c r="AF26" s="776">
        <f>I46</f>
        <v>0</v>
      </c>
      <c r="IU26" s="117"/>
      <c r="IV26"/>
    </row>
    <row r="27" spans="2:256" s="113" customFormat="1" ht="26.25" customHeight="1" x14ac:dyDescent="0.25">
      <c r="B27" s="1797"/>
      <c r="C27" s="3832"/>
      <c r="D27" s="8">
        <f t="shared" si="0"/>
        <v>10</v>
      </c>
      <c r="E27" s="1517" t="s">
        <v>8406</v>
      </c>
      <c r="F27" s="1526">
        <v>10</v>
      </c>
      <c r="G27" s="1527">
        <f>sheet10.Inc115BBF</f>
        <v>0</v>
      </c>
      <c r="H27" s="1527">
        <f t="shared" si="3"/>
        <v>0</v>
      </c>
      <c r="I27" s="1528">
        <f>ROUND(H27*F27/100,0)</f>
        <v>0</v>
      </c>
      <c r="J27" s="759"/>
      <c r="K27" s="56"/>
      <c r="L27" s="56"/>
      <c r="M27" s="1134"/>
      <c r="N27" s="57"/>
      <c r="O27" s="1565" t="s">
        <v>7916</v>
      </c>
      <c r="P27" s="21"/>
      <c r="Q27" s="777" t="s">
        <v>1197</v>
      </c>
      <c r="R27" s="20">
        <f>MAX(0,MAX(0,SUMIF(os.check,Q27,os.SourceAmount))-MAX(0,IF(MID(sheet1.ResidentialStatus1,1,3)="NRI",SUMIFS(os.DTAA_AmtChk,os.TRC,"=Yes",OS_DTAASectionCode,Q27),SUMIF(OS_DTAASectionCode,Q27,os.DTAA_AmtChk))))</f>
        <v>0</v>
      </c>
      <c r="S27" s="21"/>
      <c r="T27" s="21"/>
      <c r="U27" s="21"/>
      <c r="V27" s="21"/>
      <c r="W27" s="21"/>
      <c r="X27" s="21"/>
      <c r="Y27" s="21"/>
      <c r="Z27" s="21"/>
      <c r="AA27" s="21"/>
      <c r="AB27" s="778" t="s">
        <v>7916</v>
      </c>
      <c r="AC27" s="776">
        <f t="shared" ref="AC27:AF28" si="4">F27</f>
        <v>10</v>
      </c>
      <c r="AD27" s="776">
        <f t="shared" si="4"/>
        <v>0</v>
      </c>
      <c r="AE27" s="776">
        <f t="shared" si="4"/>
        <v>0</v>
      </c>
      <c r="AF27" s="776">
        <f t="shared" si="4"/>
        <v>0</v>
      </c>
      <c r="IU27" s="117"/>
      <c r="IV27"/>
    </row>
    <row r="28" spans="2:256" s="113" customFormat="1" ht="26.25" customHeight="1" x14ac:dyDescent="0.25">
      <c r="B28" s="1797"/>
      <c r="C28" s="3832"/>
      <c r="D28" s="8">
        <f t="shared" si="0"/>
        <v>11</v>
      </c>
      <c r="E28" s="1518" t="s">
        <v>8790</v>
      </c>
      <c r="F28" s="1526">
        <v>10</v>
      </c>
      <c r="G28" s="1527">
        <f>sheet10.Inc115BBG</f>
        <v>0</v>
      </c>
      <c r="H28" s="1527">
        <f t="shared" si="3"/>
        <v>0</v>
      </c>
      <c r="I28" s="1528">
        <f>ROUND(H28*F28/100,0)</f>
        <v>0</v>
      </c>
      <c r="J28" s="759"/>
      <c r="K28" s="56"/>
      <c r="L28" s="56"/>
      <c r="M28" s="1134"/>
      <c r="N28" s="57"/>
      <c r="O28" s="1565" t="s">
        <v>8174</v>
      </c>
      <c r="P28" s="21"/>
      <c r="Q28" s="777"/>
      <c r="R28" s="20"/>
      <c r="S28" s="21"/>
      <c r="T28" s="21"/>
      <c r="U28" s="21"/>
      <c r="V28" s="21"/>
      <c r="W28" s="21"/>
      <c r="X28" s="21"/>
      <c r="Y28" s="21"/>
      <c r="Z28" s="21"/>
      <c r="AA28" s="21"/>
      <c r="AB28" s="778" t="s">
        <v>8174</v>
      </c>
      <c r="AC28" s="776">
        <f t="shared" si="4"/>
        <v>10</v>
      </c>
      <c r="AD28" s="776">
        <f t="shared" si="4"/>
        <v>0</v>
      </c>
      <c r="AE28" s="776">
        <f t="shared" si="4"/>
        <v>0</v>
      </c>
      <c r="AF28" s="776">
        <f t="shared" si="4"/>
        <v>0</v>
      </c>
      <c r="IU28" s="117"/>
      <c r="IV28"/>
    </row>
    <row r="29" spans="2:256" s="113" customFormat="1" ht="26.25" customHeight="1" x14ac:dyDescent="0.25">
      <c r="B29" s="1797"/>
      <c r="C29" s="3832"/>
      <c r="D29" s="8">
        <f t="shared" si="0"/>
        <v>12</v>
      </c>
      <c r="E29" s="1515" t="s">
        <v>1632</v>
      </c>
      <c r="F29" s="1524">
        <v>15</v>
      </c>
      <c r="G29" s="1524">
        <f>BFLAtemp15Sec115ad1bii</f>
        <v>0</v>
      </c>
      <c r="H29" s="1524">
        <f t="shared" si="3"/>
        <v>0</v>
      </c>
      <c r="I29" s="1522">
        <f>ROUND(H29*F29/100,0)</f>
        <v>0</v>
      </c>
      <c r="J29" s="759"/>
      <c r="K29" s="56"/>
      <c r="L29" s="56"/>
      <c r="M29" s="1134"/>
      <c r="N29" s="57"/>
      <c r="O29" s="1565" t="s">
        <v>1915</v>
      </c>
      <c r="P29" s="21"/>
      <c r="Q29" s="777" t="s">
        <v>1915</v>
      </c>
      <c r="R29" s="20">
        <f t="shared" ref="R29:R36" si="5">MAX(0,MAX(0,SUMIF(os.check,Q29,os.SourceAmount))-MAX(0,IF(MID(sheet1.ResidentialStatus1,1,3)="NRI",SUMIFS(os.DTAA_AmtChk,os.TRC,"=Yes",OS_DTAASectionCode,Q29),SUMIF(OS_DTAASectionCode,Q29,os.DTAA_AmtChk))))</f>
        <v>0</v>
      </c>
      <c r="S29" s="21"/>
      <c r="T29" s="21"/>
      <c r="U29" s="21"/>
      <c r="V29" s="21"/>
      <c r="W29" s="21"/>
      <c r="X29" s="21"/>
      <c r="Y29" s="21"/>
      <c r="Z29" s="21"/>
      <c r="AA29" s="21"/>
      <c r="AB29" s="778" t="s">
        <v>9525</v>
      </c>
      <c r="AC29" s="776">
        <f t="shared" ref="AC29:AF30" si="6">F58</f>
        <v>1</v>
      </c>
      <c r="AD29" s="776">
        <f t="shared" si="6"/>
        <v>0</v>
      </c>
      <c r="AE29" s="776">
        <f t="shared" si="6"/>
        <v>0</v>
      </c>
      <c r="AF29" s="776">
        <f t="shared" si="6"/>
        <v>0</v>
      </c>
      <c r="IU29" s="117"/>
      <c r="IV29"/>
    </row>
    <row r="30" spans="2:256" s="113" customFormat="1" ht="25.5" x14ac:dyDescent="0.25">
      <c r="B30" s="1797"/>
      <c r="C30" s="3832"/>
      <c r="D30" s="8">
        <f t="shared" si="0"/>
        <v>13</v>
      </c>
      <c r="E30" s="1515" t="s">
        <v>1636</v>
      </c>
      <c r="F30" s="1505">
        <v>20</v>
      </c>
      <c r="G30" s="1506">
        <f>R30</f>
        <v>0</v>
      </c>
      <c r="H30" s="1506">
        <f t="shared" si="3"/>
        <v>0</v>
      </c>
      <c r="I30" s="1525">
        <f t="shared" si="2"/>
        <v>0</v>
      </c>
      <c r="J30" s="759"/>
      <c r="K30" s="56"/>
      <c r="L30" s="56"/>
      <c r="M30" s="1134"/>
      <c r="N30" s="57"/>
      <c r="O30" s="1565" t="s">
        <v>1181</v>
      </c>
      <c r="P30" s="21"/>
      <c r="Q30" s="777" t="s">
        <v>1181</v>
      </c>
      <c r="R30" s="20">
        <f t="shared" si="5"/>
        <v>0</v>
      </c>
      <c r="S30" s="21"/>
      <c r="T30" s="21" t="s">
        <v>1658</v>
      </c>
      <c r="U30" s="21">
        <f>IF(AND(U21&gt;0,U21&gt;=U19),0,U19-U21)</f>
        <v>0</v>
      </c>
      <c r="V30" s="21"/>
      <c r="W30" s="21"/>
      <c r="X30" s="21"/>
      <c r="Y30" s="21"/>
      <c r="Z30" s="21"/>
      <c r="AA30" s="21"/>
      <c r="AB30" s="778" t="s">
        <v>9526</v>
      </c>
      <c r="AC30" s="776">
        <f t="shared" si="6"/>
        <v>1</v>
      </c>
      <c r="AD30" s="776">
        <f t="shared" si="6"/>
        <v>0</v>
      </c>
      <c r="AE30" s="776">
        <f t="shared" si="6"/>
        <v>0</v>
      </c>
      <c r="AF30" s="776">
        <f t="shared" si="6"/>
        <v>0</v>
      </c>
      <c r="IU30" s="117"/>
      <c r="IV30"/>
    </row>
    <row r="31" spans="2:256" s="113" customFormat="1" ht="39" customHeight="1" x14ac:dyDescent="0.25">
      <c r="B31" s="1797"/>
      <c r="C31" s="3832"/>
      <c r="D31" s="8">
        <f t="shared" si="0"/>
        <v>14</v>
      </c>
      <c r="E31" s="1515" t="s">
        <v>9703</v>
      </c>
      <c r="F31" s="1505">
        <v>20</v>
      </c>
      <c r="G31" s="1506">
        <f t="shared" ref="G31:G38" si="7">R31</f>
        <v>0</v>
      </c>
      <c r="H31" s="1506">
        <f t="shared" ref="H31:H56" si="8">G31</f>
        <v>0</v>
      </c>
      <c r="I31" s="1525">
        <f t="shared" si="2"/>
        <v>0</v>
      </c>
      <c r="J31" s="759"/>
      <c r="K31" s="56"/>
      <c r="L31" s="56"/>
      <c r="M31" s="1134"/>
      <c r="N31" s="57"/>
      <c r="O31" s="1565" t="s">
        <v>1182</v>
      </c>
      <c r="P31" s="21"/>
      <c r="Q31" s="777" t="s">
        <v>1182</v>
      </c>
      <c r="R31" s="20">
        <f t="shared" si="5"/>
        <v>0</v>
      </c>
      <c r="S31" s="21"/>
      <c r="T31" s="21"/>
      <c r="U31" s="21"/>
      <c r="V31" s="21"/>
      <c r="W31" s="21" t="s">
        <v>1660</v>
      </c>
      <c r="X31" s="21"/>
      <c r="Y31" s="21"/>
      <c r="Z31" s="21"/>
      <c r="AA31" s="21"/>
      <c r="AB31" s="778" t="s">
        <v>7258</v>
      </c>
      <c r="AC31" s="779">
        <f>F19</f>
        <v>1</v>
      </c>
      <c r="AD31" s="779">
        <f>DTAA_Inc_OS</f>
        <v>0</v>
      </c>
      <c r="AE31" s="779">
        <f>DTAA_INCOME_OS</f>
        <v>0</v>
      </c>
      <c r="AF31" s="779">
        <f>DTAA_TAX_OS</f>
        <v>0</v>
      </c>
      <c r="IU31" s="117"/>
      <c r="IV31"/>
    </row>
    <row r="32" spans="2:256" s="113" customFormat="1" ht="26.25" customHeight="1" x14ac:dyDescent="0.25">
      <c r="B32" s="1797"/>
      <c r="C32" s="3832"/>
      <c r="D32" s="8">
        <f t="shared" si="0"/>
        <v>15</v>
      </c>
      <c r="E32" s="1515" t="s">
        <v>1638</v>
      </c>
      <c r="F32" s="1505">
        <v>5</v>
      </c>
      <c r="G32" s="1506">
        <f t="shared" si="7"/>
        <v>0</v>
      </c>
      <c r="H32" s="1506">
        <f t="shared" si="8"/>
        <v>0</v>
      </c>
      <c r="I32" s="1525">
        <f t="shared" si="2"/>
        <v>0</v>
      </c>
      <c r="J32" s="759"/>
      <c r="K32" s="56"/>
      <c r="L32" s="56"/>
      <c r="M32" s="1134"/>
      <c r="N32" s="57"/>
      <c r="O32" s="1565" t="s">
        <v>1183</v>
      </c>
      <c r="P32" s="21"/>
      <c r="Q32" s="777" t="s">
        <v>1183</v>
      </c>
      <c r="R32" s="20">
        <f t="shared" si="5"/>
        <v>0</v>
      </c>
      <c r="S32" s="21" t="s">
        <v>1659</v>
      </c>
      <c r="T32" s="21"/>
      <c r="U32" s="21">
        <f>IF(U30&lt;G21,MAX(0,(G21-U30)),0)</f>
        <v>0</v>
      </c>
      <c r="V32" s="21"/>
      <c r="W32" s="21">
        <f>IF(U30&lt;G21,0,(U30-G21))</f>
        <v>0</v>
      </c>
      <c r="X32" s="21"/>
      <c r="Y32" s="21"/>
      <c r="Z32" s="21"/>
      <c r="AA32" s="21"/>
      <c r="AB32" s="778" t="s">
        <v>1194</v>
      </c>
      <c r="AC32" s="779">
        <f>F47</f>
        <v>20</v>
      </c>
      <c r="AD32" s="776">
        <f>G47</f>
        <v>0</v>
      </c>
      <c r="AE32" s="776">
        <f>H47</f>
        <v>0</v>
      </c>
      <c r="AF32" s="776">
        <f>I47</f>
        <v>0</v>
      </c>
      <c r="IU32" s="117"/>
      <c r="IV32"/>
    </row>
    <row r="33" spans="2:256" s="113" customFormat="1" x14ac:dyDescent="0.25">
      <c r="B33" s="1797"/>
      <c r="C33" s="3832"/>
      <c r="D33" s="8">
        <f t="shared" si="0"/>
        <v>16</v>
      </c>
      <c r="E33" s="1515" t="s">
        <v>1639</v>
      </c>
      <c r="F33" s="1505">
        <v>5</v>
      </c>
      <c r="G33" s="1506">
        <f t="shared" si="7"/>
        <v>0</v>
      </c>
      <c r="H33" s="1506">
        <f t="shared" si="8"/>
        <v>0</v>
      </c>
      <c r="I33" s="1525">
        <f t="shared" si="2"/>
        <v>0</v>
      </c>
      <c r="J33" s="759"/>
      <c r="K33" s="56"/>
      <c r="L33" s="56"/>
      <c r="M33" s="1134"/>
      <c r="N33" s="57"/>
      <c r="O33" s="1565" t="s">
        <v>1184</v>
      </c>
      <c r="P33" s="21"/>
      <c r="Q33" s="777" t="s">
        <v>1184</v>
      </c>
      <c r="R33" s="20">
        <f t="shared" si="5"/>
        <v>0</v>
      </c>
      <c r="S33" s="21" t="s">
        <v>1661</v>
      </c>
      <c r="T33" s="21"/>
      <c r="U33" s="21">
        <f>IF(W32&lt;G20,MAX(0,G20-W32),0)</f>
        <v>0</v>
      </c>
      <c r="V33" s="21"/>
      <c r="W33" s="21">
        <f>IF(W32&lt;G20,0,(W32-G20))</f>
        <v>0</v>
      </c>
      <c r="X33" s="21"/>
      <c r="Y33" s="21"/>
      <c r="Z33" s="21"/>
      <c r="AA33" s="21"/>
      <c r="AB33" s="778" t="s">
        <v>1192</v>
      </c>
      <c r="AC33" s="779">
        <f>F44</f>
        <v>5</v>
      </c>
      <c r="AD33" s="776">
        <f>G44</f>
        <v>0</v>
      </c>
      <c r="AE33" s="776">
        <f>H44</f>
        <v>0</v>
      </c>
      <c r="AF33" s="776">
        <f>I44</f>
        <v>0</v>
      </c>
      <c r="IU33" s="117"/>
      <c r="IV33"/>
    </row>
    <row r="34" spans="2:256" s="113" customFormat="1" x14ac:dyDescent="0.25">
      <c r="B34" s="1797"/>
      <c r="C34" s="406"/>
      <c r="D34" s="8">
        <f t="shared" si="0"/>
        <v>17</v>
      </c>
      <c r="E34" s="1515" t="s">
        <v>1640</v>
      </c>
      <c r="F34" s="1505">
        <v>5</v>
      </c>
      <c r="G34" s="1506">
        <f t="shared" si="7"/>
        <v>0</v>
      </c>
      <c r="H34" s="1506">
        <f t="shared" si="8"/>
        <v>0</v>
      </c>
      <c r="I34" s="1525">
        <f t="shared" si="2"/>
        <v>0</v>
      </c>
      <c r="J34" s="759"/>
      <c r="K34" s="56"/>
      <c r="L34" s="56"/>
      <c r="M34" s="1134"/>
      <c r="N34" s="57"/>
      <c r="O34" s="1565" t="s">
        <v>1185</v>
      </c>
      <c r="P34" s="21"/>
      <c r="Q34" s="777" t="s">
        <v>1185</v>
      </c>
      <c r="R34" s="20">
        <f t="shared" si="5"/>
        <v>0</v>
      </c>
      <c r="S34" s="21" t="s">
        <v>1662</v>
      </c>
      <c r="T34" s="21"/>
      <c r="U34" s="21">
        <f>IF(W38&lt;G22,MAX(G22-W38),0)</f>
        <v>0</v>
      </c>
      <c r="V34" s="21"/>
      <c r="W34" s="21">
        <f>IF(W38&lt;G22,0,(W38-G22))</f>
        <v>0</v>
      </c>
      <c r="X34" s="21"/>
      <c r="Y34" s="21"/>
      <c r="Z34" s="21"/>
      <c r="AA34" s="21"/>
      <c r="AB34" s="778" t="s">
        <v>7669</v>
      </c>
      <c r="AC34" s="776">
        <f>F52</f>
        <v>10</v>
      </c>
      <c r="AD34" s="776">
        <f>G52</f>
        <v>0</v>
      </c>
      <c r="AE34" s="776">
        <f>H52</f>
        <v>0</v>
      </c>
      <c r="AF34" s="776">
        <f>I52</f>
        <v>0</v>
      </c>
      <c r="IU34" s="117"/>
      <c r="IV34"/>
    </row>
    <row r="35" spans="2:256" s="113" customFormat="1" ht="14.25" customHeight="1" x14ac:dyDescent="0.25">
      <c r="B35" s="1797"/>
      <c r="C35" s="406"/>
      <c r="D35" s="8">
        <f t="shared" si="0"/>
        <v>18</v>
      </c>
      <c r="E35" s="1515" t="s">
        <v>7174</v>
      </c>
      <c r="F35" s="1505">
        <v>5</v>
      </c>
      <c r="G35" s="1506">
        <f t="shared" si="7"/>
        <v>0</v>
      </c>
      <c r="H35" s="1506">
        <f>G35</f>
        <v>0</v>
      </c>
      <c r="I35" s="1525">
        <f>ROUND(H35*F35/100,0)</f>
        <v>0</v>
      </c>
      <c r="J35" s="759"/>
      <c r="K35" s="56"/>
      <c r="L35" s="56"/>
      <c r="M35" s="1134"/>
      <c r="N35" s="57"/>
      <c r="O35" s="1565" t="s">
        <v>7176</v>
      </c>
      <c r="P35" s="21"/>
      <c r="Q35" s="777" t="s">
        <v>7176</v>
      </c>
      <c r="R35" s="20">
        <f t="shared" si="5"/>
        <v>0</v>
      </c>
      <c r="S35" s="1318" t="s">
        <v>9522</v>
      </c>
      <c r="T35" s="1318"/>
      <c r="U35" s="1318">
        <f>IF(W34&lt;G23,MAX(0,(G23-W34)),0)</f>
        <v>0</v>
      </c>
      <c r="V35" s="1318"/>
      <c r="W35" s="1318">
        <f>IF(W34&lt;G23,0,(W34-G23))</f>
        <v>0</v>
      </c>
      <c r="X35" s="21"/>
      <c r="Y35" s="21"/>
      <c r="Z35" s="21"/>
      <c r="AA35" s="21"/>
      <c r="AB35" s="778" t="s">
        <v>8173</v>
      </c>
      <c r="AC35" s="776">
        <f>F54</f>
        <v>10</v>
      </c>
      <c r="AD35" s="776">
        <f>G54</f>
        <v>0</v>
      </c>
      <c r="AE35" s="776">
        <f>H54</f>
        <v>0</v>
      </c>
      <c r="AF35" s="776">
        <f>I54</f>
        <v>0</v>
      </c>
      <c r="IU35" s="117"/>
      <c r="IV35"/>
    </row>
    <row r="36" spans="2:256" s="113" customFormat="1" ht="32.25" customHeight="1" x14ac:dyDescent="0.25">
      <c r="B36" s="1797"/>
      <c r="C36" s="406"/>
      <c r="D36" s="8">
        <f>D34+1</f>
        <v>18</v>
      </c>
      <c r="E36" s="1515" t="s">
        <v>1641</v>
      </c>
      <c r="F36" s="1505">
        <v>20</v>
      </c>
      <c r="G36" s="1506">
        <f t="shared" si="7"/>
        <v>0</v>
      </c>
      <c r="H36" s="1506">
        <f t="shared" si="8"/>
        <v>0</v>
      </c>
      <c r="I36" s="1525">
        <f t="shared" si="2"/>
        <v>0</v>
      </c>
      <c r="J36" s="759"/>
      <c r="K36" s="56"/>
      <c r="L36" s="56"/>
      <c r="M36" s="1134"/>
      <c r="N36" s="57"/>
      <c r="O36" s="1565" t="s">
        <v>1186</v>
      </c>
      <c r="P36" s="21"/>
      <c r="Q36" s="777" t="s">
        <v>1186</v>
      </c>
      <c r="R36" s="20">
        <f t="shared" si="5"/>
        <v>0</v>
      </c>
      <c r="S36" s="1318" t="s">
        <v>12079</v>
      </c>
      <c r="T36" s="1318"/>
      <c r="U36" s="1318">
        <f>IF(W35&lt;G62,MAX(0,(G62-W35)),0)</f>
        <v>0</v>
      </c>
      <c r="V36" s="1318"/>
      <c r="W36" s="1318">
        <f>IF(W35&lt;G62,0,(W35-G62))</f>
        <v>0</v>
      </c>
      <c r="X36" s="21"/>
      <c r="Y36" s="21"/>
      <c r="Z36" s="21"/>
      <c r="AA36" s="21"/>
      <c r="AB36" s="778" t="s">
        <v>1181</v>
      </c>
      <c r="AC36" s="779">
        <f t="shared" ref="AC36:AC44" si="9">F30</f>
        <v>20</v>
      </c>
      <c r="AD36" s="776">
        <f t="shared" ref="AD36:AD44" si="10">G30</f>
        <v>0</v>
      </c>
      <c r="AE36" s="776">
        <f t="shared" ref="AE36:AE44" si="11">H30</f>
        <v>0</v>
      </c>
      <c r="AF36" s="776">
        <f t="shared" ref="AF36:AF44" si="12">I30</f>
        <v>0</v>
      </c>
      <c r="IU36" s="117"/>
      <c r="IV36"/>
    </row>
    <row r="37" spans="2:256" s="113" customFormat="1" ht="16.5" hidden="1" customHeight="1" x14ac:dyDescent="0.25">
      <c r="B37" s="1797"/>
      <c r="C37" s="406"/>
      <c r="D37" s="8"/>
      <c r="E37" s="1515" t="s">
        <v>1642</v>
      </c>
      <c r="F37" s="1505">
        <v>50</v>
      </c>
      <c r="G37" s="1506">
        <f>R37</f>
        <v>0</v>
      </c>
      <c r="H37" s="1506">
        <f t="shared" si="8"/>
        <v>0</v>
      </c>
      <c r="I37" s="1525">
        <f t="shared" si="2"/>
        <v>0</v>
      </c>
      <c r="J37" s="759"/>
      <c r="K37" s="56"/>
      <c r="L37" s="56"/>
      <c r="M37" s="1134"/>
      <c r="N37" s="57"/>
      <c r="O37" s="1565" t="s">
        <v>1187</v>
      </c>
      <c r="P37" s="21"/>
      <c r="Q37" s="777" t="s">
        <v>1187</v>
      </c>
      <c r="R37" s="20">
        <f>MAX(0,MAX(0,SUMIF(os.check,Q37,os.SourceAmount))-MAX(0,SUMIF(OS_DTAASectionCode,Q37,os.DTAA_AmtChk)))</f>
        <v>0</v>
      </c>
      <c r="S37" s="21"/>
      <c r="T37" s="21"/>
      <c r="U37" s="21"/>
      <c r="V37" s="21"/>
      <c r="W37" s="21"/>
      <c r="X37" s="21"/>
      <c r="Y37" s="21"/>
      <c r="Z37" s="21"/>
      <c r="AA37" s="21"/>
      <c r="AB37" s="778" t="s">
        <v>1182</v>
      </c>
      <c r="AC37" s="779">
        <f t="shared" si="9"/>
        <v>20</v>
      </c>
      <c r="AD37" s="776">
        <f t="shared" si="10"/>
        <v>0</v>
      </c>
      <c r="AE37" s="776">
        <f t="shared" si="11"/>
        <v>0</v>
      </c>
      <c r="AF37" s="776">
        <f t="shared" si="12"/>
        <v>0</v>
      </c>
      <c r="IU37" s="117"/>
      <c r="IV37"/>
    </row>
    <row r="38" spans="2:256" s="113" customFormat="1" ht="32.25" customHeight="1" x14ac:dyDescent="0.25">
      <c r="B38" s="1797"/>
      <c r="C38" s="406"/>
      <c r="D38" s="8">
        <f>D36+1</f>
        <v>19</v>
      </c>
      <c r="E38" s="1515" t="s">
        <v>12741</v>
      </c>
      <c r="F38" s="1505">
        <v>10</v>
      </c>
      <c r="G38" s="1506">
        <f t="shared" si="7"/>
        <v>0</v>
      </c>
      <c r="H38" s="1506">
        <f t="shared" si="8"/>
        <v>0</v>
      </c>
      <c r="I38" s="1525">
        <f t="shared" si="2"/>
        <v>0</v>
      </c>
      <c r="J38" s="759"/>
      <c r="K38" s="56"/>
      <c r="L38" s="56"/>
      <c r="M38" s="1134"/>
      <c r="N38" s="57"/>
      <c r="O38" s="1565" t="s">
        <v>1188</v>
      </c>
      <c r="P38" s="21"/>
      <c r="Q38" s="777" t="s">
        <v>11846</v>
      </c>
      <c r="R38" s="20">
        <f>MAX(0,MAX(0,SUMIF(os.check,O38,os.SourceAmount))-MAX(0,IF(MID(sheet1.ResidentialStatus1,1,3)="NRI",SUMIFS(os.DTAA_AmtChk,os.TRC,"=Yes",OS_DTAASectionCode,Q38),SUMIF(OS_DTAASectionCode,Q38,os.DTAA_AmtChk))))</f>
        <v>0</v>
      </c>
      <c r="S38" s="21" t="s">
        <v>9293</v>
      </c>
      <c r="T38" s="21"/>
      <c r="U38" s="21">
        <f>IF(W33&lt;G60,MAX(G60-W33),0)</f>
        <v>0</v>
      </c>
      <c r="V38" s="21"/>
      <c r="W38" s="21">
        <f>IF(W33&lt;G60,0,(W33-G60))</f>
        <v>0</v>
      </c>
      <c r="X38" s="21"/>
      <c r="Y38" s="21"/>
      <c r="Z38" s="21"/>
      <c r="AA38" s="21"/>
      <c r="AB38" s="778" t="s">
        <v>1183</v>
      </c>
      <c r="AC38" s="779">
        <f t="shared" si="9"/>
        <v>5</v>
      </c>
      <c r="AD38" s="776">
        <f t="shared" si="10"/>
        <v>0</v>
      </c>
      <c r="AE38" s="776">
        <f t="shared" si="11"/>
        <v>0</v>
      </c>
      <c r="AF38" s="776">
        <f t="shared" si="12"/>
        <v>0</v>
      </c>
      <c r="IU38" s="117"/>
      <c r="IV38"/>
    </row>
    <row r="39" spans="2:256" s="113" customFormat="1" ht="27" customHeight="1" x14ac:dyDescent="0.25">
      <c r="B39" s="1797"/>
      <c r="C39" s="406"/>
      <c r="D39" s="8">
        <f>D38+1</f>
        <v>20</v>
      </c>
      <c r="E39" s="1515" t="s">
        <v>13267</v>
      </c>
      <c r="F39" s="1505">
        <v>10</v>
      </c>
      <c r="G39" s="1506">
        <f>R39</f>
        <v>0</v>
      </c>
      <c r="H39" s="1506">
        <f t="shared" si="8"/>
        <v>0</v>
      </c>
      <c r="I39" s="1525">
        <f t="shared" si="2"/>
        <v>0</v>
      </c>
      <c r="J39" s="759"/>
      <c r="K39" s="56"/>
      <c r="L39" s="56"/>
      <c r="M39" s="1134"/>
      <c r="N39" s="57"/>
      <c r="O39" s="1565" t="s">
        <v>13263</v>
      </c>
      <c r="P39" s="21"/>
      <c r="Q39" s="777" t="s">
        <v>13263</v>
      </c>
      <c r="R39" s="20">
        <f t="shared" ref="R39:R45" si="13">MAX(0,MAX(0,SUMIF(os.check,Q39,os.SourceAmount))-MAX(0,IF(MID(sheet1.ResidentialStatus1,1,3)="NRI",SUMIFS(os.DTAA_AmtChk,os.TRC,"=Yes",OS_DTAASectionCode,Q39),SUMIF(OS_DTAASectionCode,Q39,os.DTAA_AmtChk))))</f>
        <v>0</v>
      </c>
      <c r="S39" s="21"/>
      <c r="T39" s="21"/>
      <c r="U39" s="21"/>
      <c r="V39" s="21"/>
      <c r="W39" s="21"/>
      <c r="X39" s="21"/>
      <c r="Y39" s="21"/>
      <c r="Z39" s="21"/>
      <c r="AA39" s="21"/>
      <c r="AB39" s="778" t="s">
        <v>1184</v>
      </c>
      <c r="AC39" s="779">
        <f t="shared" si="9"/>
        <v>5</v>
      </c>
      <c r="AD39" s="776">
        <f t="shared" si="10"/>
        <v>0</v>
      </c>
      <c r="AE39" s="776">
        <f t="shared" si="11"/>
        <v>0</v>
      </c>
      <c r="AF39" s="776">
        <f t="shared" si="12"/>
        <v>0</v>
      </c>
      <c r="IU39" s="117"/>
      <c r="IV39"/>
    </row>
    <row r="40" spans="2:256" s="113" customFormat="1" ht="37.5" customHeight="1" x14ac:dyDescent="0.25">
      <c r="B40" s="1797"/>
      <c r="C40" s="406"/>
      <c r="D40" s="8">
        <f t="shared" si="0"/>
        <v>21</v>
      </c>
      <c r="E40" s="1515" t="s">
        <v>1643</v>
      </c>
      <c r="F40" s="1505">
        <v>10</v>
      </c>
      <c r="G40" s="1506">
        <f>BFLAtemp10Sec115AC1</f>
        <v>0</v>
      </c>
      <c r="H40" s="1506">
        <f t="shared" si="8"/>
        <v>0</v>
      </c>
      <c r="I40" s="1525">
        <f t="shared" si="2"/>
        <v>0</v>
      </c>
      <c r="J40" s="759"/>
      <c r="K40" s="56"/>
      <c r="L40" s="56"/>
      <c r="M40" s="1134"/>
      <c r="N40" s="57"/>
      <c r="O40" s="1565" t="s">
        <v>1917</v>
      </c>
      <c r="P40" s="21"/>
      <c r="Q40" s="777" t="s">
        <v>1917</v>
      </c>
      <c r="R40" s="20">
        <f t="shared" si="13"/>
        <v>0</v>
      </c>
      <c r="S40" s="21"/>
      <c r="T40" s="21"/>
      <c r="U40" s="21"/>
      <c r="V40" s="21"/>
      <c r="W40" s="21"/>
      <c r="X40" s="21"/>
      <c r="Y40" s="21"/>
      <c r="Z40" s="21"/>
      <c r="AA40" s="21"/>
      <c r="AB40" s="778" t="s">
        <v>1185</v>
      </c>
      <c r="AC40" s="779">
        <f t="shared" si="9"/>
        <v>5</v>
      </c>
      <c r="AD40" s="776">
        <f t="shared" si="10"/>
        <v>0</v>
      </c>
      <c r="AE40" s="776">
        <f t="shared" si="11"/>
        <v>0</v>
      </c>
      <c r="AF40" s="776">
        <f t="shared" si="12"/>
        <v>0</v>
      </c>
      <c r="IU40" s="117"/>
      <c r="IV40"/>
    </row>
    <row r="41" spans="2:256" s="113" customFormat="1" ht="37.5" customHeight="1" x14ac:dyDescent="0.25">
      <c r="B41" s="1797"/>
      <c r="C41" s="406"/>
      <c r="D41" s="8">
        <f t="shared" si="0"/>
        <v>22</v>
      </c>
      <c r="E41" s="1515" t="s">
        <v>1644</v>
      </c>
      <c r="F41" s="1505">
        <v>10</v>
      </c>
      <c r="G41" s="1506">
        <f>R41</f>
        <v>0</v>
      </c>
      <c r="H41" s="1506">
        <f t="shared" si="8"/>
        <v>0</v>
      </c>
      <c r="I41" s="1525">
        <f t="shared" si="2"/>
        <v>0</v>
      </c>
      <c r="J41" s="759"/>
      <c r="K41" s="56"/>
      <c r="L41" s="56"/>
      <c r="M41" s="1134"/>
      <c r="N41" s="57"/>
      <c r="O41" s="1565" t="s">
        <v>1190</v>
      </c>
      <c r="P41" s="21"/>
      <c r="Q41" s="777" t="s">
        <v>1190</v>
      </c>
      <c r="R41" s="20">
        <f t="shared" si="13"/>
        <v>0</v>
      </c>
      <c r="S41" s="21"/>
      <c r="T41" s="21"/>
      <c r="U41" s="21"/>
      <c r="V41" s="21"/>
      <c r="W41" s="21"/>
      <c r="X41" s="21"/>
      <c r="Y41" s="21"/>
      <c r="Z41" s="21"/>
      <c r="AA41" s="21"/>
      <c r="AB41" s="778" t="s">
        <v>7176</v>
      </c>
      <c r="AC41" s="779">
        <f t="shared" si="9"/>
        <v>5</v>
      </c>
      <c r="AD41" s="776">
        <f t="shared" si="10"/>
        <v>0</v>
      </c>
      <c r="AE41" s="776">
        <f t="shared" si="11"/>
        <v>0</v>
      </c>
      <c r="AF41" s="776">
        <f t="shared" si="12"/>
        <v>0</v>
      </c>
      <c r="IU41" s="117"/>
      <c r="IV41"/>
    </row>
    <row r="42" spans="2:256" s="113" customFormat="1" ht="41.25" customHeight="1" x14ac:dyDescent="0.25">
      <c r="B42" s="1797"/>
      <c r="C42" s="406"/>
      <c r="D42" s="8">
        <f t="shared" si="0"/>
        <v>23</v>
      </c>
      <c r="E42" s="1515" t="s">
        <v>1645</v>
      </c>
      <c r="F42" s="1505">
        <v>10</v>
      </c>
      <c r="G42" s="1506">
        <f>BFLAtemp10Sec115ACA1</f>
        <v>0</v>
      </c>
      <c r="H42" s="1506">
        <f>G42</f>
        <v>0</v>
      </c>
      <c r="I42" s="1525">
        <f t="shared" si="2"/>
        <v>0</v>
      </c>
      <c r="J42" s="759"/>
      <c r="K42" s="56"/>
      <c r="L42" s="56"/>
      <c r="M42" s="1134"/>
      <c r="N42" s="57"/>
      <c r="O42" s="1565" t="s">
        <v>1918</v>
      </c>
      <c r="P42" s="21"/>
      <c r="Q42" s="777" t="s">
        <v>1918</v>
      </c>
      <c r="R42" s="20">
        <f t="shared" si="13"/>
        <v>0</v>
      </c>
      <c r="S42" s="21"/>
      <c r="T42" s="21"/>
      <c r="U42" s="21"/>
      <c r="V42" s="21"/>
      <c r="W42" s="21"/>
      <c r="X42" s="21"/>
      <c r="Y42" s="21"/>
      <c r="Z42" s="21"/>
      <c r="AA42" s="21"/>
      <c r="AB42" s="778" t="s">
        <v>1186</v>
      </c>
      <c r="AC42" s="779">
        <f t="shared" ref="AC42:AF43" si="14">F36</f>
        <v>20</v>
      </c>
      <c r="AD42" s="776">
        <f t="shared" si="14"/>
        <v>0</v>
      </c>
      <c r="AE42" s="776">
        <f t="shared" si="14"/>
        <v>0</v>
      </c>
      <c r="AF42" s="776">
        <f t="shared" si="14"/>
        <v>0</v>
      </c>
      <c r="IU42" s="117"/>
      <c r="IV42"/>
    </row>
    <row r="43" spans="2:256" s="113" customFormat="1" ht="39" customHeight="1" x14ac:dyDescent="0.25">
      <c r="B43" s="1797"/>
      <c r="C43" s="406"/>
      <c r="D43" s="8">
        <f t="shared" si="0"/>
        <v>24</v>
      </c>
      <c r="E43" s="1515" t="s">
        <v>12980</v>
      </c>
      <c r="F43" s="1505">
        <v>20</v>
      </c>
      <c r="G43" s="1506">
        <f>R43</f>
        <v>0</v>
      </c>
      <c r="H43" s="1506">
        <f t="shared" si="8"/>
        <v>0</v>
      </c>
      <c r="I43" s="1525">
        <f t="shared" si="2"/>
        <v>0</v>
      </c>
      <c r="J43" s="759"/>
      <c r="K43" s="56"/>
      <c r="L43" s="56"/>
      <c r="M43" s="1134"/>
      <c r="N43" s="57"/>
      <c r="O43" s="1565" t="s">
        <v>1191</v>
      </c>
      <c r="P43" s="21"/>
      <c r="Q43" s="777" t="s">
        <v>1191</v>
      </c>
      <c r="R43" s="20">
        <f t="shared" si="13"/>
        <v>0</v>
      </c>
      <c r="S43" s="21"/>
      <c r="T43" s="21"/>
      <c r="U43" s="21"/>
      <c r="V43" s="21"/>
      <c r="W43" s="21"/>
      <c r="X43" s="21"/>
      <c r="Y43" s="21"/>
      <c r="Z43" s="21"/>
      <c r="AA43" s="21"/>
      <c r="AB43" s="778" t="s">
        <v>1187</v>
      </c>
      <c r="AC43" s="779">
        <f t="shared" si="14"/>
        <v>50</v>
      </c>
      <c r="AD43" s="776">
        <f t="shared" si="14"/>
        <v>0</v>
      </c>
      <c r="AE43" s="776">
        <f t="shared" si="14"/>
        <v>0</v>
      </c>
      <c r="AF43" s="776">
        <f t="shared" si="14"/>
        <v>0</v>
      </c>
      <c r="IU43" s="117"/>
      <c r="IV43"/>
    </row>
    <row r="44" spans="2:256" s="113" customFormat="1" ht="39" customHeight="1" x14ac:dyDescent="0.25">
      <c r="B44" s="1797"/>
      <c r="C44" s="406"/>
      <c r="D44" s="8">
        <f t="shared" si="0"/>
        <v>25</v>
      </c>
      <c r="E44" s="1515" t="s">
        <v>1646</v>
      </c>
      <c r="F44" s="1505">
        <v>5</v>
      </c>
      <c r="G44" s="1506">
        <f>R44</f>
        <v>0</v>
      </c>
      <c r="H44" s="1506">
        <f t="shared" si="8"/>
        <v>0</v>
      </c>
      <c r="I44" s="1525">
        <f t="shared" si="2"/>
        <v>0</v>
      </c>
      <c r="J44" s="759"/>
      <c r="K44" s="56"/>
      <c r="L44" s="56"/>
      <c r="M44" s="1134"/>
      <c r="N44" s="57"/>
      <c r="O44" s="1565" t="s">
        <v>1192</v>
      </c>
      <c r="P44" s="21"/>
      <c r="Q44" s="777" t="s">
        <v>1192</v>
      </c>
      <c r="R44" s="20">
        <f t="shared" si="13"/>
        <v>0</v>
      </c>
      <c r="S44" s="21"/>
      <c r="T44" s="21"/>
      <c r="U44" s="21"/>
      <c r="V44" s="21"/>
      <c r="W44" s="21"/>
      <c r="X44" s="21"/>
      <c r="Y44" s="21"/>
      <c r="Z44" s="21"/>
      <c r="AA44" s="21"/>
      <c r="AB44" s="778" t="s">
        <v>1188</v>
      </c>
      <c r="AC44" s="779">
        <f t="shared" si="9"/>
        <v>10</v>
      </c>
      <c r="AD44" s="776">
        <f t="shared" si="10"/>
        <v>0</v>
      </c>
      <c r="AE44" s="776">
        <f t="shared" si="11"/>
        <v>0</v>
      </c>
      <c r="AF44" s="776">
        <f t="shared" si="12"/>
        <v>0</v>
      </c>
      <c r="IU44" s="117"/>
      <c r="IV44"/>
    </row>
    <row r="45" spans="2:256" s="113" customFormat="1" ht="38.25" customHeight="1" x14ac:dyDescent="0.25">
      <c r="B45" s="1797"/>
      <c r="C45" s="406"/>
      <c r="D45" s="8">
        <f t="shared" si="0"/>
        <v>26</v>
      </c>
      <c r="E45" s="1515" t="s">
        <v>1648</v>
      </c>
      <c r="F45" s="1505">
        <v>10</v>
      </c>
      <c r="G45" s="1506">
        <f>BFLAtemp10Sec115AD3</f>
        <v>0</v>
      </c>
      <c r="H45" s="1506">
        <f t="shared" si="8"/>
        <v>0</v>
      </c>
      <c r="I45" s="1525">
        <f t="shared" si="2"/>
        <v>0</v>
      </c>
      <c r="J45" s="759"/>
      <c r="K45" s="56"/>
      <c r="L45" s="56"/>
      <c r="M45" s="1134"/>
      <c r="N45" s="57"/>
      <c r="O45" s="1565" t="s">
        <v>1920</v>
      </c>
      <c r="P45" s="21"/>
      <c r="Q45" s="777" t="s">
        <v>1920</v>
      </c>
      <c r="R45" s="20">
        <f t="shared" si="13"/>
        <v>0</v>
      </c>
      <c r="S45" s="21"/>
      <c r="T45" s="21"/>
      <c r="U45" s="21"/>
      <c r="V45" s="21"/>
      <c r="W45" s="21"/>
      <c r="X45" s="21"/>
      <c r="Y45" s="21"/>
      <c r="Z45" s="21"/>
      <c r="AA45" s="21"/>
      <c r="AB45" s="778" t="s">
        <v>13263</v>
      </c>
      <c r="AC45" s="779">
        <f t="shared" ref="AC45:AF49" si="15">F39</f>
        <v>10</v>
      </c>
      <c r="AD45" s="776">
        <f t="shared" si="15"/>
        <v>0</v>
      </c>
      <c r="AE45" s="776">
        <f t="shared" si="15"/>
        <v>0</v>
      </c>
      <c r="AF45" s="776">
        <f t="shared" si="15"/>
        <v>0</v>
      </c>
      <c r="IU45" s="117"/>
      <c r="IV45"/>
    </row>
    <row r="46" spans="2:256" s="113" customFormat="1" ht="28.5" customHeight="1" x14ac:dyDescent="0.25">
      <c r="B46" s="1797"/>
      <c r="C46" s="406"/>
      <c r="D46" s="8">
        <f t="shared" si="0"/>
        <v>27</v>
      </c>
      <c r="E46" s="1515" t="s">
        <v>9523</v>
      </c>
      <c r="F46" s="1505">
        <v>10</v>
      </c>
      <c r="G46" s="1506">
        <f>BFLAtemp10Sec115AD3_Proviso</f>
        <v>0</v>
      </c>
      <c r="H46" s="1506">
        <f>G46</f>
        <v>0</v>
      </c>
      <c r="I46" s="1525">
        <f>ROUND(MAX(0,H46-100000)*F46/100,0)</f>
        <v>0</v>
      </c>
      <c r="J46" s="759"/>
      <c r="K46" s="56"/>
      <c r="L46" s="56"/>
      <c r="M46" s="1134"/>
      <c r="N46" s="57"/>
      <c r="O46" s="1565" t="s">
        <v>9646</v>
      </c>
      <c r="P46" s="21"/>
      <c r="Q46" s="777"/>
      <c r="R46" s="20"/>
      <c r="S46" s="21"/>
      <c r="T46" s="21"/>
      <c r="U46" s="21"/>
      <c r="V46" s="21"/>
      <c r="W46" s="21"/>
      <c r="X46" s="21"/>
      <c r="Y46" s="21"/>
      <c r="Z46" s="21"/>
      <c r="AA46" s="21"/>
      <c r="AB46" s="778" t="s">
        <v>1917</v>
      </c>
      <c r="AC46" s="779">
        <f t="shared" si="15"/>
        <v>10</v>
      </c>
      <c r="AD46" s="776">
        <f t="shared" si="15"/>
        <v>0</v>
      </c>
      <c r="AE46" s="776">
        <f t="shared" si="15"/>
        <v>0</v>
      </c>
      <c r="AF46" s="776">
        <f t="shared" si="15"/>
        <v>0</v>
      </c>
      <c r="IU46" s="117"/>
      <c r="IV46"/>
    </row>
    <row r="47" spans="2:256" s="113" customFormat="1" ht="24.75" customHeight="1" x14ac:dyDescent="0.25">
      <c r="B47" s="1797"/>
      <c r="C47" s="406"/>
      <c r="D47" s="8">
        <f t="shared" si="0"/>
        <v>28</v>
      </c>
      <c r="E47" s="1515" t="s">
        <v>13132</v>
      </c>
      <c r="F47" s="1505">
        <v>20</v>
      </c>
      <c r="G47" s="1506">
        <f>R47</f>
        <v>0</v>
      </c>
      <c r="H47" s="1506">
        <f t="shared" si="8"/>
        <v>0</v>
      </c>
      <c r="I47" s="1525">
        <f t="shared" si="2"/>
        <v>0</v>
      </c>
      <c r="J47" s="759"/>
      <c r="K47" s="56"/>
      <c r="L47" s="56"/>
      <c r="M47" s="1134"/>
      <c r="N47" s="57"/>
      <c r="O47" s="1565" t="s">
        <v>1194</v>
      </c>
      <c r="P47" s="21"/>
      <c r="Q47" s="777" t="s">
        <v>1194</v>
      </c>
      <c r="R47" s="20">
        <f t="shared" ref="R47:R52" si="16">MAX(0,MAX(0,SUMIF(os.check,Q47,os.SourceAmount))-MAX(0,IF(MID(sheet1.ResidentialStatus1,1,3)="NRI",SUMIFS(os.DTAA_AmtChk,os.TRC,"=Yes",OS_DTAASectionCode,Q47),SUMIF(OS_DTAASectionCode,Q47,os.DTAA_AmtChk))))</f>
        <v>0</v>
      </c>
      <c r="S47" s="21"/>
      <c r="T47" s="21"/>
      <c r="U47" s="21"/>
      <c r="V47" s="21"/>
      <c r="W47" s="21"/>
      <c r="X47" s="21"/>
      <c r="Y47" s="21"/>
      <c r="Z47" s="21"/>
      <c r="AA47" s="21"/>
      <c r="AB47" s="778" t="s">
        <v>1190</v>
      </c>
      <c r="AC47" s="779">
        <f t="shared" si="15"/>
        <v>10</v>
      </c>
      <c r="AD47" s="776">
        <f t="shared" si="15"/>
        <v>0</v>
      </c>
      <c r="AE47" s="776">
        <f t="shared" si="15"/>
        <v>0</v>
      </c>
      <c r="AF47" s="776">
        <f t="shared" si="15"/>
        <v>0</v>
      </c>
      <c r="IU47" s="117"/>
      <c r="IV47"/>
    </row>
    <row r="48" spans="2:256" s="113" customFormat="1" ht="25.5" hidden="1" customHeight="1" x14ac:dyDescent="0.25">
      <c r="B48" s="1797"/>
      <c r="C48" s="406"/>
      <c r="D48" s="8">
        <f t="shared" si="0"/>
        <v>29</v>
      </c>
      <c r="E48" s="1515" t="s">
        <v>1651</v>
      </c>
      <c r="F48" s="1505">
        <v>30</v>
      </c>
      <c r="G48" s="1506">
        <f>R48</f>
        <v>0</v>
      </c>
      <c r="H48" s="1506">
        <f t="shared" si="8"/>
        <v>0</v>
      </c>
      <c r="I48" s="1525">
        <f t="shared" si="2"/>
        <v>0</v>
      </c>
      <c r="J48" s="759"/>
      <c r="K48" s="56"/>
      <c r="L48" s="56"/>
      <c r="M48" s="1134"/>
      <c r="N48" s="57"/>
      <c r="O48" s="1565" t="s">
        <v>1195</v>
      </c>
      <c r="P48" s="21"/>
      <c r="Q48" s="777" t="s">
        <v>1195</v>
      </c>
      <c r="R48" s="20">
        <f t="shared" si="16"/>
        <v>0</v>
      </c>
      <c r="S48" s="21"/>
      <c r="T48" s="21"/>
      <c r="U48" s="21"/>
      <c r="V48" s="21"/>
      <c r="W48" s="21"/>
      <c r="X48" s="21"/>
      <c r="Y48" s="21"/>
      <c r="Z48" s="21"/>
      <c r="AA48" s="21"/>
      <c r="AB48" s="778" t="s">
        <v>1918</v>
      </c>
      <c r="AC48" s="776">
        <f t="shared" si="15"/>
        <v>10</v>
      </c>
      <c r="AD48" s="776">
        <f t="shared" si="15"/>
        <v>0</v>
      </c>
      <c r="AE48" s="776">
        <f t="shared" si="15"/>
        <v>0</v>
      </c>
      <c r="AF48" s="776">
        <f t="shared" si="15"/>
        <v>0</v>
      </c>
      <c r="IU48" s="117"/>
      <c r="IV48"/>
    </row>
    <row r="49" spans="2:256" s="113" customFormat="1" ht="12.75" hidden="1" customHeight="1" x14ac:dyDescent="0.25">
      <c r="B49" s="1797"/>
      <c r="C49" s="406"/>
      <c r="D49" s="8">
        <f t="shared" si="0"/>
        <v>30</v>
      </c>
      <c r="E49" s="1515" t="s">
        <v>7712</v>
      </c>
      <c r="F49" s="1505">
        <v>0</v>
      </c>
      <c r="G49" s="1506">
        <v>0</v>
      </c>
      <c r="H49" s="1506">
        <v>0</v>
      </c>
      <c r="I49" s="1525">
        <v>0</v>
      </c>
      <c r="J49" s="759"/>
      <c r="K49" s="56"/>
      <c r="L49" s="56"/>
      <c r="M49" s="1134"/>
      <c r="N49" s="57"/>
      <c r="O49" s="1565" t="s">
        <v>7668</v>
      </c>
      <c r="P49" s="21"/>
      <c r="Q49" s="777" t="s">
        <v>7668</v>
      </c>
      <c r="R49" s="20">
        <f t="shared" si="16"/>
        <v>0</v>
      </c>
      <c r="S49" s="21"/>
      <c r="T49" s="21"/>
      <c r="U49" s="21"/>
      <c r="V49" s="21"/>
      <c r="W49" s="21"/>
      <c r="X49" s="21"/>
      <c r="Y49" s="21"/>
      <c r="Z49" s="21"/>
      <c r="AA49" s="21"/>
      <c r="AB49" s="778" t="s">
        <v>1191</v>
      </c>
      <c r="AC49" s="779">
        <f t="shared" si="15"/>
        <v>20</v>
      </c>
      <c r="AD49" s="776">
        <f t="shared" si="15"/>
        <v>0</v>
      </c>
      <c r="AE49" s="776">
        <f t="shared" si="15"/>
        <v>0</v>
      </c>
      <c r="AF49" s="776">
        <f t="shared" si="15"/>
        <v>0</v>
      </c>
      <c r="IU49" s="117"/>
      <c r="IV49"/>
    </row>
    <row r="50" spans="2:256" s="113" customFormat="1" ht="28.5" customHeight="1" x14ac:dyDescent="0.25">
      <c r="B50" s="1797"/>
      <c r="C50" s="406"/>
      <c r="D50" s="2294">
        <f>D47+1</f>
        <v>29</v>
      </c>
      <c r="E50" s="1519" t="s">
        <v>13133</v>
      </c>
      <c r="F50" s="1529">
        <v>60</v>
      </c>
      <c r="G50" s="1530">
        <f>os.Total115BE</f>
        <v>0</v>
      </c>
      <c r="H50" s="1530">
        <f t="shared" si="8"/>
        <v>0</v>
      </c>
      <c r="I50" s="1531">
        <f t="shared" si="2"/>
        <v>0</v>
      </c>
      <c r="J50" s="759"/>
      <c r="K50" s="56"/>
      <c r="L50" s="56"/>
      <c r="M50" s="1134"/>
      <c r="N50" s="57"/>
      <c r="O50" s="1565" t="s">
        <v>1196</v>
      </c>
      <c r="P50" s="21"/>
      <c r="Q50" s="777" t="s">
        <v>1196</v>
      </c>
      <c r="R50" s="20">
        <f t="shared" si="16"/>
        <v>0</v>
      </c>
      <c r="S50" s="21"/>
      <c r="T50" s="21"/>
      <c r="U50" s="21"/>
      <c r="V50" s="21"/>
      <c r="W50" s="21"/>
      <c r="X50" s="21"/>
      <c r="Y50" s="21"/>
      <c r="Z50" s="21"/>
      <c r="AA50" s="21"/>
      <c r="AB50" s="778" t="s">
        <v>1920</v>
      </c>
      <c r="AC50" s="779">
        <f>F45</f>
        <v>10</v>
      </c>
      <c r="AD50" s="776">
        <f>G45</f>
        <v>0</v>
      </c>
      <c r="AE50" s="776">
        <f>H45</f>
        <v>0</v>
      </c>
      <c r="AF50" s="776">
        <f>I45</f>
        <v>0</v>
      </c>
      <c r="IU50" s="117"/>
      <c r="IV50"/>
    </row>
    <row r="51" spans="2:256" s="113" customFormat="1" ht="33.75" customHeight="1" x14ac:dyDescent="0.25">
      <c r="B51" s="1797"/>
      <c r="C51" s="406"/>
      <c r="D51" s="8">
        <f t="shared" si="0"/>
        <v>30</v>
      </c>
      <c r="E51" s="1520" t="s">
        <v>13128</v>
      </c>
      <c r="F51" s="1532"/>
      <c r="G51" s="1533"/>
      <c r="H51" s="1533"/>
      <c r="I51" s="1532"/>
      <c r="J51" s="759"/>
      <c r="K51" s="56"/>
      <c r="L51" s="56"/>
      <c r="M51" s="1134"/>
      <c r="N51" s="57"/>
      <c r="O51" s="1565" t="s">
        <v>7921</v>
      </c>
      <c r="P51" s="21"/>
      <c r="Q51" s="777" t="s">
        <v>7669</v>
      </c>
      <c r="R51" s="20">
        <f>MAX(0,MAX(0,SUMIF(os.check,Q51,os.SourceAmount))-MAX(0,IF(MID(sheet1.ResidentialStatus1,1,3)="NRI",SUMIFS(os.DTAA_AmtChk,os.TRC,"=Yes",os.DTAAcheck,Q51),SUMIF(os.DTAAcheck,Q51,os.DTAA_AmtChk))))</f>
        <v>0</v>
      </c>
      <c r="S51" s="21"/>
      <c r="T51" s="21"/>
      <c r="U51" s="21"/>
      <c r="V51" s="21"/>
      <c r="W51" s="21"/>
      <c r="X51" s="21"/>
      <c r="Y51" s="21"/>
      <c r="Z51" s="21"/>
      <c r="AA51" s="21"/>
      <c r="AB51" s="778" t="s">
        <v>1195</v>
      </c>
      <c r="AC51" s="779">
        <f>F48</f>
        <v>30</v>
      </c>
      <c r="AD51" s="776">
        <f>G48</f>
        <v>0</v>
      </c>
      <c r="AE51" s="776">
        <f>H48</f>
        <v>0</v>
      </c>
      <c r="AF51" s="776">
        <f>I48</f>
        <v>0</v>
      </c>
      <c r="IU51" s="117"/>
      <c r="IV51"/>
    </row>
    <row r="52" spans="2:256" s="113" customFormat="1" x14ac:dyDescent="0.25">
      <c r="B52" s="1797"/>
      <c r="C52" s="780"/>
      <c r="D52" s="8">
        <f t="shared" si="0"/>
        <v>31</v>
      </c>
      <c r="E52" s="1518" t="s">
        <v>8407</v>
      </c>
      <c r="F52" s="1529">
        <v>10</v>
      </c>
      <c r="G52" s="1530">
        <f>R51</f>
        <v>0</v>
      </c>
      <c r="H52" s="1530">
        <f>G52</f>
        <v>0</v>
      </c>
      <c r="I52" s="1531">
        <f>ROUND(H52*F52/100,0)</f>
        <v>0</v>
      </c>
      <c r="J52" s="759"/>
      <c r="K52" s="56"/>
      <c r="L52" s="56"/>
      <c r="M52" s="1134"/>
      <c r="N52" s="57"/>
      <c r="O52" s="1565" t="s">
        <v>7669</v>
      </c>
      <c r="P52" s="21"/>
      <c r="Q52" s="777" t="s">
        <v>1921</v>
      </c>
      <c r="R52" s="20">
        <f t="shared" si="16"/>
        <v>0</v>
      </c>
      <c r="S52" s="21"/>
      <c r="T52" s="21"/>
      <c r="U52" s="21"/>
      <c r="V52" s="21"/>
      <c r="W52" s="21"/>
      <c r="X52" s="21"/>
      <c r="Y52" s="21"/>
      <c r="Z52" s="21"/>
      <c r="AA52" s="21"/>
      <c r="AB52" s="778" t="s">
        <v>1196</v>
      </c>
      <c r="AC52" s="779">
        <f>F50</f>
        <v>60</v>
      </c>
      <c r="AD52" s="776">
        <f>G50</f>
        <v>0</v>
      </c>
      <c r="AE52" s="776">
        <f>H50</f>
        <v>0</v>
      </c>
      <c r="AF52" s="776">
        <f>I50</f>
        <v>0</v>
      </c>
      <c r="IU52" s="117"/>
      <c r="IV52"/>
    </row>
    <row r="53" spans="2:256" s="113" customFormat="1" ht="12.75" customHeight="1" x14ac:dyDescent="0.25">
      <c r="B53" s="1797"/>
      <c r="C53" s="780"/>
      <c r="D53" s="8">
        <f t="shared" si="0"/>
        <v>32</v>
      </c>
      <c r="E53" s="1521" t="s">
        <v>13134</v>
      </c>
      <c r="F53" s="1534"/>
      <c r="G53" s="1535"/>
      <c r="H53" s="1535"/>
      <c r="I53" s="1536"/>
      <c r="J53" s="759"/>
      <c r="K53" s="56"/>
      <c r="L53" s="56"/>
      <c r="M53" s="1134"/>
      <c r="N53" s="57"/>
      <c r="O53" s="1565" t="s">
        <v>8207</v>
      </c>
      <c r="P53" s="21"/>
      <c r="Q53" s="777"/>
      <c r="R53" s="20"/>
      <c r="S53" s="21"/>
      <c r="T53" s="21"/>
      <c r="U53" s="21"/>
      <c r="V53" s="21"/>
      <c r="W53" s="21"/>
      <c r="X53" s="21"/>
      <c r="Y53" s="21"/>
      <c r="Z53" s="21"/>
      <c r="AA53" s="21"/>
      <c r="AB53" s="778" t="s">
        <v>7668</v>
      </c>
      <c r="AC53" s="776">
        <f>F49</f>
        <v>0</v>
      </c>
      <c r="AD53" s="776">
        <f>G49</f>
        <v>0</v>
      </c>
      <c r="AE53" s="776">
        <f>H49</f>
        <v>0</v>
      </c>
      <c r="AF53" s="776">
        <f>I49</f>
        <v>0</v>
      </c>
      <c r="IU53" s="117"/>
      <c r="IV53"/>
    </row>
    <row r="54" spans="2:256" s="113" customFormat="1" ht="12.75" customHeight="1" x14ac:dyDescent="0.25">
      <c r="B54" s="1797"/>
      <c r="C54" s="780"/>
      <c r="D54" s="8">
        <f t="shared" si="0"/>
        <v>33</v>
      </c>
      <c r="E54" s="1518" t="s">
        <v>8407</v>
      </c>
      <c r="F54" s="1505">
        <v>10</v>
      </c>
      <c r="G54" s="1506">
        <f>R55</f>
        <v>0</v>
      </c>
      <c r="H54" s="1506">
        <f>G54</f>
        <v>0</v>
      </c>
      <c r="I54" s="1525">
        <f>ROUND(H54*F54/100,0)</f>
        <v>0</v>
      </c>
      <c r="J54" s="759"/>
      <c r="K54" s="56"/>
      <c r="L54" s="56"/>
      <c r="M54" s="1134"/>
      <c r="N54" s="57"/>
      <c r="O54" s="1565" t="s">
        <v>8173</v>
      </c>
      <c r="P54" s="21"/>
      <c r="Q54" s="777" t="s">
        <v>1922</v>
      </c>
      <c r="R54" s="20">
        <f>MAX(0,MAX(0,SUMIF(os.check,Q54,os.SourceAmount))-MAX(0,IF(MID(sheet1.ResidentialStatus1,1,3)="NRI",SUMIFS(os.DTAA_AmtChk,os.TRC,"=Yes",OS_DTAASectionCode,Q54),SUMIF(OS_DTAASectionCode,Q54,os.DTAA_AmtChk))))</f>
        <v>0</v>
      </c>
      <c r="S54" s="21"/>
      <c r="T54" s="21"/>
      <c r="U54" s="21"/>
      <c r="V54" s="21"/>
      <c r="W54" s="21"/>
      <c r="X54" s="21"/>
      <c r="Y54" s="21"/>
      <c r="Z54" s="21"/>
      <c r="AA54" s="21"/>
      <c r="AB54" s="778" t="s">
        <v>1197</v>
      </c>
      <c r="AC54" s="779">
        <f>F55</f>
        <v>20</v>
      </c>
      <c r="AD54" s="776">
        <f>G55</f>
        <v>0</v>
      </c>
      <c r="AE54" s="776">
        <f>H55</f>
        <v>0</v>
      </c>
      <c r="AF54" s="776">
        <f>I55</f>
        <v>0</v>
      </c>
      <c r="IU54" s="117"/>
      <c r="IV54"/>
    </row>
    <row r="55" spans="2:256" s="113" customFormat="1" ht="12.75" customHeight="1" x14ac:dyDescent="0.25">
      <c r="B55" s="1797"/>
      <c r="C55" s="406"/>
      <c r="D55" s="8">
        <f t="shared" si="0"/>
        <v>34</v>
      </c>
      <c r="E55" s="1515" t="s">
        <v>1652</v>
      </c>
      <c r="F55" s="1505">
        <v>20</v>
      </c>
      <c r="G55" s="1506">
        <f>R27</f>
        <v>0</v>
      </c>
      <c r="H55" s="1506">
        <f t="shared" si="8"/>
        <v>0</v>
      </c>
      <c r="I55" s="1525">
        <f t="shared" si="2"/>
        <v>0</v>
      </c>
      <c r="J55" s="759"/>
      <c r="K55" s="56"/>
      <c r="L55" s="56"/>
      <c r="M55" s="1134"/>
      <c r="N55" s="57"/>
      <c r="O55" s="1565" t="s">
        <v>1197</v>
      </c>
      <c r="P55" s="21"/>
      <c r="Q55" s="777" t="s">
        <v>8173</v>
      </c>
      <c r="R55" s="20">
        <f>MAX(0,MAX(0,SUMIF(os.check,Q55,os.SourceAmount))-MAX(0,IF(MID(sheet1.ResidentialStatus1,1,3)="NRI",SUMIFS(os.DTAA_AmtChk,os.TRC,"=Yes",os.DTAAcheck,Q55),SUMIF(os.DTAAcheck,Q55,os.DTAA_AmtChk))))</f>
        <v>0</v>
      </c>
      <c r="S55" s="21"/>
      <c r="T55" s="21"/>
      <c r="U55" s="21"/>
      <c r="V55" s="21"/>
      <c r="W55" s="21"/>
      <c r="X55" s="21"/>
      <c r="Y55" s="21"/>
      <c r="Z55" s="21"/>
      <c r="AA55" s="21"/>
      <c r="AB55" s="778" t="s">
        <v>7921</v>
      </c>
      <c r="AC55" s="776">
        <f>F52</f>
        <v>10</v>
      </c>
      <c r="AD55" s="776">
        <f>G51</f>
        <v>0</v>
      </c>
      <c r="AE55" s="776">
        <f>H51</f>
        <v>0</v>
      </c>
      <c r="AF55" s="776">
        <f>I51</f>
        <v>0</v>
      </c>
      <c r="IU55" s="117"/>
      <c r="IV55"/>
    </row>
    <row r="56" spans="2:256" s="113" customFormat="1" ht="30.75" customHeight="1" x14ac:dyDescent="0.25">
      <c r="B56" s="1797"/>
      <c r="C56" s="406"/>
      <c r="D56" s="8">
        <f t="shared" si="0"/>
        <v>35</v>
      </c>
      <c r="E56" s="1515" t="s">
        <v>1653</v>
      </c>
      <c r="F56" s="1505">
        <v>20</v>
      </c>
      <c r="G56" s="1506">
        <f>BFLAtemp20Sec11EA</f>
        <v>0</v>
      </c>
      <c r="H56" s="1506">
        <f t="shared" si="8"/>
        <v>0</v>
      </c>
      <c r="I56" s="1525">
        <f t="shared" si="2"/>
        <v>0</v>
      </c>
      <c r="J56" s="759"/>
      <c r="K56" s="56"/>
      <c r="L56" s="56"/>
      <c r="M56" s="1134"/>
      <c r="N56" s="57"/>
      <c r="O56" s="1565" t="s">
        <v>1921</v>
      </c>
      <c r="P56" s="21"/>
      <c r="Q56" s="20"/>
      <c r="R56" s="20"/>
      <c r="S56" s="21"/>
      <c r="T56" s="21"/>
      <c r="U56" s="21"/>
      <c r="V56" s="21"/>
      <c r="W56" s="21"/>
      <c r="X56" s="21"/>
      <c r="Y56" s="21"/>
      <c r="Z56" s="21"/>
      <c r="AA56" s="21"/>
      <c r="AB56" s="778" t="s">
        <v>8207</v>
      </c>
      <c r="AC56" s="776">
        <f>F54</f>
        <v>10</v>
      </c>
      <c r="AD56" s="776">
        <f>G53</f>
        <v>0</v>
      </c>
      <c r="AE56" s="776">
        <f>H53</f>
        <v>0</v>
      </c>
      <c r="AF56" s="776">
        <f>I53</f>
        <v>0</v>
      </c>
      <c r="IU56" s="117"/>
      <c r="IV56"/>
    </row>
    <row r="57" spans="2:256" s="113" customFormat="1" ht="29.25" customHeight="1" x14ac:dyDescent="0.25">
      <c r="B57" s="1797"/>
      <c r="C57" s="3710"/>
      <c r="D57" s="8">
        <f t="shared" si="0"/>
        <v>36</v>
      </c>
      <c r="E57" s="1515" t="s">
        <v>1654</v>
      </c>
      <c r="F57" s="1505">
        <v>10</v>
      </c>
      <c r="G57" s="1506">
        <f>BFLAtemp10Sec115Eb</f>
        <v>0</v>
      </c>
      <c r="H57" s="1506">
        <f t="shared" ref="H57:H63" si="17">G57</f>
        <v>0</v>
      </c>
      <c r="I57" s="1525">
        <f>ROUND(H57*F57/100,0)</f>
        <v>0</v>
      </c>
      <c r="J57" s="759"/>
      <c r="K57" s="56"/>
      <c r="L57" s="56"/>
      <c r="M57" s="1134"/>
      <c r="N57" s="57"/>
      <c r="O57" s="20" t="s">
        <v>1922</v>
      </c>
      <c r="P57" s="21"/>
      <c r="Q57" s="20"/>
      <c r="R57" s="20"/>
      <c r="S57" s="21"/>
      <c r="T57" s="21"/>
      <c r="U57" s="21"/>
      <c r="V57" s="21"/>
      <c r="W57" s="21"/>
      <c r="X57" s="21"/>
      <c r="Y57" s="21"/>
      <c r="Z57" s="21"/>
      <c r="AA57" s="21"/>
      <c r="AB57" s="778" t="s">
        <v>1921</v>
      </c>
      <c r="AC57" s="779">
        <f t="shared" ref="AC57:AF58" si="18">F56</f>
        <v>20</v>
      </c>
      <c r="AD57" s="776">
        <f t="shared" si="18"/>
        <v>0</v>
      </c>
      <c r="AE57" s="776">
        <f t="shared" si="18"/>
        <v>0</v>
      </c>
      <c r="AF57" s="776">
        <f t="shared" si="18"/>
        <v>0</v>
      </c>
      <c r="IU57" s="117"/>
      <c r="IV57"/>
    </row>
    <row r="58" spans="2:256" s="113" customFormat="1" ht="27" customHeight="1" x14ac:dyDescent="0.25">
      <c r="B58" s="1797"/>
      <c r="C58" s="3710"/>
      <c r="D58" s="8">
        <f t="shared" si="0"/>
        <v>37</v>
      </c>
      <c r="E58" s="1515" t="s">
        <v>9204</v>
      </c>
      <c r="F58" s="1505">
        <v>1</v>
      </c>
      <c r="G58" s="1506">
        <f>stcg.IncOfCurYrAfterSetOffBFLosses3b_DTAARates</f>
        <v>0</v>
      </c>
      <c r="H58" s="1506">
        <f t="shared" si="17"/>
        <v>0</v>
      </c>
      <c r="I58" s="1671">
        <v>0</v>
      </c>
      <c r="J58" s="759"/>
      <c r="K58" s="56"/>
      <c r="L58" s="56"/>
      <c r="M58" s="1134"/>
      <c r="N58" s="57"/>
      <c r="O58" s="1565" t="s">
        <v>9223</v>
      </c>
      <c r="P58" s="21"/>
      <c r="Q58" s="20"/>
      <c r="R58" s="20"/>
      <c r="S58" s="21"/>
      <c r="T58" s="21"/>
      <c r="U58" s="21"/>
      <c r="V58" s="21"/>
      <c r="W58" s="21"/>
      <c r="X58" s="21"/>
      <c r="Y58" s="21"/>
      <c r="Z58" s="21"/>
      <c r="AA58" s="21"/>
      <c r="AB58" s="778" t="s">
        <v>1922</v>
      </c>
      <c r="AC58" s="779">
        <f t="shared" si="18"/>
        <v>10</v>
      </c>
      <c r="AD58" s="776">
        <f t="shared" si="18"/>
        <v>0</v>
      </c>
      <c r="AE58" s="776">
        <f t="shared" si="18"/>
        <v>0</v>
      </c>
      <c r="AF58" s="776">
        <f t="shared" si="18"/>
        <v>0</v>
      </c>
      <c r="IU58" s="117"/>
      <c r="IV58"/>
    </row>
    <row r="59" spans="2:256" s="113" customFormat="1" ht="29.25" customHeight="1" x14ac:dyDescent="0.25">
      <c r="B59" s="1797"/>
      <c r="C59" s="3710"/>
      <c r="D59" s="8">
        <f t="shared" si="0"/>
        <v>38</v>
      </c>
      <c r="E59" s="1515" t="s">
        <v>9205</v>
      </c>
      <c r="F59" s="1505">
        <v>1</v>
      </c>
      <c r="G59" s="1506">
        <f>ltcg.IncOfCurYrAfterSetOffBFLosses_DTAARates</f>
        <v>0</v>
      </c>
      <c r="H59" s="1506">
        <f t="shared" si="17"/>
        <v>0</v>
      </c>
      <c r="I59" s="1671">
        <v>0</v>
      </c>
      <c r="J59" s="759"/>
      <c r="K59" s="56"/>
      <c r="L59" s="56"/>
      <c r="M59" s="1134"/>
      <c r="N59" s="57"/>
      <c r="O59" s="1565" t="s">
        <v>9224</v>
      </c>
      <c r="P59" s="21"/>
      <c r="Q59" s="20"/>
      <c r="R59" s="20"/>
      <c r="S59" s="21"/>
      <c r="T59" s="21"/>
      <c r="U59" s="21"/>
      <c r="V59" s="21"/>
      <c r="W59" s="21"/>
      <c r="X59" s="21"/>
      <c r="Y59" s="21"/>
      <c r="Z59" s="21"/>
      <c r="AA59" s="21"/>
      <c r="AB59" s="778" t="s">
        <v>1915</v>
      </c>
      <c r="AC59" s="776">
        <f>F29</f>
        <v>15</v>
      </c>
      <c r="AD59" s="776">
        <f>G29</f>
        <v>0</v>
      </c>
      <c r="AE59" s="776">
        <f>H29</f>
        <v>0</v>
      </c>
      <c r="AF59" s="776">
        <f>I29</f>
        <v>0</v>
      </c>
      <c r="IU59" s="117"/>
      <c r="IV59"/>
    </row>
    <row r="60" spans="2:256" s="113" customFormat="1" ht="29.25" customHeight="1" x14ac:dyDescent="0.25">
      <c r="B60" s="1797"/>
      <c r="C60" s="780"/>
      <c r="D60" s="8">
        <f t="shared" si="0"/>
        <v>39</v>
      </c>
      <c r="E60" s="1515" t="s">
        <v>13174</v>
      </c>
      <c r="F60" s="1505">
        <v>15</v>
      </c>
      <c r="G60" s="1506">
        <f>BFLAtempPTI15</f>
        <v>0</v>
      </c>
      <c r="H60" s="1506">
        <f>tempPTI15_exmp</f>
        <v>0</v>
      </c>
      <c r="I60" s="1525">
        <f>ROUND(H60*F60/100,0)</f>
        <v>0</v>
      </c>
      <c r="J60" s="759"/>
      <c r="K60" s="56"/>
      <c r="L60" s="56"/>
      <c r="M60" s="1134"/>
      <c r="N60" s="57"/>
      <c r="O60" s="778" t="s">
        <v>9527</v>
      </c>
      <c r="P60" s="21"/>
      <c r="Q60" s="20"/>
      <c r="R60" s="20"/>
      <c r="S60" s="21"/>
      <c r="T60" s="21"/>
      <c r="U60" s="21"/>
      <c r="V60" s="21"/>
      <c r="W60" s="21"/>
      <c r="X60" s="21"/>
      <c r="Y60" s="21"/>
      <c r="Z60" s="21"/>
      <c r="AA60" s="21"/>
      <c r="AB60" s="778" t="s">
        <v>9527</v>
      </c>
      <c r="AC60" s="776">
        <f t="shared" ref="AC60:AC72" si="19">F60</f>
        <v>15</v>
      </c>
      <c r="AD60" s="776">
        <f t="shared" ref="AD60:AD72" si="20">G60</f>
        <v>0</v>
      </c>
      <c r="AE60" s="776">
        <f t="shared" ref="AE60:AE72" si="21">H60</f>
        <v>0</v>
      </c>
      <c r="AF60" s="776">
        <f t="shared" ref="AF60:AF72" si="22">I60</f>
        <v>0</v>
      </c>
      <c r="IU60" s="117"/>
      <c r="IV60"/>
    </row>
    <row r="61" spans="2:256" s="113" customFormat="1" ht="25.5" x14ac:dyDescent="0.25">
      <c r="B61" s="1797"/>
      <c r="C61" s="780"/>
      <c r="D61" s="2504">
        <f>D60+1</f>
        <v>40</v>
      </c>
      <c r="E61" s="1515" t="s">
        <v>9316</v>
      </c>
      <c r="F61" s="1505">
        <v>30</v>
      </c>
      <c r="G61" s="1506">
        <f>BFLAtempPTI30</f>
        <v>0</v>
      </c>
      <c r="H61" s="1506">
        <f t="shared" si="17"/>
        <v>0</v>
      </c>
      <c r="I61" s="1525">
        <f>ROUND(H61*F61/100,0)</f>
        <v>0</v>
      </c>
      <c r="J61" s="759"/>
      <c r="K61" s="56"/>
      <c r="L61" s="56"/>
      <c r="M61" s="1134"/>
      <c r="N61" s="57"/>
      <c r="O61" s="778" t="s">
        <v>9528</v>
      </c>
      <c r="P61" s="21"/>
      <c r="Q61" s="20"/>
      <c r="R61" s="20"/>
      <c r="S61" s="21"/>
      <c r="T61" s="21"/>
      <c r="U61" s="21"/>
      <c r="V61" s="21"/>
      <c r="W61" s="21"/>
      <c r="X61" s="21"/>
      <c r="Y61" s="21"/>
      <c r="Z61" s="21"/>
      <c r="AA61" s="21"/>
      <c r="AB61" s="778" t="s">
        <v>9528</v>
      </c>
      <c r="AC61" s="776">
        <f t="shared" si="19"/>
        <v>30</v>
      </c>
      <c r="AD61" s="776">
        <f t="shared" si="20"/>
        <v>0</v>
      </c>
      <c r="AE61" s="776">
        <f t="shared" si="21"/>
        <v>0</v>
      </c>
      <c r="AF61" s="776">
        <f t="shared" si="22"/>
        <v>0</v>
      </c>
      <c r="IU61" s="117"/>
      <c r="IV61"/>
    </row>
    <row r="62" spans="2:256" s="113" customFormat="1" ht="25.5" x14ac:dyDescent="0.25">
      <c r="B62" s="1797"/>
      <c r="C62" s="780"/>
      <c r="D62" s="8">
        <f>D61+1</f>
        <v>41</v>
      </c>
      <c r="E62" s="1515" t="s">
        <v>12052</v>
      </c>
      <c r="F62" s="1505">
        <v>10</v>
      </c>
      <c r="G62" s="1506">
        <f>BFLAtempPTI10_112</f>
        <v>0</v>
      </c>
      <c r="H62" s="1506">
        <f>tempPTI112A_exmp</f>
        <v>0</v>
      </c>
      <c r="I62" s="1525">
        <f>ROUND(MAX(0,H62-P96)*F62/100,0)</f>
        <v>0</v>
      </c>
      <c r="J62" s="759"/>
      <c r="K62" s="56"/>
      <c r="L62" s="56"/>
      <c r="M62" s="1134"/>
      <c r="N62" s="57"/>
      <c r="O62" s="778" t="s">
        <v>12664</v>
      </c>
      <c r="P62" s="21"/>
      <c r="Q62" s="20"/>
      <c r="R62" s="20"/>
      <c r="S62" s="21"/>
      <c r="T62" s="21"/>
      <c r="U62" s="21"/>
      <c r="V62" s="21"/>
      <c r="W62" s="21"/>
      <c r="X62" s="21"/>
      <c r="Y62" s="21"/>
      <c r="Z62" s="21"/>
      <c r="AA62" s="21"/>
      <c r="AB62" s="778" t="s">
        <v>12664</v>
      </c>
      <c r="AC62" s="776">
        <f>F62</f>
        <v>10</v>
      </c>
      <c r="AD62" s="776">
        <f>G62</f>
        <v>0</v>
      </c>
      <c r="AE62" s="776">
        <f>H62</f>
        <v>0</v>
      </c>
      <c r="AF62" s="776">
        <f>I62</f>
        <v>0</v>
      </c>
      <c r="IU62" s="117"/>
      <c r="IV62"/>
    </row>
    <row r="63" spans="2:256" s="113" customFormat="1" ht="25.5" x14ac:dyDescent="0.25">
      <c r="B63" s="1797"/>
      <c r="C63" s="780"/>
      <c r="D63" s="8">
        <f>D62+1</f>
        <v>42</v>
      </c>
      <c r="E63" s="1515" t="s">
        <v>12053</v>
      </c>
      <c r="F63" s="1505">
        <v>10</v>
      </c>
      <c r="G63" s="1506">
        <f>BFLAtempPTI10</f>
        <v>0</v>
      </c>
      <c r="H63" s="1506">
        <f t="shared" si="17"/>
        <v>0</v>
      </c>
      <c r="I63" s="1525">
        <f>ROUND(H63*F63/100,0)</f>
        <v>0</v>
      </c>
      <c r="J63" s="759"/>
      <c r="K63" s="56"/>
      <c r="L63" s="56"/>
      <c r="M63" s="1134"/>
      <c r="N63" s="57"/>
      <c r="O63" s="778" t="s">
        <v>9529</v>
      </c>
      <c r="P63" s="21"/>
      <c r="Q63" s="20"/>
      <c r="R63" s="20"/>
      <c r="S63" s="21"/>
      <c r="T63" s="21"/>
      <c r="U63" s="21"/>
      <c r="V63" s="21"/>
      <c r="W63" s="21"/>
      <c r="X63" s="21"/>
      <c r="Y63" s="21"/>
      <c r="Z63" s="21"/>
      <c r="AA63" s="21"/>
      <c r="AB63" s="778" t="s">
        <v>9529</v>
      </c>
      <c r="AC63" s="776">
        <f t="shared" si="19"/>
        <v>10</v>
      </c>
      <c r="AD63" s="776">
        <f t="shared" si="20"/>
        <v>0</v>
      </c>
      <c r="AE63" s="776">
        <f t="shared" si="21"/>
        <v>0</v>
      </c>
      <c r="AF63" s="776">
        <f t="shared" si="22"/>
        <v>0</v>
      </c>
      <c r="IU63" s="117"/>
      <c r="IV63"/>
    </row>
    <row r="64" spans="2:256" s="113" customFormat="1" ht="25.5" x14ac:dyDescent="0.25">
      <c r="B64" s="1797"/>
      <c r="C64" s="1943"/>
      <c r="D64" s="8">
        <f t="shared" si="0"/>
        <v>43</v>
      </c>
      <c r="E64" s="1515" t="s">
        <v>9317</v>
      </c>
      <c r="F64" s="1505">
        <v>20</v>
      </c>
      <c r="G64" s="1506">
        <f>BFLAtempPTI20</f>
        <v>0</v>
      </c>
      <c r="H64" s="1506">
        <f>G64</f>
        <v>0</v>
      </c>
      <c r="I64" s="1525">
        <f>ROUND(H64*F64/100,0)</f>
        <v>0</v>
      </c>
      <c r="J64" s="759"/>
      <c r="K64" s="56"/>
      <c r="L64" s="56"/>
      <c r="M64" s="1134"/>
      <c r="N64" s="57"/>
      <c r="O64" s="778" t="s">
        <v>9530</v>
      </c>
      <c r="P64" s="21"/>
      <c r="Q64" s="20"/>
      <c r="R64" s="20"/>
      <c r="S64" s="21"/>
      <c r="T64" s="21"/>
      <c r="U64" s="21"/>
      <c r="V64" s="21"/>
      <c r="W64" s="21"/>
      <c r="X64" s="21"/>
      <c r="Y64" s="21"/>
      <c r="Z64" s="21"/>
      <c r="AA64" s="21"/>
      <c r="AB64" s="778" t="s">
        <v>9530</v>
      </c>
      <c r="AC64" s="776">
        <f t="shared" si="19"/>
        <v>20</v>
      </c>
      <c r="AD64" s="776">
        <f t="shared" si="20"/>
        <v>0</v>
      </c>
      <c r="AE64" s="776">
        <f t="shared" si="21"/>
        <v>0</v>
      </c>
      <c r="AF64" s="776">
        <f t="shared" si="22"/>
        <v>0</v>
      </c>
      <c r="IU64" s="117"/>
      <c r="IV64"/>
    </row>
    <row r="65" spans="2:256" s="113" customFormat="1" x14ac:dyDescent="0.25">
      <c r="B65" s="1797"/>
      <c r="C65" s="780"/>
      <c r="D65" s="8">
        <f t="shared" si="0"/>
        <v>44</v>
      </c>
      <c r="E65" s="1515" t="s">
        <v>9652</v>
      </c>
      <c r="F65" s="1505">
        <v>20</v>
      </c>
      <c r="G65" s="1506">
        <f>MAX((Os_PTI_5A1ai-Os_PTI_5A1ai_DTAA),0)</f>
        <v>0</v>
      </c>
      <c r="H65" s="1506">
        <f t="shared" ref="H65:H92" si="23">G65</f>
        <v>0</v>
      </c>
      <c r="I65" s="1525">
        <f t="shared" ref="I65:I92" si="24">ROUND(H65*F65/100,0)</f>
        <v>0</v>
      </c>
      <c r="J65" s="759"/>
      <c r="K65" s="56"/>
      <c r="L65" s="56"/>
      <c r="M65" s="1134"/>
      <c r="N65" s="57"/>
      <c r="O65" s="778" t="s">
        <v>9496</v>
      </c>
      <c r="P65" s="21"/>
      <c r="Q65" s="20"/>
      <c r="R65" s="20"/>
      <c r="S65" s="21"/>
      <c r="T65" s="21"/>
      <c r="U65" s="21"/>
      <c r="V65" s="21"/>
      <c r="W65" s="21"/>
      <c r="X65" s="21"/>
      <c r="Y65" s="21"/>
      <c r="Z65" s="21"/>
      <c r="AA65" s="21"/>
      <c r="AB65" s="778" t="s">
        <v>9496</v>
      </c>
      <c r="AC65" s="776">
        <f t="shared" si="19"/>
        <v>20</v>
      </c>
      <c r="AD65" s="776">
        <f t="shared" si="20"/>
        <v>0</v>
      </c>
      <c r="AE65" s="776">
        <f t="shared" si="21"/>
        <v>0</v>
      </c>
      <c r="AF65" s="776">
        <f t="shared" si="22"/>
        <v>0</v>
      </c>
      <c r="IU65" s="117"/>
      <c r="IV65"/>
    </row>
    <row r="66" spans="2:256" s="113" customFormat="1" x14ac:dyDescent="0.25">
      <c r="B66" s="1797"/>
      <c r="C66" s="780"/>
      <c r="D66" s="8">
        <f t="shared" si="0"/>
        <v>45</v>
      </c>
      <c r="E66" s="1515" t="s">
        <v>9653</v>
      </c>
      <c r="F66" s="1505">
        <v>20</v>
      </c>
      <c r="G66" s="1506">
        <f>MAX((Os_PTI_5A1aii-Os_PTI_5A1aii_DTAA),0)</f>
        <v>0</v>
      </c>
      <c r="H66" s="1506">
        <f t="shared" si="23"/>
        <v>0</v>
      </c>
      <c r="I66" s="1525">
        <f t="shared" si="24"/>
        <v>0</v>
      </c>
      <c r="J66" s="759"/>
      <c r="K66" s="56"/>
      <c r="L66" s="56"/>
      <c r="M66" s="1134"/>
      <c r="N66" s="57"/>
      <c r="O66" s="778" t="s">
        <v>9497</v>
      </c>
      <c r="P66" s="21"/>
      <c r="Q66" s="20"/>
      <c r="R66" s="20"/>
      <c r="S66" s="21"/>
      <c r="T66" s="21"/>
      <c r="U66" s="21"/>
      <c r="V66" s="21"/>
      <c r="W66" s="21"/>
      <c r="X66" s="21"/>
      <c r="Y66" s="21"/>
      <c r="Z66" s="21"/>
      <c r="AA66" s="21"/>
      <c r="AB66" s="778" t="s">
        <v>9497</v>
      </c>
      <c r="AC66" s="776">
        <f t="shared" si="19"/>
        <v>20</v>
      </c>
      <c r="AD66" s="776">
        <f t="shared" si="20"/>
        <v>0</v>
      </c>
      <c r="AE66" s="776">
        <f t="shared" si="21"/>
        <v>0</v>
      </c>
      <c r="AF66" s="776">
        <f t="shared" si="22"/>
        <v>0</v>
      </c>
      <c r="IU66" s="117"/>
      <c r="IV66"/>
    </row>
    <row r="67" spans="2:256" s="113" customFormat="1" ht="25.5" x14ac:dyDescent="0.25">
      <c r="B67" s="1797"/>
      <c r="C67" s="780"/>
      <c r="D67" s="8">
        <f t="shared" si="0"/>
        <v>46</v>
      </c>
      <c r="E67" s="1515" t="s">
        <v>12702</v>
      </c>
      <c r="F67" s="1505">
        <v>5</v>
      </c>
      <c r="G67" s="1506">
        <f>MAX((Os_PTI_5A1aiia-Os_PTI_5A1aiia_DTAA),0)</f>
        <v>0</v>
      </c>
      <c r="H67" s="1506">
        <f t="shared" si="23"/>
        <v>0</v>
      </c>
      <c r="I67" s="1525">
        <f t="shared" si="24"/>
        <v>0</v>
      </c>
      <c r="J67" s="759"/>
      <c r="K67" s="56"/>
      <c r="L67" s="56"/>
      <c r="M67" s="1134"/>
      <c r="N67" s="57"/>
      <c r="O67" s="778" t="s">
        <v>9498</v>
      </c>
      <c r="P67" s="21"/>
      <c r="Q67" s="20"/>
      <c r="R67" s="20"/>
      <c r="S67" s="21"/>
      <c r="T67" s="21"/>
      <c r="U67" s="21"/>
      <c r="V67" s="21"/>
      <c r="W67" s="21"/>
      <c r="X67" s="21"/>
      <c r="Y67" s="21"/>
      <c r="Z67" s="21"/>
      <c r="AA67" s="21"/>
      <c r="AB67" s="778" t="s">
        <v>9498</v>
      </c>
      <c r="AC67" s="776">
        <f t="shared" si="19"/>
        <v>5</v>
      </c>
      <c r="AD67" s="776">
        <f t="shared" si="20"/>
        <v>0</v>
      </c>
      <c r="AE67" s="776">
        <f t="shared" si="21"/>
        <v>0</v>
      </c>
      <c r="AF67" s="776">
        <f t="shared" si="22"/>
        <v>0</v>
      </c>
      <c r="IU67" s="117"/>
      <c r="IV67"/>
    </row>
    <row r="68" spans="2:256" s="113" customFormat="1" ht="25.5" x14ac:dyDescent="0.25">
      <c r="B68" s="1797"/>
      <c r="C68" s="780"/>
      <c r="D68" s="8">
        <f t="shared" si="0"/>
        <v>47</v>
      </c>
      <c r="E68" s="1515" t="s">
        <v>9654</v>
      </c>
      <c r="F68" s="1505">
        <v>5</v>
      </c>
      <c r="G68" s="1506">
        <f>MAX((Os_PTI_5A1aiiaa-Os_PTI_5A1aiiaa_DTAA),0)</f>
        <v>0</v>
      </c>
      <c r="H68" s="1506">
        <f t="shared" si="23"/>
        <v>0</v>
      </c>
      <c r="I68" s="1525">
        <f t="shared" si="24"/>
        <v>0</v>
      </c>
      <c r="J68" s="759"/>
      <c r="K68" s="56"/>
      <c r="L68" s="56"/>
      <c r="M68" s="1134"/>
      <c r="N68" s="57"/>
      <c r="O68" s="778" t="s">
        <v>9499</v>
      </c>
      <c r="P68" s="21"/>
      <c r="Q68" s="20"/>
      <c r="R68" s="20"/>
      <c r="S68" s="21"/>
      <c r="T68" s="21"/>
      <c r="U68" s="21"/>
      <c r="V68" s="21"/>
      <c r="W68" s="21"/>
      <c r="X68" s="21"/>
      <c r="Y68" s="21"/>
      <c r="Z68" s="21"/>
      <c r="AA68" s="21"/>
      <c r="AB68" s="778" t="s">
        <v>9499</v>
      </c>
      <c r="AC68" s="776">
        <f t="shared" si="19"/>
        <v>5</v>
      </c>
      <c r="AD68" s="776">
        <f t="shared" si="20"/>
        <v>0</v>
      </c>
      <c r="AE68" s="776">
        <f t="shared" si="21"/>
        <v>0</v>
      </c>
      <c r="AF68" s="776">
        <f t="shared" si="22"/>
        <v>0</v>
      </c>
      <c r="IU68" s="117"/>
      <c r="IV68"/>
    </row>
    <row r="69" spans="2:256" s="113" customFormat="1" ht="25.5" x14ac:dyDescent="0.25">
      <c r="B69" s="1797"/>
      <c r="C69" s="780"/>
      <c r="D69" s="8">
        <f t="shared" si="0"/>
        <v>48</v>
      </c>
      <c r="E69" s="1515" t="s">
        <v>9655</v>
      </c>
      <c r="F69" s="1505">
        <v>5</v>
      </c>
      <c r="G69" s="1506">
        <f>MAX((Os_PTI_5A1aiiab-Os_PTI_5A1aiiab_DTAA),0)</f>
        <v>0</v>
      </c>
      <c r="H69" s="1506">
        <f t="shared" si="23"/>
        <v>0</v>
      </c>
      <c r="I69" s="1525">
        <f t="shared" si="24"/>
        <v>0</v>
      </c>
      <c r="J69" s="759"/>
      <c r="K69" s="56"/>
      <c r="L69" s="56"/>
      <c r="M69" s="1134"/>
      <c r="N69" s="57"/>
      <c r="O69" s="778" t="s">
        <v>9500</v>
      </c>
      <c r="P69" s="21"/>
      <c r="Q69" s="20"/>
      <c r="R69" s="20"/>
      <c r="S69" s="21"/>
      <c r="T69" s="21"/>
      <c r="U69" s="21"/>
      <c r="V69" s="21"/>
      <c r="W69" s="21"/>
      <c r="X69" s="21"/>
      <c r="Y69" s="21"/>
      <c r="Z69" s="21"/>
      <c r="AA69" s="21"/>
      <c r="AB69" s="778" t="s">
        <v>9500</v>
      </c>
      <c r="AC69" s="776">
        <f t="shared" si="19"/>
        <v>5</v>
      </c>
      <c r="AD69" s="776">
        <f t="shared" si="20"/>
        <v>0</v>
      </c>
      <c r="AE69" s="776">
        <f t="shared" si="21"/>
        <v>0</v>
      </c>
      <c r="AF69" s="776">
        <f t="shared" si="22"/>
        <v>0</v>
      </c>
      <c r="IU69" s="117"/>
      <c r="IV69"/>
    </row>
    <row r="70" spans="2:256" s="113" customFormat="1" ht="27.75" customHeight="1" x14ac:dyDescent="0.25">
      <c r="B70" s="1797"/>
      <c r="C70" s="780"/>
      <c r="D70" s="8">
        <f t="shared" si="0"/>
        <v>49</v>
      </c>
      <c r="E70" s="1515" t="s">
        <v>9656</v>
      </c>
      <c r="F70" s="1505">
        <v>5</v>
      </c>
      <c r="G70" s="1506">
        <f>MAX((Os_PTI_5A1aiiac-Os_PTI_5A1aiiac_DTAA),0)</f>
        <v>0</v>
      </c>
      <c r="H70" s="1506">
        <f t="shared" si="23"/>
        <v>0</v>
      </c>
      <c r="I70" s="1525">
        <f t="shared" si="24"/>
        <v>0</v>
      </c>
      <c r="J70" s="759"/>
      <c r="K70" s="56"/>
      <c r="L70" s="56"/>
      <c r="M70" s="1134"/>
      <c r="N70" s="57"/>
      <c r="O70" s="778" t="s">
        <v>9501</v>
      </c>
      <c r="P70" s="21"/>
      <c r="Q70" s="20"/>
      <c r="R70" s="20"/>
      <c r="S70" s="21"/>
      <c r="T70" s="21"/>
      <c r="U70" s="21"/>
      <c r="V70" s="21"/>
      <c r="W70" s="21"/>
      <c r="X70" s="21"/>
      <c r="Y70" s="21"/>
      <c r="Z70" s="21"/>
      <c r="AA70" s="21"/>
      <c r="AB70" s="778" t="s">
        <v>9501</v>
      </c>
      <c r="AC70" s="776">
        <f t="shared" si="19"/>
        <v>5</v>
      </c>
      <c r="AD70" s="776">
        <f t="shared" si="20"/>
        <v>0</v>
      </c>
      <c r="AE70" s="776">
        <f t="shared" si="21"/>
        <v>0</v>
      </c>
      <c r="AF70" s="776">
        <f t="shared" si="22"/>
        <v>0</v>
      </c>
      <c r="IU70" s="117"/>
      <c r="IV70"/>
    </row>
    <row r="71" spans="2:256" s="113" customFormat="1" ht="25.5" x14ac:dyDescent="0.25">
      <c r="B71" s="1797"/>
      <c r="C71" s="780"/>
      <c r="D71" s="8">
        <f>D69+1</f>
        <v>49</v>
      </c>
      <c r="E71" s="1515" t="s">
        <v>9657</v>
      </c>
      <c r="F71" s="1505">
        <v>20</v>
      </c>
      <c r="G71" s="1506">
        <f>MAX((Os_PTI_5A1aiii-Os_PTI_5A1aiii_DTAA),0)</f>
        <v>0</v>
      </c>
      <c r="H71" s="1506">
        <f t="shared" si="23"/>
        <v>0</v>
      </c>
      <c r="I71" s="1525">
        <f t="shared" si="24"/>
        <v>0</v>
      </c>
      <c r="J71" s="759"/>
      <c r="K71" s="56"/>
      <c r="L71" s="56"/>
      <c r="M71" s="1134"/>
      <c r="N71" s="57"/>
      <c r="O71" s="778" t="s">
        <v>9502</v>
      </c>
      <c r="P71" s="21"/>
      <c r="Q71" s="20"/>
      <c r="R71" s="20"/>
      <c r="S71" s="21"/>
      <c r="T71" s="21"/>
      <c r="U71" s="21"/>
      <c r="V71" s="21"/>
      <c r="W71" s="21"/>
      <c r="X71" s="21"/>
      <c r="Y71" s="21"/>
      <c r="Z71" s="21"/>
      <c r="AA71" s="21"/>
      <c r="AB71" s="778" t="s">
        <v>9502</v>
      </c>
      <c r="AC71" s="776">
        <f t="shared" si="19"/>
        <v>20</v>
      </c>
      <c r="AD71" s="776">
        <f t="shared" si="20"/>
        <v>0</v>
      </c>
      <c r="AE71" s="776">
        <f t="shared" si="21"/>
        <v>0</v>
      </c>
      <c r="AF71" s="776">
        <f t="shared" si="22"/>
        <v>0</v>
      </c>
      <c r="IU71" s="117"/>
      <c r="IV71"/>
    </row>
    <row r="72" spans="2:256" s="113" customFormat="1" ht="25.5" x14ac:dyDescent="0.25">
      <c r="B72" s="1797"/>
      <c r="C72" s="780"/>
      <c r="D72" s="8">
        <f t="shared" si="0"/>
        <v>50</v>
      </c>
      <c r="E72" s="1515" t="s">
        <v>12725</v>
      </c>
      <c r="F72" s="1505">
        <v>10</v>
      </c>
      <c r="G72" s="1506">
        <f>MAX((Os_PTI_5A1bA-Os_PTI_5A1aibA_DTAA),0)</f>
        <v>0</v>
      </c>
      <c r="H72" s="1506">
        <f t="shared" si="23"/>
        <v>0</v>
      </c>
      <c r="I72" s="1525">
        <f t="shared" si="24"/>
        <v>0</v>
      </c>
      <c r="J72" s="759"/>
      <c r="K72" s="56"/>
      <c r="L72" s="56"/>
      <c r="M72" s="1134"/>
      <c r="N72" s="57"/>
      <c r="O72" s="778" t="s">
        <v>9503</v>
      </c>
      <c r="P72" s="21"/>
      <c r="Q72" s="20"/>
      <c r="R72" s="20"/>
      <c r="S72" s="21"/>
      <c r="T72" s="21"/>
      <c r="U72" s="21"/>
      <c r="V72" s="21"/>
      <c r="W72" s="21"/>
      <c r="X72" s="21"/>
      <c r="Y72" s="21"/>
      <c r="Z72" s="21"/>
      <c r="AA72" s="21"/>
      <c r="AB72" s="778" t="s">
        <v>9503</v>
      </c>
      <c r="AC72" s="776">
        <f t="shared" si="19"/>
        <v>10</v>
      </c>
      <c r="AD72" s="776">
        <f t="shared" si="20"/>
        <v>0</v>
      </c>
      <c r="AE72" s="776">
        <f t="shared" si="21"/>
        <v>0</v>
      </c>
      <c r="AF72" s="776">
        <f t="shared" si="22"/>
        <v>0</v>
      </c>
      <c r="IU72" s="117"/>
      <c r="IV72"/>
    </row>
    <row r="73" spans="2:256" s="113" customFormat="1" ht="25.5" x14ac:dyDescent="0.25">
      <c r="B73" s="1797"/>
      <c r="C73" s="780"/>
      <c r="D73" s="8">
        <f>D72+1</f>
        <v>51</v>
      </c>
      <c r="E73" s="1515" t="s">
        <v>13269</v>
      </c>
      <c r="F73" s="1505">
        <v>10</v>
      </c>
      <c r="G73" s="1506">
        <f>MAX((OS_PTI_5AC1ab-Os_PTI_5AC1ab_DTAA),0)</f>
        <v>0</v>
      </c>
      <c r="H73" s="1506">
        <f t="shared" si="23"/>
        <v>0</v>
      </c>
      <c r="I73" s="1525">
        <f t="shared" si="24"/>
        <v>0</v>
      </c>
      <c r="J73" s="759"/>
      <c r="K73" s="56"/>
      <c r="L73" s="56"/>
      <c r="M73" s="1134"/>
      <c r="N73" s="57"/>
      <c r="O73" s="778" t="s">
        <v>13264</v>
      </c>
      <c r="P73" s="21"/>
      <c r="Q73" s="20"/>
      <c r="R73" s="20"/>
      <c r="S73" s="21"/>
      <c r="T73" s="21"/>
      <c r="U73" s="21"/>
      <c r="V73" s="21"/>
      <c r="W73" s="21"/>
      <c r="X73" s="21"/>
      <c r="Y73" s="21"/>
      <c r="Z73" s="21"/>
      <c r="AA73" s="21"/>
      <c r="AB73" s="778" t="s">
        <v>13264</v>
      </c>
      <c r="AC73" s="776">
        <f t="shared" ref="AC73:AC92" si="25">F73</f>
        <v>10</v>
      </c>
      <c r="AD73" s="776">
        <f t="shared" ref="AD73:AD83" si="26">G73</f>
        <v>0</v>
      </c>
      <c r="AE73" s="776">
        <f t="shared" ref="AE73:AE83" si="27">H73</f>
        <v>0</v>
      </c>
      <c r="AF73" s="776">
        <f t="shared" ref="AF73:AF82" si="28">I73</f>
        <v>0</v>
      </c>
      <c r="IU73" s="117"/>
      <c r="IV73"/>
    </row>
    <row r="74" spans="2:256" s="113" customFormat="1" ht="76.5" customHeight="1" x14ac:dyDescent="0.25">
      <c r="B74" s="1797"/>
      <c r="C74" s="780"/>
      <c r="D74" s="8">
        <f t="shared" si="0"/>
        <v>52</v>
      </c>
      <c r="E74" s="1515" t="s">
        <v>9658</v>
      </c>
      <c r="F74" s="1505">
        <v>10</v>
      </c>
      <c r="G74" s="1506">
        <f>MAX((OS_PTI_5ACA1a-Os_PTI_5ACA1a_DTAA),0)</f>
        <v>0</v>
      </c>
      <c r="H74" s="1506">
        <f t="shared" si="23"/>
        <v>0</v>
      </c>
      <c r="I74" s="1525">
        <f t="shared" si="24"/>
        <v>0</v>
      </c>
      <c r="J74" s="759"/>
      <c r="K74" s="56"/>
      <c r="L74" s="56"/>
      <c r="M74" s="1134"/>
      <c r="N74" s="57"/>
      <c r="O74" s="778" t="s">
        <v>9507</v>
      </c>
      <c r="P74" s="21"/>
      <c r="Q74" s="20"/>
      <c r="R74" s="20"/>
      <c r="S74" s="21"/>
      <c r="T74" s="21"/>
      <c r="U74" s="21"/>
      <c r="V74" s="21"/>
      <c r="W74" s="21"/>
      <c r="X74" s="21"/>
      <c r="Y74" s="21"/>
      <c r="Z74" s="21"/>
      <c r="AA74" s="21"/>
      <c r="AB74" s="778" t="s">
        <v>9507</v>
      </c>
      <c r="AC74" s="776">
        <f t="shared" si="25"/>
        <v>10</v>
      </c>
      <c r="AD74" s="776">
        <f t="shared" si="26"/>
        <v>0</v>
      </c>
      <c r="AE74" s="776">
        <f t="shared" si="27"/>
        <v>0</v>
      </c>
      <c r="AF74" s="776">
        <f t="shared" si="28"/>
        <v>0</v>
      </c>
      <c r="IU74" s="117"/>
      <c r="IV74"/>
    </row>
    <row r="75" spans="2:256" s="113" customFormat="1" ht="25.5" x14ac:dyDescent="0.25">
      <c r="B75" s="1797"/>
      <c r="C75" s="780"/>
      <c r="D75" s="8">
        <f>D74+1</f>
        <v>53</v>
      </c>
      <c r="E75" s="1515" t="s">
        <v>12981</v>
      </c>
      <c r="F75" s="1505">
        <v>20</v>
      </c>
      <c r="G75" s="1506">
        <f>MAX((OS_PTI_5AD1i-Os_PTI_5AD1i_DTAA),0)</f>
        <v>0</v>
      </c>
      <c r="H75" s="1506">
        <f t="shared" si="23"/>
        <v>0</v>
      </c>
      <c r="I75" s="1525">
        <f t="shared" si="24"/>
        <v>0</v>
      </c>
      <c r="J75" s="759"/>
      <c r="K75" s="56"/>
      <c r="L75" s="56"/>
      <c r="M75" s="1134"/>
      <c r="N75" s="57"/>
      <c r="O75" s="778" t="s">
        <v>9505</v>
      </c>
      <c r="P75" s="21"/>
      <c r="Q75" s="20"/>
      <c r="R75" s="20"/>
      <c r="S75" s="21"/>
      <c r="T75" s="21"/>
      <c r="U75" s="21"/>
      <c r="V75" s="21"/>
      <c r="W75" s="21"/>
      <c r="X75" s="21"/>
      <c r="Y75" s="21"/>
      <c r="Z75" s="21"/>
      <c r="AA75" s="21"/>
      <c r="AB75" s="778" t="s">
        <v>9505</v>
      </c>
      <c r="AC75" s="776">
        <f t="shared" si="25"/>
        <v>20</v>
      </c>
      <c r="AD75" s="776">
        <f t="shared" si="26"/>
        <v>0</v>
      </c>
      <c r="AE75" s="776">
        <f t="shared" si="27"/>
        <v>0</v>
      </c>
      <c r="AF75" s="776">
        <f t="shared" si="28"/>
        <v>0</v>
      </c>
      <c r="IU75" s="117"/>
      <c r="IV75"/>
    </row>
    <row r="76" spans="2:256" s="113" customFormat="1" ht="25.5" x14ac:dyDescent="0.25">
      <c r="B76" s="1797"/>
      <c r="C76" s="780"/>
      <c r="D76" s="8">
        <f t="shared" si="0"/>
        <v>54</v>
      </c>
      <c r="E76" s="1515" t="s">
        <v>9524</v>
      </c>
      <c r="F76" s="1505">
        <v>5</v>
      </c>
      <c r="G76" s="1506">
        <f>MAX((OS_PTI_5AD1iP-Os_PTI_5AD1iP_DTAA),0)</f>
        <v>0</v>
      </c>
      <c r="H76" s="1506">
        <f t="shared" si="23"/>
        <v>0</v>
      </c>
      <c r="I76" s="1525">
        <f t="shared" si="24"/>
        <v>0</v>
      </c>
      <c r="J76" s="759"/>
      <c r="K76" s="56"/>
      <c r="L76" s="56"/>
      <c r="M76" s="1134"/>
      <c r="N76" s="57"/>
      <c r="O76" s="778" t="s">
        <v>9506</v>
      </c>
      <c r="P76" s="21"/>
      <c r="Q76" s="20"/>
      <c r="R76" s="20"/>
      <c r="S76" s="21"/>
      <c r="T76" s="21"/>
      <c r="U76" s="21"/>
      <c r="V76" s="21"/>
      <c r="W76" s="21"/>
      <c r="X76" s="21"/>
      <c r="Y76" s="21"/>
      <c r="Z76" s="21"/>
      <c r="AA76" s="21"/>
      <c r="AB76" s="778" t="s">
        <v>9506</v>
      </c>
      <c r="AC76" s="776">
        <f t="shared" si="25"/>
        <v>5</v>
      </c>
      <c r="AD76" s="776">
        <f t="shared" si="26"/>
        <v>0</v>
      </c>
      <c r="AE76" s="776">
        <f t="shared" si="27"/>
        <v>0</v>
      </c>
      <c r="AF76" s="776">
        <f t="shared" si="28"/>
        <v>0</v>
      </c>
      <c r="IU76" s="117"/>
      <c r="IV76"/>
    </row>
    <row r="77" spans="2:256" s="113" customFormat="1" ht="63.75" hidden="1" customHeight="1" x14ac:dyDescent="0.25">
      <c r="B77" s="1797"/>
      <c r="C77" s="780"/>
      <c r="D77" s="8">
        <v>58</v>
      </c>
      <c r="E77" s="1515" t="s">
        <v>9662</v>
      </c>
      <c r="F77" s="1505">
        <v>30</v>
      </c>
      <c r="G77" s="1506">
        <v>0</v>
      </c>
      <c r="H77" s="1506">
        <f t="shared" si="23"/>
        <v>0</v>
      </c>
      <c r="I77" s="1525">
        <v>0</v>
      </c>
      <c r="J77" s="759"/>
      <c r="K77" s="56"/>
      <c r="L77" s="56"/>
      <c r="M77" s="1134"/>
      <c r="N77" s="57"/>
      <c r="O77" s="778" t="s">
        <v>9514</v>
      </c>
      <c r="P77" s="21"/>
      <c r="Q77" s="20"/>
      <c r="R77" s="20"/>
      <c r="S77" s="21"/>
      <c r="T77" s="21"/>
      <c r="U77" s="21"/>
      <c r="V77" s="21"/>
      <c r="W77" s="21"/>
      <c r="X77" s="21"/>
      <c r="Y77" s="21"/>
      <c r="Z77" s="21"/>
      <c r="AA77" s="21"/>
      <c r="AB77" s="778" t="s">
        <v>9514</v>
      </c>
      <c r="AC77" s="776">
        <f t="shared" si="25"/>
        <v>30</v>
      </c>
      <c r="AD77" s="776">
        <f t="shared" si="26"/>
        <v>0</v>
      </c>
      <c r="AE77" s="776">
        <f t="shared" si="27"/>
        <v>0</v>
      </c>
      <c r="AF77" s="776">
        <f t="shared" si="28"/>
        <v>0</v>
      </c>
      <c r="IU77" s="117"/>
      <c r="IV77"/>
    </row>
    <row r="78" spans="2:256" s="113" customFormat="1" ht="25.5" x14ac:dyDescent="0.25">
      <c r="B78" s="1797"/>
      <c r="C78" s="780"/>
      <c r="D78" s="8">
        <f t="shared" si="0"/>
        <v>59</v>
      </c>
      <c r="E78" s="1515" t="s">
        <v>13137</v>
      </c>
      <c r="F78" s="1505">
        <v>20</v>
      </c>
      <c r="G78" s="1537">
        <f>MAX((OS_PTI_5BBA-Os_PTI_5BBA_DTAA),0)</f>
        <v>0</v>
      </c>
      <c r="H78" s="1506">
        <f t="shared" si="23"/>
        <v>0</v>
      </c>
      <c r="I78" s="1525">
        <f t="shared" si="24"/>
        <v>0</v>
      </c>
      <c r="J78" s="759"/>
      <c r="K78" s="56"/>
      <c r="L78" s="56"/>
      <c r="M78" s="1134"/>
      <c r="N78" s="57"/>
      <c r="O78" s="778" t="s">
        <v>9508</v>
      </c>
      <c r="P78" s="21"/>
      <c r="Q78" s="20"/>
      <c r="R78" s="20"/>
      <c r="S78" s="21"/>
      <c r="T78" s="21"/>
      <c r="U78" s="21"/>
      <c r="V78" s="21"/>
      <c r="W78" s="21"/>
      <c r="X78" s="21"/>
      <c r="Y78" s="21"/>
      <c r="Z78" s="21"/>
      <c r="AA78" s="21"/>
      <c r="AB78" s="778" t="s">
        <v>9508</v>
      </c>
      <c r="AC78" s="776">
        <f t="shared" si="25"/>
        <v>20</v>
      </c>
      <c r="AD78" s="776">
        <f t="shared" si="26"/>
        <v>0</v>
      </c>
      <c r="AE78" s="776">
        <f t="shared" si="27"/>
        <v>0</v>
      </c>
      <c r="AF78" s="776">
        <f t="shared" si="28"/>
        <v>0</v>
      </c>
      <c r="IU78" s="117"/>
      <c r="IV78"/>
    </row>
    <row r="79" spans="2:256" s="113" customFormat="1" ht="19.5" hidden="1" customHeight="1" x14ac:dyDescent="0.25">
      <c r="B79" s="1797"/>
      <c r="C79" s="780"/>
      <c r="D79" s="8">
        <f t="shared" si="0"/>
        <v>60</v>
      </c>
      <c r="E79" s="1515" t="s">
        <v>9659</v>
      </c>
      <c r="F79" s="1505">
        <v>30</v>
      </c>
      <c r="G79" s="1506">
        <f>MAX((OS_PTI_5BBC-Os_PTI_5BBC_DTAA),0)</f>
        <v>0</v>
      </c>
      <c r="H79" s="1506">
        <f t="shared" si="23"/>
        <v>0</v>
      </c>
      <c r="I79" s="1525">
        <f t="shared" si="24"/>
        <v>0</v>
      </c>
      <c r="J79" s="759"/>
      <c r="K79" s="56"/>
      <c r="L79" s="56"/>
      <c r="M79" s="1134"/>
      <c r="N79" s="57"/>
      <c r="O79" s="778" t="s">
        <v>9509</v>
      </c>
      <c r="P79" s="21"/>
      <c r="Q79" s="20"/>
      <c r="R79" s="20"/>
      <c r="S79" s="21"/>
      <c r="T79" s="21"/>
      <c r="U79" s="21"/>
      <c r="V79" s="21"/>
      <c r="W79" s="21"/>
      <c r="X79" s="21"/>
      <c r="Y79" s="21"/>
      <c r="Z79" s="21"/>
      <c r="AA79" s="21"/>
      <c r="AB79" s="778" t="s">
        <v>9509</v>
      </c>
      <c r="AC79" s="776">
        <f t="shared" si="25"/>
        <v>30</v>
      </c>
      <c r="AD79" s="776">
        <f t="shared" si="26"/>
        <v>0</v>
      </c>
      <c r="AE79" s="776">
        <f t="shared" si="27"/>
        <v>0</v>
      </c>
      <c r="AF79" s="776">
        <f t="shared" si="28"/>
        <v>0</v>
      </c>
      <c r="IU79" s="117"/>
      <c r="IV79"/>
    </row>
    <row r="80" spans="2:256" s="113" customFormat="1" ht="25.5" hidden="1" x14ac:dyDescent="0.25">
      <c r="B80" s="1797"/>
      <c r="C80" s="780"/>
      <c r="D80" s="8">
        <f>D79+1</f>
        <v>61</v>
      </c>
      <c r="E80" s="1515" t="s">
        <v>9660</v>
      </c>
      <c r="F80" s="1505">
        <v>0</v>
      </c>
      <c r="G80" s="1506">
        <v>0</v>
      </c>
      <c r="H80" s="1506">
        <v>0</v>
      </c>
      <c r="I80" s="1525">
        <v>0</v>
      </c>
      <c r="J80" s="759"/>
      <c r="K80" s="56"/>
      <c r="L80" s="56"/>
      <c r="M80" s="1134"/>
      <c r="N80" s="57"/>
      <c r="O80" s="778" t="s">
        <v>9510</v>
      </c>
      <c r="P80" s="21"/>
      <c r="Q80" s="20"/>
      <c r="R80" s="20"/>
      <c r="S80" s="21"/>
      <c r="T80" s="21"/>
      <c r="U80" s="21"/>
      <c r="V80" s="21"/>
      <c r="W80" s="21"/>
      <c r="X80" s="21"/>
      <c r="Y80" s="21"/>
      <c r="Z80" s="21"/>
      <c r="AA80" s="21"/>
      <c r="AB80" s="778" t="s">
        <v>9510</v>
      </c>
      <c r="AC80" s="776">
        <f t="shared" si="25"/>
        <v>0</v>
      </c>
      <c r="AD80" s="776">
        <f t="shared" si="26"/>
        <v>0</v>
      </c>
      <c r="AE80" s="776">
        <f t="shared" si="27"/>
        <v>0</v>
      </c>
      <c r="AF80" s="776">
        <f t="shared" si="28"/>
        <v>0</v>
      </c>
      <c r="IU80" s="117"/>
      <c r="IV80"/>
    </row>
    <row r="81" spans="1:256" s="113" customFormat="1" x14ac:dyDescent="0.25">
      <c r="B81" s="1797"/>
      <c r="C81" s="780"/>
      <c r="D81" s="8">
        <f>D78+1</f>
        <v>60</v>
      </c>
      <c r="E81" s="1515" t="s">
        <v>13139</v>
      </c>
      <c r="F81" s="1505">
        <v>60</v>
      </c>
      <c r="G81" s="1506">
        <v>0</v>
      </c>
      <c r="H81" s="1506">
        <f t="shared" si="23"/>
        <v>0</v>
      </c>
      <c r="I81" s="1525">
        <v>0</v>
      </c>
      <c r="J81" s="759"/>
      <c r="K81" s="56"/>
      <c r="L81" s="56"/>
      <c r="M81" s="1134"/>
      <c r="N81" s="57"/>
      <c r="O81" s="778" t="s">
        <v>9515</v>
      </c>
      <c r="P81" s="21"/>
      <c r="Q81" s="20"/>
      <c r="R81" s="20"/>
      <c r="S81" s="21"/>
      <c r="T81" s="21"/>
      <c r="U81" s="21"/>
      <c r="V81" s="21"/>
      <c r="W81" s="21"/>
      <c r="X81" s="21"/>
      <c r="Y81" s="21"/>
      <c r="Z81" s="21"/>
      <c r="AA81" s="21"/>
      <c r="AB81" s="778" t="s">
        <v>9515</v>
      </c>
      <c r="AC81" s="776">
        <f t="shared" si="25"/>
        <v>60</v>
      </c>
      <c r="AD81" s="776">
        <f t="shared" si="26"/>
        <v>0</v>
      </c>
      <c r="AE81" s="776">
        <f t="shared" si="27"/>
        <v>0</v>
      </c>
      <c r="AF81" s="776">
        <f t="shared" si="28"/>
        <v>0</v>
      </c>
      <c r="IU81" s="117"/>
      <c r="IV81"/>
    </row>
    <row r="82" spans="1:256" s="113" customFormat="1" ht="23.25" customHeight="1" x14ac:dyDescent="0.25">
      <c r="B82" s="1797"/>
      <c r="C82" s="780"/>
      <c r="D82" s="2504">
        <f>D79+1</f>
        <v>61</v>
      </c>
      <c r="E82" s="1515" t="s">
        <v>13121</v>
      </c>
      <c r="F82" s="1505">
        <v>10</v>
      </c>
      <c r="G82" s="1506">
        <f>MAX((OS_PTI_5BBF-Os_PTI_5BBF_DTAA),0)</f>
        <v>0</v>
      </c>
      <c r="H82" s="1506">
        <f t="shared" si="23"/>
        <v>0</v>
      </c>
      <c r="I82" s="1525">
        <f t="shared" si="24"/>
        <v>0</v>
      </c>
      <c r="J82" s="759"/>
      <c r="K82" s="56"/>
      <c r="L82" s="56"/>
      <c r="M82" s="1134"/>
      <c r="N82" s="57"/>
      <c r="O82" s="778" t="s">
        <v>9511</v>
      </c>
      <c r="P82" s="21"/>
      <c r="Q82" s="20"/>
      <c r="R82" s="20"/>
      <c r="S82" s="21"/>
      <c r="T82" s="21"/>
      <c r="U82" s="21"/>
      <c r="V82" s="21"/>
      <c r="W82" s="21"/>
      <c r="X82" s="21"/>
      <c r="Y82" s="21"/>
      <c r="Z82" s="21"/>
      <c r="AA82" s="21"/>
      <c r="AB82" s="778" t="s">
        <v>9511</v>
      </c>
      <c r="AC82" s="776">
        <f t="shared" si="25"/>
        <v>10</v>
      </c>
      <c r="AD82" s="776">
        <f t="shared" si="26"/>
        <v>0</v>
      </c>
      <c r="AE82" s="776">
        <f t="shared" si="27"/>
        <v>0</v>
      </c>
      <c r="AF82" s="776">
        <f t="shared" si="28"/>
        <v>0</v>
      </c>
      <c r="IU82" s="117"/>
      <c r="IV82"/>
    </row>
    <row r="83" spans="1:256" s="113" customFormat="1" ht="27" customHeight="1" x14ac:dyDescent="0.25">
      <c r="B83" s="1797"/>
      <c r="C83" s="780"/>
      <c r="D83" s="2504">
        <f>D80+1</f>
        <v>62</v>
      </c>
      <c r="E83" s="1515" t="s">
        <v>13138</v>
      </c>
      <c r="F83" s="1505">
        <v>10</v>
      </c>
      <c r="G83" s="1506">
        <f>MAX((OS_PTI_5BBG-Os_PTI_5BBG_DTAA),0)</f>
        <v>0</v>
      </c>
      <c r="H83" s="1506">
        <f t="shared" si="23"/>
        <v>0</v>
      </c>
      <c r="I83" s="1525">
        <f t="shared" si="24"/>
        <v>0</v>
      </c>
      <c r="J83" s="759"/>
      <c r="K83" s="56"/>
      <c r="L83" s="56"/>
      <c r="M83" s="1134"/>
      <c r="N83" s="57"/>
      <c r="O83" s="778" t="s">
        <v>9512</v>
      </c>
      <c r="P83" s="21"/>
      <c r="Q83" s="20"/>
      <c r="R83" s="20"/>
      <c r="S83" s="21"/>
      <c r="T83" s="21"/>
      <c r="U83" s="21"/>
      <c r="V83" s="21"/>
      <c r="W83" s="21"/>
      <c r="X83" s="21"/>
      <c r="Y83" s="21"/>
      <c r="Z83" s="21"/>
      <c r="AA83" s="21"/>
      <c r="AB83" s="778" t="s">
        <v>9512</v>
      </c>
      <c r="AC83" s="776">
        <f t="shared" si="25"/>
        <v>10</v>
      </c>
      <c r="AD83" s="776">
        <f t="shared" si="26"/>
        <v>0</v>
      </c>
      <c r="AE83" s="776">
        <f t="shared" si="27"/>
        <v>0</v>
      </c>
      <c r="AF83" s="776">
        <f t="shared" ref="AF83:AF92" si="29">I83</f>
        <v>0</v>
      </c>
      <c r="IU83" s="117"/>
      <c r="IV83"/>
    </row>
    <row r="84" spans="1:256" s="113" customFormat="1" ht="27" customHeight="1" x14ac:dyDescent="0.25">
      <c r="B84" s="1797"/>
      <c r="C84" s="2279"/>
      <c r="D84" s="2280">
        <f t="shared" ref="D84:D92" si="30">D83+1</f>
        <v>63</v>
      </c>
      <c r="E84" s="1515" t="s">
        <v>12844</v>
      </c>
      <c r="F84" s="1505">
        <v>4</v>
      </c>
      <c r="G84" s="1506">
        <f>R84</f>
        <v>0</v>
      </c>
      <c r="H84" s="1506">
        <f t="shared" si="23"/>
        <v>0</v>
      </c>
      <c r="I84" s="1525">
        <f t="shared" si="24"/>
        <v>0</v>
      </c>
      <c r="J84" s="759"/>
      <c r="K84" s="56"/>
      <c r="L84" s="56"/>
      <c r="M84" s="1134"/>
      <c r="N84" s="57"/>
      <c r="O84" s="778" t="s">
        <v>12850</v>
      </c>
      <c r="P84" s="21"/>
      <c r="Q84" s="20" t="s">
        <v>12850</v>
      </c>
      <c r="R84" s="20">
        <f t="shared" ref="R84:R85" si="31">MAX(0,MAX(0,SUMIF(os.check,Q84,os.SourceAmount))-MAX(0,IF(MID(sheet1.ResidentialStatus1,1,3)="NRI",SUMIFS(os.DTAA_AmtChk,os.TRC,"=Yes",OS_DTAASectionCode,Q84),SUMIF(OS_DTAASectionCode,Q84,os.DTAA_AmtChk))))</f>
        <v>0</v>
      </c>
      <c r="S84" s="21"/>
      <c r="T84" s="21"/>
      <c r="U84" s="21"/>
      <c r="V84" s="21"/>
      <c r="W84" s="21"/>
      <c r="X84" s="21"/>
      <c r="Y84" s="21"/>
      <c r="Z84" s="21"/>
      <c r="AA84" s="21"/>
      <c r="AB84" s="778" t="s">
        <v>12850</v>
      </c>
      <c r="AC84" s="776">
        <f t="shared" si="25"/>
        <v>4</v>
      </c>
      <c r="AD84" s="776">
        <f t="shared" ref="AD84:AD92" si="32">G84</f>
        <v>0</v>
      </c>
      <c r="AE84" s="776">
        <f t="shared" ref="AE84" si="33">H84</f>
        <v>0</v>
      </c>
      <c r="AF84" s="776">
        <f t="shared" si="29"/>
        <v>0</v>
      </c>
      <c r="IU84" s="117"/>
      <c r="IV84" s="2278"/>
    </row>
    <row r="85" spans="1:256" s="113" customFormat="1" ht="27" hidden="1" customHeight="1" x14ac:dyDescent="0.25">
      <c r="B85" s="1797"/>
      <c r="C85" s="2279"/>
      <c r="D85" s="2280">
        <f t="shared" si="30"/>
        <v>64</v>
      </c>
      <c r="E85" s="1515" t="s">
        <v>12845</v>
      </c>
      <c r="F85" s="1505">
        <v>10</v>
      </c>
      <c r="G85" s="1506">
        <f>R85</f>
        <v>0</v>
      </c>
      <c r="H85" s="1506">
        <f t="shared" si="23"/>
        <v>0</v>
      </c>
      <c r="I85" s="1525">
        <f t="shared" si="24"/>
        <v>0</v>
      </c>
      <c r="J85" s="759"/>
      <c r="K85" s="56"/>
      <c r="L85" s="56"/>
      <c r="M85" s="1134"/>
      <c r="N85" s="57"/>
      <c r="O85" s="778" t="s">
        <v>12851</v>
      </c>
      <c r="P85" s="21"/>
      <c r="Q85" s="20" t="s">
        <v>12851</v>
      </c>
      <c r="R85" s="20">
        <f t="shared" si="31"/>
        <v>0</v>
      </c>
      <c r="S85" s="21"/>
      <c r="T85" s="21"/>
      <c r="U85" s="21"/>
      <c r="V85" s="21"/>
      <c r="W85" s="21"/>
      <c r="X85" s="21"/>
      <c r="Y85" s="21"/>
      <c r="Z85" s="21"/>
      <c r="AA85" s="21"/>
      <c r="AB85" s="778" t="s">
        <v>12851</v>
      </c>
      <c r="AC85" s="776">
        <f t="shared" si="25"/>
        <v>10</v>
      </c>
      <c r="AD85" s="776">
        <f t="shared" si="32"/>
        <v>0</v>
      </c>
      <c r="AE85" s="776">
        <f t="shared" ref="AE85:AE92" si="34">H85</f>
        <v>0</v>
      </c>
      <c r="AF85" s="776">
        <f t="shared" si="29"/>
        <v>0</v>
      </c>
      <c r="IU85" s="117"/>
      <c r="IV85" s="2278"/>
    </row>
    <row r="86" spans="1:256" s="113" customFormat="1" ht="27" customHeight="1" x14ac:dyDescent="0.25">
      <c r="B86" s="1797"/>
      <c r="C86" s="2279"/>
      <c r="D86" s="2280">
        <f>D84+1</f>
        <v>64</v>
      </c>
      <c r="E86" s="1515" t="s">
        <v>12846</v>
      </c>
      <c r="F86" s="1505">
        <v>4</v>
      </c>
      <c r="G86" s="1506">
        <f>MAX((Os_PTI_5A1aiiaaP-Os_PTI_5A1aiiaaP_DTAA),0)</f>
        <v>0</v>
      </c>
      <c r="H86" s="1506">
        <f t="shared" si="23"/>
        <v>0</v>
      </c>
      <c r="I86" s="1525">
        <f t="shared" si="24"/>
        <v>0</v>
      </c>
      <c r="J86" s="759"/>
      <c r="K86" s="56"/>
      <c r="L86" s="56"/>
      <c r="M86" s="1134"/>
      <c r="N86" s="57"/>
      <c r="O86" s="778" t="s">
        <v>12852</v>
      </c>
      <c r="P86" s="21"/>
      <c r="Q86" s="20"/>
      <c r="R86" s="20"/>
      <c r="S86" s="21"/>
      <c r="T86" s="21"/>
      <c r="U86" s="21"/>
      <c r="V86" s="21"/>
      <c r="W86" s="21"/>
      <c r="X86" s="21"/>
      <c r="Y86" s="21"/>
      <c r="Z86" s="21"/>
      <c r="AA86" s="21"/>
      <c r="AB86" s="778" t="s">
        <v>12852</v>
      </c>
      <c r="AC86" s="776">
        <f t="shared" si="25"/>
        <v>4</v>
      </c>
      <c r="AD86" s="776">
        <f t="shared" si="32"/>
        <v>0</v>
      </c>
      <c r="AE86" s="776">
        <f t="shared" si="34"/>
        <v>0</v>
      </c>
      <c r="AF86" s="776">
        <f t="shared" si="29"/>
        <v>0</v>
      </c>
      <c r="IU86" s="117"/>
      <c r="IV86" s="2278"/>
    </row>
    <row r="87" spans="1:256" s="113" customFormat="1" ht="9.75" hidden="1" customHeight="1" x14ac:dyDescent="0.25">
      <c r="B87" s="1797"/>
      <c r="C87" s="2279"/>
      <c r="D87" s="2280">
        <f t="shared" si="30"/>
        <v>65</v>
      </c>
      <c r="E87" s="1515" t="s">
        <v>12847</v>
      </c>
      <c r="F87" s="1505">
        <v>10</v>
      </c>
      <c r="G87" s="1506">
        <f>MAX((Os_PTI_5A1aiiaci-Os_PTI_5A1aiiaci_DTAA),0)</f>
        <v>0</v>
      </c>
      <c r="H87" s="1506">
        <f t="shared" si="23"/>
        <v>0</v>
      </c>
      <c r="I87" s="1525">
        <f t="shared" si="24"/>
        <v>0</v>
      </c>
      <c r="J87" s="759"/>
      <c r="K87" s="56"/>
      <c r="L87" s="56"/>
      <c r="M87" s="1134"/>
      <c r="N87" s="57"/>
      <c r="O87" s="778" t="s">
        <v>12853</v>
      </c>
      <c r="P87" s="21"/>
      <c r="Q87" s="20"/>
      <c r="R87" s="20"/>
      <c r="S87" s="21"/>
      <c r="T87" s="21"/>
      <c r="U87" s="21"/>
      <c r="V87" s="21"/>
      <c r="W87" s="21"/>
      <c r="X87" s="21"/>
      <c r="Y87" s="21"/>
      <c r="Z87" s="21"/>
      <c r="AA87" s="21"/>
      <c r="AB87" s="778" t="s">
        <v>12853</v>
      </c>
      <c r="AC87" s="776">
        <f t="shared" si="25"/>
        <v>10</v>
      </c>
      <c r="AD87" s="776">
        <f t="shared" si="32"/>
        <v>0</v>
      </c>
      <c r="AE87" s="776">
        <f t="shared" si="34"/>
        <v>0</v>
      </c>
      <c r="AF87" s="776">
        <f t="shared" si="29"/>
        <v>0</v>
      </c>
      <c r="IU87" s="117"/>
      <c r="IV87" s="2278"/>
    </row>
    <row r="88" spans="1:256" s="113" customFormat="1" ht="39.75" customHeight="1" x14ac:dyDescent="0.25">
      <c r="B88" s="1797"/>
      <c r="C88" s="2279"/>
      <c r="D88" s="2280">
        <f>D86+1</f>
        <v>65</v>
      </c>
      <c r="E88" s="1566" t="s">
        <v>12848</v>
      </c>
      <c r="F88" s="1505">
        <v>20</v>
      </c>
      <c r="G88" s="1506">
        <f>R88</f>
        <v>0</v>
      </c>
      <c r="H88" s="1506">
        <f t="shared" si="23"/>
        <v>0</v>
      </c>
      <c r="I88" s="1525">
        <f t="shared" si="24"/>
        <v>0</v>
      </c>
      <c r="J88" s="759"/>
      <c r="K88" s="56"/>
      <c r="L88" s="56"/>
      <c r="M88" s="1134"/>
      <c r="N88" s="57"/>
      <c r="O88" s="778" t="s">
        <v>12854</v>
      </c>
      <c r="P88" s="21"/>
      <c r="Q88" s="20" t="s">
        <v>12854</v>
      </c>
      <c r="R88" s="20">
        <f t="shared" ref="R88:R90" si="35">MAX(0,MAX(0,SUMIF(os.check,Q88,os.SourceAmount))-MAX(0,IF(MID(sheet1.ResidentialStatus1,1,3)="NRI",SUMIFS(os.DTAA_AmtChk,os.TRC,"=Yes",OS_DTAASectionCode,Q88),SUMIF(OS_DTAASectionCode,Q88,os.DTAA_AmtChk))))</f>
        <v>0</v>
      </c>
      <c r="S88" s="21"/>
      <c r="T88" s="21"/>
      <c r="U88" s="21"/>
      <c r="V88" s="21"/>
      <c r="W88" s="21"/>
      <c r="X88" s="21"/>
      <c r="Y88" s="21"/>
      <c r="Z88" s="21"/>
      <c r="AA88" s="21"/>
      <c r="AB88" s="778" t="s">
        <v>12854</v>
      </c>
      <c r="AC88" s="776">
        <f t="shared" si="25"/>
        <v>20</v>
      </c>
      <c r="AD88" s="776">
        <f t="shared" si="32"/>
        <v>0</v>
      </c>
      <c r="AE88" s="776">
        <f t="shared" si="34"/>
        <v>0</v>
      </c>
      <c r="AF88" s="776">
        <f t="shared" si="29"/>
        <v>0</v>
      </c>
      <c r="IU88" s="117"/>
      <c r="IV88" s="2278"/>
    </row>
    <row r="89" spans="1:256" s="113" customFormat="1" ht="38.25" x14ac:dyDescent="0.25">
      <c r="B89" s="1797"/>
      <c r="C89" s="2279"/>
      <c r="D89" s="2280">
        <f t="shared" si="30"/>
        <v>66</v>
      </c>
      <c r="E89" s="1515" t="s">
        <v>12849</v>
      </c>
      <c r="F89" s="1505">
        <v>20</v>
      </c>
      <c r="G89" s="1506">
        <f>MAX((OS_PTI_5AD1iDiv-Os_PTI_5AD1iDiv_DTAA),0)</f>
        <v>0</v>
      </c>
      <c r="H89" s="1506">
        <f t="shared" si="23"/>
        <v>0</v>
      </c>
      <c r="I89" s="1525">
        <f t="shared" si="24"/>
        <v>0</v>
      </c>
      <c r="J89" s="759"/>
      <c r="K89" s="56"/>
      <c r="L89" s="56"/>
      <c r="M89" s="1134"/>
      <c r="N89" s="57"/>
      <c r="O89" s="778" t="s">
        <v>12855</v>
      </c>
      <c r="P89" s="21"/>
      <c r="Q89" s="20"/>
      <c r="R89" s="20"/>
      <c r="S89" s="21"/>
      <c r="T89" s="21"/>
      <c r="U89" s="21"/>
      <c r="V89" s="21"/>
      <c r="W89" s="21"/>
      <c r="X89" s="21"/>
      <c r="Y89" s="21"/>
      <c r="Z89" s="21"/>
      <c r="AA89" s="21"/>
      <c r="AB89" s="778" t="s">
        <v>12855</v>
      </c>
      <c r="AC89" s="776">
        <f t="shared" si="25"/>
        <v>20</v>
      </c>
      <c r="AD89" s="776">
        <f t="shared" si="32"/>
        <v>0</v>
      </c>
      <c r="AE89" s="776">
        <f t="shared" si="34"/>
        <v>0</v>
      </c>
      <c r="AF89" s="776">
        <f t="shared" si="29"/>
        <v>0</v>
      </c>
      <c r="IU89" s="117"/>
      <c r="IV89" s="2278"/>
    </row>
    <row r="90" spans="1:256" s="113" customFormat="1" ht="25.5" x14ac:dyDescent="0.25">
      <c r="B90" s="1797"/>
      <c r="C90" s="2502"/>
      <c r="D90" s="2504">
        <f t="shared" si="30"/>
        <v>67</v>
      </c>
      <c r="E90" s="1515" t="s">
        <v>13268</v>
      </c>
      <c r="F90" s="1505">
        <v>10</v>
      </c>
      <c r="G90" s="1506">
        <f>R90</f>
        <v>0</v>
      </c>
      <c r="H90" s="1506">
        <f t="shared" si="23"/>
        <v>0</v>
      </c>
      <c r="I90" s="1525">
        <f t="shared" si="24"/>
        <v>0</v>
      </c>
      <c r="J90" s="759"/>
      <c r="K90" s="56"/>
      <c r="L90" s="56"/>
      <c r="M90" s="1134"/>
      <c r="N90" s="57"/>
      <c r="O90" s="778" t="s">
        <v>13130</v>
      </c>
      <c r="P90" s="21"/>
      <c r="Q90" s="778" t="s">
        <v>13130</v>
      </c>
      <c r="R90" s="20">
        <f t="shared" si="35"/>
        <v>0</v>
      </c>
      <c r="S90" s="21"/>
      <c r="T90" s="21"/>
      <c r="U90" s="21"/>
      <c r="V90" s="21"/>
      <c r="W90" s="21"/>
      <c r="X90" s="21"/>
      <c r="Y90" s="21"/>
      <c r="Z90" s="21"/>
      <c r="AA90" s="21"/>
      <c r="AB90" s="778" t="s">
        <v>13272</v>
      </c>
      <c r="AC90" s="776">
        <f t="shared" si="25"/>
        <v>10</v>
      </c>
      <c r="AD90" s="776">
        <f t="shared" ref="AD90:AD91" si="36">G90</f>
        <v>0</v>
      </c>
      <c r="AE90" s="776">
        <f t="shared" ref="AE90:AE91" si="37">H90</f>
        <v>0</v>
      </c>
      <c r="AF90" s="776">
        <f t="shared" ref="AF90:AF91" si="38">I90</f>
        <v>0</v>
      </c>
      <c r="IU90" s="117"/>
      <c r="IV90" s="2501"/>
    </row>
    <row r="91" spans="1:256" s="113" customFormat="1" ht="25.5" x14ac:dyDescent="0.25">
      <c r="B91" s="1797"/>
      <c r="C91" s="2502"/>
      <c r="D91" s="2504">
        <f t="shared" si="30"/>
        <v>68</v>
      </c>
      <c r="E91" s="1515" t="s">
        <v>13270</v>
      </c>
      <c r="F91" s="1505">
        <v>10</v>
      </c>
      <c r="G91" s="1506" cm="1">
        <f t="array" ref="G91">MAX((OS_PTI_5AC1b-Os_PTI_5AC1b_DTAA),0)</f>
        <v>0</v>
      </c>
      <c r="H91" s="1506">
        <f t="shared" si="23"/>
        <v>0</v>
      </c>
      <c r="I91" s="1525">
        <f t="shared" si="24"/>
        <v>0</v>
      </c>
      <c r="J91" s="759"/>
      <c r="K91" s="56"/>
      <c r="L91" s="56"/>
      <c r="M91" s="1134"/>
      <c r="N91" s="57"/>
      <c r="O91" s="778" t="s">
        <v>13129</v>
      </c>
      <c r="P91" s="21"/>
      <c r="Q91" s="20"/>
      <c r="R91" s="20"/>
      <c r="S91" s="21"/>
      <c r="T91" s="21"/>
      <c r="U91" s="21"/>
      <c r="V91" s="21"/>
      <c r="W91" s="21"/>
      <c r="X91" s="21"/>
      <c r="Y91" s="21"/>
      <c r="Z91" s="21"/>
      <c r="AA91" s="21"/>
      <c r="AB91" s="778" t="s">
        <v>13273</v>
      </c>
      <c r="AC91" s="776">
        <f t="shared" si="25"/>
        <v>10</v>
      </c>
      <c r="AD91" s="776">
        <f t="shared" si="36"/>
        <v>0</v>
      </c>
      <c r="AE91" s="776">
        <f t="shared" si="37"/>
        <v>0</v>
      </c>
      <c r="AF91" s="776">
        <f t="shared" si="38"/>
        <v>0</v>
      </c>
      <c r="IU91" s="117"/>
      <c r="IV91" s="2501"/>
    </row>
    <row r="92" spans="1:256" s="113" customFormat="1" x14ac:dyDescent="0.25">
      <c r="B92" s="1797"/>
      <c r="C92" s="407"/>
      <c r="D92" s="2504">
        <f t="shared" si="30"/>
        <v>69</v>
      </c>
      <c r="E92" s="1515" t="s">
        <v>9661</v>
      </c>
      <c r="F92" s="1505">
        <v>20</v>
      </c>
      <c r="G92" s="1537">
        <f>MAX((OS_PTI_5Ea-Os_PTI_5Ea_DTAA),0)</f>
        <v>0</v>
      </c>
      <c r="H92" s="1506">
        <f t="shared" si="23"/>
        <v>0</v>
      </c>
      <c r="I92" s="1525">
        <f t="shared" si="24"/>
        <v>0</v>
      </c>
      <c r="J92" s="759"/>
      <c r="K92" s="56"/>
      <c r="L92" s="56"/>
      <c r="M92" s="1134"/>
      <c r="N92" s="57"/>
      <c r="O92" s="778" t="s">
        <v>9513</v>
      </c>
      <c r="P92" s="21"/>
      <c r="Q92" s="20"/>
      <c r="R92" s="20"/>
      <c r="S92" s="21"/>
      <c r="T92" s="21"/>
      <c r="U92" s="21"/>
      <c r="V92" s="21"/>
      <c r="W92" s="21"/>
      <c r="X92" s="21"/>
      <c r="Y92" s="21"/>
      <c r="Z92" s="21"/>
      <c r="AA92" s="21"/>
      <c r="AB92" s="778" t="s">
        <v>9513</v>
      </c>
      <c r="AC92" s="776">
        <f t="shared" si="25"/>
        <v>20</v>
      </c>
      <c r="AD92" s="776">
        <f t="shared" si="32"/>
        <v>0</v>
      </c>
      <c r="AE92" s="776">
        <f t="shared" si="34"/>
        <v>0</v>
      </c>
      <c r="AF92" s="776">
        <f t="shared" si="29"/>
        <v>0</v>
      </c>
      <c r="IU92" s="117"/>
      <c r="IV92"/>
    </row>
    <row r="93" spans="1:256" s="113" customFormat="1" x14ac:dyDescent="0.25">
      <c r="A93" s="462"/>
      <c r="B93" s="1878"/>
      <c r="C93" s="1839"/>
      <c r="D93" s="1839"/>
      <c r="E93" s="1839"/>
      <c r="F93" s="1839"/>
      <c r="G93" s="1839"/>
      <c r="H93" s="1839"/>
      <c r="I93" s="1839"/>
      <c r="J93" s="1839"/>
      <c r="K93" s="1839"/>
      <c r="L93" s="1839"/>
      <c r="M93" s="1879"/>
      <c r="N93" s="57"/>
      <c r="O93" s="462"/>
      <c r="P93" s="462"/>
      <c r="Q93" s="462"/>
      <c r="R93" s="462"/>
      <c r="S93" s="21"/>
      <c r="T93" s="21"/>
      <c r="U93" s="21"/>
      <c r="V93" s="21"/>
      <c r="W93" s="21"/>
      <c r="X93" s="21"/>
      <c r="Y93" s="21"/>
      <c r="Z93" s="21"/>
      <c r="AA93" s="21"/>
      <c r="AB93" s="462"/>
      <c r="AC93" s="462"/>
      <c r="AD93" s="462"/>
      <c r="AE93" s="462"/>
      <c r="AF93" s="462"/>
      <c r="IU93" s="117"/>
      <c r="IV93"/>
    </row>
    <row r="94" spans="1:256" s="113" customFormat="1" x14ac:dyDescent="0.25">
      <c r="A94" s="462"/>
      <c r="B94" s="1878"/>
      <c r="C94" s="1839"/>
      <c r="D94" s="1839"/>
      <c r="E94" s="1839"/>
      <c r="F94" s="1839"/>
      <c r="G94" s="1839"/>
      <c r="H94" s="1839"/>
      <c r="I94" s="1839"/>
      <c r="J94" s="1839"/>
      <c r="K94" s="1839"/>
      <c r="L94" s="1839"/>
      <c r="M94" s="1879"/>
      <c r="N94" s="57"/>
      <c r="O94" s="462"/>
      <c r="P94" s="462"/>
      <c r="Q94" s="462"/>
      <c r="R94" s="462"/>
      <c r="S94" s="21"/>
      <c r="T94" s="21"/>
      <c r="U94" s="21"/>
      <c r="V94" s="21"/>
      <c r="W94" s="21"/>
      <c r="X94" s="21"/>
      <c r="Y94" s="21"/>
      <c r="Z94" s="21"/>
      <c r="AA94" s="21"/>
      <c r="AB94" s="462"/>
      <c r="AC94" s="462"/>
      <c r="AD94" s="462"/>
      <c r="AE94" s="462"/>
      <c r="AF94" s="462"/>
      <c r="IU94" s="117"/>
      <c r="IV94"/>
    </row>
    <row r="95" spans="1:256" x14ac:dyDescent="0.25">
      <c r="A95" s="113"/>
      <c r="B95" s="1797"/>
      <c r="C95" s="1182"/>
      <c r="D95" s="475"/>
      <c r="E95" s="392"/>
      <c r="F95" s="495" t="s">
        <v>1199</v>
      </c>
      <c r="G95" s="1538">
        <f>SUM(SI.SplRateInc)</f>
        <v>0</v>
      </c>
      <c r="H95" s="1538">
        <f>SUM(SI.SplRateIncCalc)</f>
        <v>0</v>
      </c>
      <c r="I95" s="1538">
        <f>SUM(SI.SplRateIncTax)</f>
        <v>0</v>
      </c>
      <c r="J95" s="392"/>
      <c r="K95" s="56"/>
      <c r="L95" s="56"/>
      <c r="M95" s="1134"/>
      <c r="O95" s="21"/>
      <c r="P95" s="21"/>
      <c r="Q95" s="21"/>
      <c r="R95" s="21"/>
      <c r="AB95" s="21"/>
      <c r="AC95" s="21"/>
      <c r="AD95" s="21"/>
      <c r="AE95" s="21"/>
      <c r="AF95" s="21"/>
    </row>
    <row r="96" spans="1:256" x14ac:dyDescent="0.25">
      <c r="A96" s="113"/>
      <c r="B96" s="1797"/>
      <c r="C96" s="56"/>
      <c r="D96" s="56"/>
      <c r="E96" s="56"/>
      <c r="F96" s="56"/>
      <c r="G96" s="56"/>
      <c r="H96" s="56"/>
      <c r="I96" s="56"/>
      <c r="J96" s="56"/>
      <c r="K96" s="56"/>
      <c r="L96" s="56"/>
      <c r="M96" s="1134"/>
      <c r="O96" s="20" t="s">
        <v>12080</v>
      </c>
      <c r="P96" s="1764">
        <f>MAX(0,100000-H23)</f>
        <v>100000</v>
      </c>
      <c r="Q96" s="21"/>
      <c r="R96" s="21"/>
      <c r="AB96" s="21"/>
      <c r="AC96" s="21"/>
      <c r="AD96" s="21"/>
      <c r="AE96" s="21"/>
      <c r="AF96" s="21"/>
    </row>
    <row r="97" spans="1:256" s="113" customFormat="1" ht="27" customHeight="1" x14ac:dyDescent="0.25">
      <c r="B97" s="1797"/>
      <c r="C97" s="3029" t="s">
        <v>1200</v>
      </c>
      <c r="D97" s="3031"/>
      <c r="E97" s="3109" t="s">
        <v>12703</v>
      </c>
      <c r="F97" s="3119"/>
      <c r="G97" s="3119"/>
      <c r="H97" s="3119"/>
      <c r="I97" s="3119"/>
      <c r="J97" s="3119"/>
      <c r="K97" s="3119"/>
      <c r="L97" s="3120"/>
      <c r="M97" s="1582"/>
      <c r="N97" s="57"/>
      <c r="O97" s="21"/>
      <c r="P97" s="21"/>
      <c r="Q97" s="21"/>
      <c r="R97" s="21"/>
      <c r="S97" s="21"/>
      <c r="T97" s="21"/>
      <c r="U97" s="21"/>
      <c r="V97" s="21"/>
      <c r="W97" s="21"/>
      <c r="X97" s="21"/>
      <c r="Y97" s="21"/>
      <c r="Z97" s="21"/>
      <c r="AA97" s="21"/>
      <c r="AB97" s="21"/>
      <c r="AC97" s="21"/>
      <c r="AD97" s="21"/>
      <c r="AE97" s="21"/>
      <c r="AF97" s="21"/>
      <c r="IU97" s="117"/>
      <c r="IV97"/>
    </row>
    <row r="98" spans="1:256" s="113" customFormat="1" ht="21" customHeight="1" x14ac:dyDescent="0.25">
      <c r="B98" s="1797"/>
      <c r="C98" s="3836" t="s">
        <v>7327</v>
      </c>
      <c r="D98" s="3109" t="s">
        <v>9712</v>
      </c>
      <c r="E98" s="3119"/>
      <c r="F98" s="3119"/>
      <c r="G98" s="3119"/>
      <c r="H98" s="3119"/>
      <c r="I98" s="3119"/>
      <c r="J98" s="3119"/>
      <c r="K98" s="3119"/>
      <c r="L98" s="3120"/>
      <c r="M98" s="1582"/>
      <c r="N98" s="57"/>
      <c r="O98" s="453"/>
      <c r="P98" s="21"/>
      <c r="Q98" s="21"/>
      <c r="R98" s="21"/>
      <c r="S98" s="21"/>
      <c r="T98" s="21"/>
      <c r="U98" s="21"/>
      <c r="V98" s="21"/>
      <c r="W98" s="21"/>
      <c r="X98" s="21"/>
      <c r="Y98" s="21"/>
      <c r="Z98" s="21"/>
      <c r="AA98" s="21"/>
      <c r="AB98" s="21"/>
      <c r="AC98" s="21"/>
      <c r="AD98" s="21"/>
      <c r="AE98" s="21"/>
      <c r="AF98" s="21"/>
      <c r="IU98" s="117"/>
      <c r="IV98"/>
    </row>
    <row r="99" spans="1:256" s="113" customFormat="1" ht="41.25" customHeight="1" x14ac:dyDescent="0.25">
      <c r="B99" s="1797"/>
      <c r="C99" s="3837"/>
      <c r="D99" s="3833"/>
      <c r="E99" s="3838" t="s">
        <v>8280</v>
      </c>
      <c r="F99" s="3731" t="s">
        <v>1202</v>
      </c>
      <c r="G99" s="3731" t="s">
        <v>1203</v>
      </c>
      <c r="H99" s="3025" t="s">
        <v>12755</v>
      </c>
      <c r="I99" s="3025" t="s">
        <v>12753</v>
      </c>
      <c r="J99" s="3025" t="s">
        <v>7607</v>
      </c>
      <c r="K99" s="2019" t="s">
        <v>12756</v>
      </c>
      <c r="L99" s="2006" t="s">
        <v>12754</v>
      </c>
      <c r="M99" s="1584"/>
      <c r="N99" s="1583"/>
      <c r="O99" s="473"/>
      <c r="P99" s="21"/>
      <c r="Q99" s="21"/>
      <c r="R99" s="21"/>
      <c r="S99" s="21"/>
      <c r="T99" s="21"/>
      <c r="U99" s="21"/>
      <c r="V99" s="21"/>
      <c r="W99" s="21"/>
      <c r="X99" s="21"/>
      <c r="Y99" s="21"/>
      <c r="Z99" s="21"/>
      <c r="AA99" s="21"/>
      <c r="AB99" s="21"/>
      <c r="AC99" s="21"/>
      <c r="AD99" s="21"/>
      <c r="AE99" s="21"/>
      <c r="AF99" s="21"/>
      <c r="IU99" s="117"/>
      <c r="IV99"/>
    </row>
    <row r="100" spans="1:256" s="113" customFormat="1" ht="15.75" customHeight="1" x14ac:dyDescent="0.25">
      <c r="B100" s="1797"/>
      <c r="C100" s="3837"/>
      <c r="D100" s="3833"/>
      <c r="E100" s="3116"/>
      <c r="F100" s="3751"/>
      <c r="G100" s="3751"/>
      <c r="H100" s="3751"/>
      <c r="I100" s="3751"/>
      <c r="J100" s="3099"/>
      <c r="K100" s="8">
        <v>1</v>
      </c>
      <c r="L100" s="495" t="s">
        <v>290</v>
      </c>
      <c r="M100" s="1585"/>
      <c r="N100" s="1583"/>
      <c r="O100" s="781"/>
      <c r="P100" s="21"/>
      <c r="Q100" s="21"/>
      <c r="R100" s="21"/>
      <c r="S100" s="21"/>
      <c r="T100" s="21"/>
      <c r="U100" s="21"/>
      <c r="V100" s="21"/>
      <c r="W100" s="21"/>
      <c r="X100" s="21"/>
      <c r="Y100" s="21"/>
      <c r="Z100" s="21"/>
      <c r="AA100" s="21"/>
      <c r="AB100" s="21"/>
      <c r="AC100" s="21"/>
      <c r="AD100" s="21"/>
      <c r="AE100" s="21"/>
      <c r="AF100" s="21"/>
      <c r="IU100" s="117"/>
      <c r="IV100"/>
    </row>
    <row r="101" spans="1:256" s="113" customFormat="1" x14ac:dyDescent="0.25">
      <c r="B101" s="1797"/>
      <c r="C101" s="3837"/>
      <c r="D101" s="11"/>
      <c r="E101" s="2056">
        <v>1</v>
      </c>
      <c r="F101" s="1986"/>
      <c r="G101" s="1422"/>
      <c r="H101" s="1422" t="s">
        <v>12</v>
      </c>
      <c r="I101" s="1422" t="s">
        <v>12</v>
      </c>
      <c r="J101" s="1971"/>
      <c r="K101" s="1973"/>
      <c r="L101" s="1973"/>
      <c r="M101" s="1587"/>
      <c r="N101" s="677"/>
      <c r="O101" s="781"/>
      <c r="P101" s="21"/>
      <c r="Q101" s="21"/>
      <c r="R101" s="21"/>
      <c r="S101" s="21"/>
      <c r="T101" s="21"/>
      <c r="U101" s="21">
        <f t="shared" ref="U101:V106" si="39">IF(H101="Y",1,0)</f>
        <v>0</v>
      </c>
      <c r="V101" s="21">
        <f t="shared" si="39"/>
        <v>0</v>
      </c>
      <c r="W101" s="21" t="str">
        <f>IF(COUNTIF(isLiableForAudit,1)=0,"N","Y")</f>
        <v>N</v>
      </c>
      <c r="X101" s="21" t="str">
        <f>IF(COUNTIF(LiableFor92E,1)=0,"N","Y")</f>
        <v>N</v>
      </c>
      <c r="Y101" s="21"/>
      <c r="Z101" s="21"/>
      <c r="AA101" s="21"/>
      <c r="AB101" s="21"/>
      <c r="AC101" s="21"/>
      <c r="AD101" s="21"/>
      <c r="AE101" s="21"/>
      <c r="AF101" s="21"/>
      <c r="IV101"/>
    </row>
    <row r="102" spans="1:256" s="113" customFormat="1" x14ac:dyDescent="0.25">
      <c r="B102" s="1797"/>
      <c r="C102" s="3837"/>
      <c r="D102" s="11"/>
      <c r="E102" s="2056">
        <f>E101+1</f>
        <v>2</v>
      </c>
      <c r="F102" s="1986"/>
      <c r="G102" s="1422"/>
      <c r="H102" s="1422" t="s">
        <v>12</v>
      </c>
      <c r="I102" s="1422" t="s">
        <v>12</v>
      </c>
      <c r="J102" s="1971"/>
      <c r="K102" s="1973"/>
      <c r="L102" s="1973"/>
      <c r="M102" s="1587"/>
      <c r="N102" s="1586"/>
      <c r="O102" s="781"/>
      <c r="S102" s="21"/>
      <c r="T102" s="21"/>
      <c r="U102" s="21">
        <f t="shared" si="39"/>
        <v>0</v>
      </c>
      <c r="V102" s="21">
        <f t="shared" si="39"/>
        <v>0</v>
      </c>
      <c r="W102" s="21"/>
      <c r="X102" s="21"/>
      <c r="Y102" s="21"/>
      <c r="Z102" s="21"/>
      <c r="AA102" s="21"/>
      <c r="AB102" s="21"/>
      <c r="AC102" s="21"/>
      <c r="AD102" s="21"/>
      <c r="AE102" s="21"/>
      <c r="AF102" s="21"/>
      <c r="IV102"/>
    </row>
    <row r="103" spans="1:256" s="113" customFormat="1" x14ac:dyDescent="0.25">
      <c r="B103" s="1797"/>
      <c r="C103" s="3837"/>
      <c r="D103" s="11"/>
      <c r="E103" s="2056">
        <f>E102+1</f>
        <v>3</v>
      </c>
      <c r="F103" s="1986"/>
      <c r="G103" s="1422"/>
      <c r="H103" s="1422" t="s">
        <v>12</v>
      </c>
      <c r="I103" s="1422" t="s">
        <v>12</v>
      </c>
      <c r="J103" s="1971"/>
      <c r="K103" s="1973"/>
      <c r="L103" s="1973"/>
      <c r="M103" s="1587"/>
      <c r="N103" s="1588"/>
      <c r="O103" s="781"/>
      <c r="S103" s="21"/>
      <c r="T103" s="21"/>
      <c r="U103" s="113">
        <f t="shared" si="39"/>
        <v>0</v>
      </c>
      <c r="V103" s="21">
        <f t="shared" si="39"/>
        <v>0</v>
      </c>
      <c r="X103" s="21"/>
      <c r="Y103" s="21"/>
      <c r="Z103" s="21"/>
      <c r="AA103" s="21"/>
      <c r="IV103"/>
    </row>
    <row r="104" spans="1:256" s="113" customFormat="1" x14ac:dyDescent="0.25">
      <c r="B104" s="1797"/>
      <c r="C104" s="3837"/>
      <c r="D104" s="11"/>
      <c r="E104" s="2056">
        <f>E103+1</f>
        <v>4</v>
      </c>
      <c r="F104" s="1986"/>
      <c r="G104" s="1422"/>
      <c r="H104" s="1422" t="s">
        <v>12</v>
      </c>
      <c r="I104" s="1422" t="s">
        <v>12</v>
      </c>
      <c r="J104" s="1971"/>
      <c r="K104" s="1973"/>
      <c r="L104" s="1973"/>
      <c r="M104" s="1587"/>
      <c r="N104" s="1588"/>
      <c r="O104" s="781"/>
      <c r="S104" s="21"/>
      <c r="T104" s="21"/>
      <c r="U104" s="113">
        <f t="shared" si="39"/>
        <v>0</v>
      </c>
      <c r="V104" s="21">
        <f t="shared" si="39"/>
        <v>0</v>
      </c>
      <c r="W104" s="21"/>
      <c r="X104" s="21"/>
      <c r="Y104" s="21"/>
      <c r="Z104" s="21"/>
      <c r="AA104" s="21"/>
      <c r="IV104"/>
    </row>
    <row r="105" spans="1:256" s="113" customFormat="1" x14ac:dyDescent="0.25">
      <c r="B105" s="1797"/>
      <c r="C105" s="780"/>
      <c r="D105" s="11"/>
      <c r="E105" s="2056">
        <f>E104+1</f>
        <v>5</v>
      </c>
      <c r="F105" s="1539"/>
      <c r="G105" s="1540"/>
      <c r="H105" s="1540" t="s">
        <v>12</v>
      </c>
      <c r="I105" s="1422" t="s">
        <v>12</v>
      </c>
      <c r="J105" s="1541"/>
      <c r="K105" s="1500"/>
      <c r="L105" s="1500"/>
      <c r="M105" s="1587"/>
      <c r="N105" s="1588"/>
      <c r="O105" s="781"/>
      <c r="Q105" s="117"/>
      <c r="R105" s="117"/>
      <c r="U105" s="113">
        <f t="shared" si="39"/>
        <v>0</v>
      </c>
      <c r="V105" s="21">
        <f t="shared" si="39"/>
        <v>0</v>
      </c>
      <c r="IV105"/>
    </row>
    <row r="106" spans="1:256" s="113" customFormat="1" x14ac:dyDescent="0.25">
      <c r="B106" s="1797"/>
      <c r="C106" s="780"/>
      <c r="D106" s="11"/>
      <c r="E106" s="2056">
        <f>E105+1</f>
        <v>6</v>
      </c>
      <c r="F106" s="1539"/>
      <c r="G106" s="1540"/>
      <c r="H106" s="1540" t="s">
        <v>12</v>
      </c>
      <c r="I106" s="1422" t="s">
        <v>12</v>
      </c>
      <c r="J106" s="1541"/>
      <c r="K106" s="1500"/>
      <c r="L106" s="1973"/>
      <c r="M106" s="1587"/>
      <c r="N106" s="1588"/>
      <c r="O106" s="782"/>
      <c r="Q106" s="117"/>
      <c r="R106" s="117"/>
      <c r="U106" s="113">
        <f t="shared" si="39"/>
        <v>0</v>
      </c>
      <c r="V106" s="21">
        <f t="shared" si="39"/>
        <v>0</v>
      </c>
      <c r="IV106"/>
    </row>
    <row r="107" spans="1:256" s="113" customFormat="1" x14ac:dyDescent="0.25">
      <c r="B107" s="1797"/>
      <c r="C107" s="1943"/>
      <c r="D107" s="12"/>
      <c r="E107" s="212"/>
      <c r="F107" s="783"/>
      <c r="G107" s="2058"/>
      <c r="H107" s="2058"/>
      <c r="I107" s="2058"/>
      <c r="J107" s="784"/>
      <c r="K107" s="1391">
        <f>SUM(IF.ProfitShareAmt)</f>
        <v>0</v>
      </c>
      <c r="L107" s="1391">
        <f>SUM(IF.FirmCapBalOn31Mar)</f>
        <v>0</v>
      </c>
      <c r="M107" s="1194"/>
      <c r="N107" s="1588"/>
      <c r="O107" s="117"/>
      <c r="P107" s="117"/>
      <c r="Q107" s="117"/>
      <c r="R107" s="117"/>
      <c r="IV107"/>
    </row>
    <row r="108" spans="1:256" s="113" customFormat="1" x14ac:dyDescent="0.25">
      <c r="B108" s="1797"/>
      <c r="C108" s="1133"/>
      <c r="D108" s="1133"/>
      <c r="E108" s="1133"/>
      <c r="F108" s="1133"/>
      <c r="G108" s="1133"/>
      <c r="H108" s="1133"/>
      <c r="I108" s="1133"/>
      <c r="J108" s="1133"/>
      <c r="K108" s="1133"/>
      <c r="L108" s="1133"/>
      <c r="M108" s="1880"/>
      <c r="N108" s="1588"/>
      <c r="O108" s="117"/>
      <c r="P108" s="117"/>
      <c r="Q108" s="117"/>
      <c r="R108" s="117"/>
      <c r="IV108"/>
    </row>
    <row r="109" spans="1:256" s="113" customFormat="1" ht="12.75" customHeight="1" x14ac:dyDescent="0.25">
      <c r="B109" s="1797"/>
      <c r="C109" s="1133"/>
      <c r="D109" s="1133"/>
      <c r="E109" s="1133"/>
      <c r="F109" s="1133"/>
      <c r="G109" s="1133"/>
      <c r="H109" s="1133"/>
      <c r="I109" s="1133"/>
      <c r="J109" s="1133"/>
      <c r="K109" s="1133"/>
      <c r="L109" s="1133"/>
      <c r="M109" s="1880"/>
      <c r="N109" s="782"/>
      <c r="O109" s="117"/>
      <c r="P109" s="117"/>
      <c r="AB109" s="117"/>
      <c r="AC109" s="117"/>
      <c r="AD109" s="117"/>
      <c r="AE109" s="117"/>
      <c r="AF109" s="117"/>
      <c r="IV109"/>
    </row>
    <row r="110" spans="1:256" s="113" customFormat="1" ht="15.75" thickBot="1" x14ac:dyDescent="0.3">
      <c r="A110" s="117"/>
      <c r="B110" s="1853"/>
      <c r="C110" s="1841"/>
      <c r="D110" s="1841"/>
      <c r="E110" s="1841"/>
      <c r="F110" s="1841"/>
      <c r="G110" s="1841"/>
      <c r="H110" s="1841"/>
      <c r="I110" s="1841"/>
      <c r="J110" s="1841"/>
      <c r="K110" s="1841"/>
      <c r="L110" s="1841"/>
      <c r="M110" s="1881"/>
      <c r="N110" s="146"/>
      <c r="O110" s="117"/>
      <c r="P110" s="117"/>
      <c r="AB110" s="117"/>
      <c r="AC110" s="117"/>
      <c r="AD110" s="117"/>
      <c r="AE110" s="117"/>
      <c r="AF110" s="117"/>
      <c r="IU110" s="117"/>
      <c r="IV110"/>
    </row>
    <row r="111" spans="1:256" s="113" customFormat="1" x14ac:dyDescent="0.25">
      <c r="A111" s="117"/>
      <c r="B111" s="117"/>
      <c r="C111" s="117"/>
      <c r="D111" s="117"/>
      <c r="E111" s="117"/>
      <c r="F111" s="117"/>
      <c r="G111" s="117"/>
      <c r="H111" s="117"/>
      <c r="I111" s="117"/>
      <c r="J111" s="117"/>
      <c r="K111" s="117"/>
      <c r="L111" s="117"/>
      <c r="M111" s="117"/>
      <c r="N111" s="146"/>
      <c r="AB111" s="117"/>
      <c r="AC111" s="117"/>
      <c r="AD111" s="117"/>
      <c r="AE111" s="117"/>
      <c r="AF111" s="117"/>
      <c r="IU111" s="117"/>
      <c r="IV111"/>
    </row>
    <row r="112" spans="1:256" s="117" customFormat="1" x14ac:dyDescent="0.25">
      <c r="C112" s="113"/>
      <c r="D112" s="113"/>
      <c r="E112" s="113"/>
      <c r="F112" s="113"/>
      <c r="G112" s="113"/>
      <c r="H112" s="113"/>
      <c r="I112" s="113"/>
      <c r="J112" s="113"/>
      <c r="N112" s="146"/>
      <c r="O112" s="113"/>
      <c r="P112" s="113"/>
      <c r="Q112" s="113"/>
      <c r="R112" s="113"/>
      <c r="IV112"/>
    </row>
    <row r="113" spans="1:256" s="117" customFormat="1" x14ac:dyDescent="0.25">
      <c r="C113" s="113"/>
      <c r="D113" s="113"/>
      <c r="E113" s="113"/>
      <c r="F113" s="113"/>
      <c r="G113" s="113"/>
      <c r="H113" s="113"/>
      <c r="I113" s="113"/>
      <c r="J113" s="113"/>
      <c r="O113" s="113"/>
      <c r="P113" s="113"/>
      <c r="Q113" s="113"/>
      <c r="R113" s="113"/>
      <c r="AB113" s="113"/>
      <c r="AC113" s="113"/>
      <c r="AD113" s="113"/>
      <c r="AE113" s="113"/>
      <c r="AF113" s="113"/>
      <c r="IV113"/>
    </row>
    <row r="114" spans="1:256" s="117" customFormat="1" hidden="1" x14ac:dyDescent="0.25">
      <c r="A114" s="113"/>
      <c r="B114" s="113"/>
      <c r="C114" s="113"/>
      <c r="D114" s="113"/>
      <c r="E114" s="113"/>
      <c r="F114" s="113"/>
      <c r="G114" s="113"/>
      <c r="H114" s="113"/>
      <c r="I114" s="113"/>
      <c r="J114" s="113"/>
      <c r="O114" s="113"/>
      <c r="P114" s="113"/>
      <c r="Q114" s="113"/>
      <c r="R114" s="113"/>
      <c r="AB114" s="113"/>
      <c r="AC114" s="113"/>
      <c r="AD114" s="113"/>
      <c r="AE114" s="113"/>
      <c r="AF114" s="113"/>
      <c r="IV114"/>
    </row>
    <row r="115" spans="1:256" s="117" customFormat="1" hidden="1" x14ac:dyDescent="0.25">
      <c r="A115" s="113"/>
      <c r="B115" s="113"/>
      <c r="C115" s="113"/>
      <c r="D115" s="113"/>
      <c r="E115" s="113"/>
      <c r="F115" s="113"/>
      <c r="G115" s="113"/>
      <c r="H115" s="113"/>
      <c r="I115" s="113"/>
      <c r="J115" s="113"/>
      <c r="O115" s="113"/>
      <c r="P115" s="113"/>
      <c r="Q115" s="113"/>
      <c r="R115" s="113"/>
      <c r="AB115" s="113"/>
      <c r="AC115" s="113"/>
      <c r="AD115" s="113"/>
      <c r="AE115" s="113"/>
      <c r="AF115" s="113"/>
      <c r="IV115"/>
    </row>
    <row r="116" spans="1:256" s="113" customFormat="1" hidden="1" x14ac:dyDescent="0.25">
      <c r="K116" s="117"/>
      <c r="L116" s="117"/>
      <c r="M116" s="117"/>
      <c r="N116" s="117"/>
      <c r="IU116" s="117"/>
      <c r="IV116"/>
    </row>
    <row r="117" spans="1:256" s="113" customFormat="1" hidden="1" x14ac:dyDescent="0.25">
      <c r="K117" s="117"/>
      <c r="L117" s="117"/>
      <c r="M117" s="117"/>
      <c r="N117" s="117"/>
      <c r="IU117" s="117"/>
      <c r="IV117"/>
    </row>
    <row r="118" spans="1:256" s="113" customFormat="1" hidden="1" x14ac:dyDescent="0.25">
      <c r="K118" s="117"/>
      <c r="L118" s="117"/>
      <c r="M118" s="117"/>
      <c r="N118" s="117"/>
      <c r="IU118" s="117"/>
      <c r="IV118"/>
    </row>
    <row r="119" spans="1:256" s="113" customFormat="1" hidden="1" x14ac:dyDescent="0.25">
      <c r="K119" s="117"/>
      <c r="L119" s="117"/>
      <c r="M119" s="117"/>
      <c r="N119" s="117"/>
      <c r="IU119" s="117"/>
      <c r="IV119"/>
    </row>
    <row r="120" spans="1:256" s="113" customFormat="1" hidden="1" x14ac:dyDescent="0.25">
      <c r="K120" s="117"/>
      <c r="L120" s="117"/>
      <c r="M120" s="117"/>
      <c r="N120" s="117"/>
      <c r="IU120" s="117"/>
      <c r="IV120"/>
    </row>
    <row r="121" spans="1:256" s="113" customFormat="1" hidden="1" x14ac:dyDescent="0.25">
      <c r="K121" s="117"/>
      <c r="L121" s="117"/>
      <c r="M121" s="117"/>
      <c r="N121" s="117"/>
      <c r="IU121" s="117"/>
      <c r="IV121"/>
    </row>
    <row r="122" spans="1:256" s="113" customFormat="1" hidden="1" x14ac:dyDescent="0.25">
      <c r="K122" s="117"/>
      <c r="L122" s="117"/>
      <c r="M122" s="117"/>
      <c r="N122" s="117"/>
      <c r="IU122" s="117"/>
      <c r="IV122"/>
    </row>
    <row r="123" spans="1:256" s="113" customFormat="1" hidden="1" x14ac:dyDescent="0.25">
      <c r="K123" s="117"/>
      <c r="L123" s="117"/>
      <c r="M123" s="117"/>
      <c r="N123" s="117"/>
      <c r="IU123" s="117"/>
      <c r="IV123"/>
    </row>
    <row r="124" spans="1:256" s="113" customFormat="1" hidden="1" x14ac:dyDescent="0.25">
      <c r="K124" s="117"/>
      <c r="L124" s="117"/>
      <c r="M124" s="117"/>
      <c r="N124" s="117"/>
      <c r="IU124" s="117"/>
      <c r="IV124"/>
    </row>
    <row r="125" spans="1:256" s="113" customFormat="1" hidden="1" x14ac:dyDescent="0.25">
      <c r="K125" s="117"/>
      <c r="L125" s="117"/>
      <c r="M125" s="117"/>
      <c r="N125" s="117"/>
      <c r="IU125" s="117"/>
      <c r="IV125"/>
    </row>
    <row r="126" spans="1:256" s="113" customFormat="1" hidden="1" x14ac:dyDescent="0.25">
      <c r="F126" s="21"/>
      <c r="H126" s="785"/>
      <c r="K126" s="117"/>
      <c r="L126" s="117"/>
      <c r="M126" s="117"/>
      <c r="N126" s="117"/>
      <c r="IU126" s="117"/>
      <c r="IV126"/>
    </row>
    <row r="127" spans="1:256" s="113" customFormat="1" hidden="1" x14ac:dyDescent="0.25">
      <c r="F127" s="21"/>
      <c r="G127" s="459"/>
      <c r="J127" s="21" t="s">
        <v>1181</v>
      </c>
      <c r="K127" s="117"/>
      <c r="L127" s="117"/>
      <c r="M127" s="117"/>
      <c r="N127" s="117"/>
      <c r="IU127" s="117"/>
      <c r="IV127"/>
    </row>
    <row r="128" spans="1:256" s="113" customFormat="1" hidden="1" x14ac:dyDescent="0.25">
      <c r="F128" s="21"/>
      <c r="G128" s="459"/>
      <c r="J128" s="21" t="s">
        <v>1182</v>
      </c>
      <c r="K128" s="117"/>
      <c r="L128" s="117"/>
      <c r="M128" s="117"/>
      <c r="N128" s="117"/>
      <c r="IU128" s="117"/>
      <c r="IV128"/>
    </row>
    <row r="129" spans="6:256" s="113" customFormat="1" hidden="1" x14ac:dyDescent="0.25">
      <c r="F129" s="21"/>
      <c r="G129" s="459"/>
      <c r="J129" s="21" t="s">
        <v>1183</v>
      </c>
      <c r="K129" s="117"/>
      <c r="L129" s="117"/>
      <c r="M129" s="117"/>
      <c r="N129" s="117"/>
      <c r="IU129" s="117"/>
      <c r="IV129"/>
    </row>
    <row r="130" spans="6:256" s="113" customFormat="1" hidden="1" x14ac:dyDescent="0.25">
      <c r="F130" s="21"/>
      <c r="G130" s="459"/>
      <c r="J130" s="21" t="s">
        <v>1184</v>
      </c>
      <c r="K130" s="117"/>
      <c r="L130" s="117"/>
      <c r="M130" s="117"/>
      <c r="N130" s="117"/>
      <c r="IU130" s="117"/>
      <c r="IV130"/>
    </row>
    <row r="131" spans="6:256" s="113" customFormat="1" hidden="1" x14ac:dyDescent="0.25">
      <c r="F131" s="21"/>
      <c r="G131" s="459"/>
      <c r="J131" s="21" t="s">
        <v>1185</v>
      </c>
      <c r="K131" s="117"/>
      <c r="L131" s="117"/>
      <c r="M131" s="117"/>
      <c r="N131" s="117"/>
      <c r="IU131" s="117"/>
      <c r="IV131"/>
    </row>
    <row r="132" spans="6:256" s="113" customFormat="1" hidden="1" x14ac:dyDescent="0.25">
      <c r="F132" s="21"/>
      <c r="G132" s="459"/>
      <c r="J132" s="21" t="s">
        <v>7176</v>
      </c>
      <c r="K132" s="117"/>
      <c r="L132" s="117"/>
      <c r="M132" s="117"/>
      <c r="N132" s="117"/>
      <c r="IU132" s="117"/>
      <c r="IV132"/>
    </row>
    <row r="133" spans="6:256" s="113" customFormat="1" hidden="1" x14ac:dyDescent="0.25">
      <c r="F133" s="21"/>
      <c r="G133" s="459"/>
      <c r="J133" s="21" t="s">
        <v>1186</v>
      </c>
      <c r="K133" s="117"/>
      <c r="L133" s="117"/>
      <c r="M133" s="117"/>
      <c r="N133" s="117"/>
      <c r="IU133" s="117"/>
      <c r="IV133"/>
    </row>
    <row r="134" spans="6:256" s="113" customFormat="1" hidden="1" x14ac:dyDescent="0.25">
      <c r="F134" s="21"/>
      <c r="G134" s="459"/>
      <c r="J134" s="21" t="s">
        <v>1187</v>
      </c>
      <c r="K134" s="117"/>
      <c r="L134" s="117"/>
      <c r="M134" s="117"/>
      <c r="N134" s="117"/>
      <c r="IU134" s="117"/>
      <c r="IV134"/>
    </row>
    <row r="135" spans="6:256" s="113" customFormat="1" hidden="1" x14ac:dyDescent="0.25">
      <c r="F135" s="21"/>
      <c r="G135" s="459"/>
      <c r="J135" s="21" t="s">
        <v>1188</v>
      </c>
      <c r="K135" s="117"/>
      <c r="L135" s="117"/>
      <c r="M135" s="117"/>
      <c r="N135" s="117"/>
      <c r="IU135" s="117"/>
      <c r="IV135"/>
    </row>
    <row r="136" spans="6:256" s="113" customFormat="1" hidden="1" x14ac:dyDescent="0.25">
      <c r="F136" s="21"/>
      <c r="G136" s="459"/>
      <c r="J136" s="21" t="s">
        <v>1189</v>
      </c>
      <c r="K136" s="117"/>
      <c r="L136" s="117"/>
      <c r="M136" s="117"/>
      <c r="N136" s="117"/>
      <c r="Q136" s="459"/>
      <c r="IU136" s="117"/>
      <c r="IV136"/>
    </row>
    <row r="137" spans="6:256" s="113" customFormat="1" hidden="1" x14ac:dyDescent="0.25">
      <c r="F137" s="21"/>
      <c r="G137" s="459"/>
      <c r="J137" s="21" t="s">
        <v>13263</v>
      </c>
      <c r="K137" s="117"/>
      <c r="L137" s="117"/>
      <c r="M137" s="117"/>
      <c r="N137" s="117"/>
      <c r="Q137" s="459"/>
      <c r="IU137" s="117"/>
      <c r="IV137"/>
    </row>
    <row r="138" spans="6:256" s="113" customFormat="1" hidden="1" x14ac:dyDescent="0.25">
      <c r="F138" s="21"/>
      <c r="G138" s="459"/>
      <c r="J138" s="21" t="s">
        <v>1190</v>
      </c>
      <c r="K138" s="117"/>
      <c r="L138" s="117"/>
      <c r="M138" s="117"/>
      <c r="N138" s="117"/>
      <c r="P138" s="21"/>
      <c r="Q138" s="459"/>
      <c r="IU138" s="117"/>
      <c r="IV138"/>
    </row>
    <row r="139" spans="6:256" s="113" customFormat="1" hidden="1" x14ac:dyDescent="0.25">
      <c r="F139" s="21"/>
      <c r="G139" s="459"/>
      <c r="J139" s="21" t="s">
        <v>1191</v>
      </c>
      <c r="K139" s="117"/>
      <c r="L139" s="117"/>
      <c r="M139" s="117"/>
      <c r="N139" s="117"/>
      <c r="P139" s="21"/>
      <c r="Q139" s="459"/>
      <c r="IU139" s="117"/>
      <c r="IV139"/>
    </row>
    <row r="140" spans="6:256" s="113" customFormat="1" hidden="1" x14ac:dyDescent="0.25">
      <c r="F140" s="21"/>
      <c r="G140" s="459"/>
      <c r="J140" s="21" t="s">
        <v>1192</v>
      </c>
      <c r="K140" s="117"/>
      <c r="L140" s="117"/>
      <c r="M140" s="117"/>
      <c r="N140" s="117"/>
      <c r="P140" s="21"/>
      <c r="Q140" s="294"/>
      <c r="IU140" s="117"/>
      <c r="IV140"/>
    </row>
    <row r="141" spans="6:256" s="113" customFormat="1" hidden="1" x14ac:dyDescent="0.25">
      <c r="F141" s="21"/>
      <c r="G141" s="459"/>
      <c r="J141" s="21" t="s">
        <v>1194</v>
      </c>
      <c r="K141" s="117"/>
      <c r="L141" s="117"/>
      <c r="M141" s="117"/>
      <c r="N141" s="117"/>
      <c r="P141" s="21"/>
      <c r="IU141" s="117"/>
      <c r="IV141"/>
    </row>
    <row r="142" spans="6:256" s="113" customFormat="1" hidden="1" x14ac:dyDescent="0.25">
      <c r="F142" s="21"/>
      <c r="G142" s="459"/>
      <c r="J142" s="21" t="s">
        <v>1195</v>
      </c>
      <c r="K142" s="117"/>
      <c r="L142" s="117"/>
      <c r="M142" s="117"/>
      <c r="N142" s="117"/>
      <c r="IU142" s="117"/>
      <c r="IV142"/>
    </row>
    <row r="143" spans="6:256" s="113" customFormat="1" hidden="1" x14ac:dyDescent="0.25">
      <c r="F143" s="21"/>
      <c r="G143" s="459"/>
      <c r="J143" s="21" t="s">
        <v>1196</v>
      </c>
      <c r="K143" s="117"/>
      <c r="L143" s="117"/>
      <c r="M143" s="117"/>
      <c r="N143" s="117"/>
      <c r="IU143" s="117"/>
      <c r="IV143"/>
    </row>
    <row r="144" spans="6:256" s="113" customFormat="1" hidden="1" x14ac:dyDescent="0.25">
      <c r="F144" s="21"/>
      <c r="G144" s="459"/>
      <c r="J144" s="21" t="s">
        <v>1197</v>
      </c>
      <c r="K144" s="117"/>
      <c r="L144" s="117"/>
      <c r="M144" s="117"/>
      <c r="N144" s="117"/>
      <c r="IU144" s="117"/>
      <c r="IV144"/>
    </row>
    <row r="145" spans="1:256" s="113" customFormat="1" hidden="1" x14ac:dyDescent="0.25">
      <c r="F145" s="21"/>
      <c r="G145" s="459"/>
      <c r="J145" s="21" t="s">
        <v>1554</v>
      </c>
      <c r="K145" s="117"/>
      <c r="L145" s="117"/>
      <c r="M145" s="117"/>
      <c r="N145" s="117"/>
      <c r="IU145" s="117"/>
      <c r="IV145"/>
    </row>
    <row r="146" spans="1:256" s="113" customFormat="1" hidden="1" x14ac:dyDescent="0.25">
      <c r="J146" s="21" t="s">
        <v>1193</v>
      </c>
      <c r="K146" s="117"/>
      <c r="L146" s="117"/>
      <c r="M146" s="117"/>
      <c r="N146" s="117"/>
      <c r="Q146" s="462"/>
      <c r="R146" s="462"/>
      <c r="IU146" s="117"/>
      <c r="IV146"/>
    </row>
    <row r="147" spans="1:256" s="113" customFormat="1" x14ac:dyDescent="0.25">
      <c r="K147" s="117"/>
      <c r="L147" s="117"/>
      <c r="M147" s="117"/>
      <c r="N147" s="117"/>
      <c r="Q147" s="462"/>
      <c r="R147" s="462"/>
      <c r="IU147" s="117"/>
      <c r="IV147"/>
    </row>
    <row r="148" spans="1:256" s="113" customFormat="1" x14ac:dyDescent="0.25">
      <c r="K148" s="117"/>
      <c r="L148" s="117"/>
      <c r="M148" s="117"/>
      <c r="N148" s="117"/>
      <c r="O148" s="462"/>
      <c r="P148" s="462"/>
      <c r="Q148" s="462"/>
      <c r="R148" s="462"/>
      <c r="IU148" s="117"/>
      <c r="IV148"/>
    </row>
    <row r="149" spans="1:256" s="113" customFormat="1" x14ac:dyDescent="0.25">
      <c r="A149" s="462"/>
      <c r="B149" s="462"/>
      <c r="C149" s="462"/>
      <c r="D149" s="462"/>
      <c r="E149" s="462"/>
      <c r="F149" s="462"/>
      <c r="G149" s="462"/>
      <c r="H149" s="462"/>
      <c r="I149" s="462"/>
      <c r="J149" s="462"/>
      <c r="K149" s="462"/>
      <c r="L149" s="462"/>
      <c r="M149" s="462"/>
      <c r="N149" s="117"/>
      <c r="O149" s="462"/>
      <c r="P149" s="462"/>
      <c r="Q149" s="462"/>
      <c r="R149" s="462"/>
      <c r="AB149" s="462"/>
      <c r="AC149" s="462"/>
      <c r="AD149" s="462"/>
      <c r="AE149" s="462"/>
      <c r="AF149" s="462"/>
      <c r="IU149" s="117"/>
      <c r="IV149"/>
    </row>
    <row r="150" spans="1:256" s="113" customFormat="1" x14ac:dyDescent="0.25">
      <c r="A150" s="462"/>
      <c r="B150" s="462"/>
      <c r="C150" s="462"/>
      <c r="D150" s="462"/>
      <c r="E150" s="462"/>
      <c r="F150" s="462"/>
      <c r="G150" s="462"/>
      <c r="H150" s="462"/>
      <c r="I150" s="462"/>
      <c r="J150" s="462"/>
      <c r="K150" s="462"/>
      <c r="L150" s="462"/>
      <c r="M150" s="462"/>
      <c r="N150" s="117"/>
      <c r="O150" s="462"/>
      <c r="P150" s="462"/>
      <c r="Q150" s="462"/>
      <c r="R150" s="462"/>
      <c r="AB150" s="462"/>
      <c r="AC150" s="462"/>
      <c r="AD150" s="462"/>
      <c r="AE150" s="462"/>
      <c r="AF150" s="462"/>
      <c r="IU150" s="117"/>
      <c r="IV150"/>
    </row>
    <row r="151" spans="1:256" x14ac:dyDescent="0.25"/>
  </sheetData>
  <sheetProtection algorithmName="SHA-512" hashValue="qLrU7uSRGP8pIRRVlWq4TcCO6sxuJALn+SwIzFi0DdmUU5U5LlvhVEAaGUR9nb7LUqFVtrVFcZS6pkcsRH9pEA==" saltValue="8mTacaM5UIaEtfMtWIJ15A==" spinCount="100000" sheet="1" objects="1" scenarios="1"/>
  <mergeCells count="20">
    <mergeCell ref="AB17:AF17"/>
    <mergeCell ref="C57:C59"/>
    <mergeCell ref="F99:F100"/>
    <mergeCell ref="E97:L97"/>
    <mergeCell ref="E16:H16"/>
    <mergeCell ref="D98:L98"/>
    <mergeCell ref="C97:D97"/>
    <mergeCell ref="E99:E100"/>
    <mergeCell ref="I99:I100"/>
    <mergeCell ref="G99:G100"/>
    <mergeCell ref="C3:D4"/>
    <mergeCell ref="H99:H100"/>
    <mergeCell ref="D13:E14"/>
    <mergeCell ref="C15:J15"/>
    <mergeCell ref="C17:C33"/>
    <mergeCell ref="J99:J100"/>
    <mergeCell ref="D99:D100"/>
    <mergeCell ref="C16:D16"/>
    <mergeCell ref="E3:J4"/>
    <mergeCell ref="C98:C104"/>
  </mergeCells>
  <dataValidations count="22">
    <dataValidation type="textLength" operator="lessThanOrEqual" allowBlank="1" showErrorMessage="1" errorTitle="Relationship" error="Relationship should not exceed 50 characters " sqref="H6:H11">
      <formula1>50</formula1>
    </dataValidation>
    <dataValidation type="textLength" operator="lessThanOrEqual" allowBlank="1" showErrorMessage="1" errorTitle="SpecifiedPersonName" error="SpecifiedPersonName  should not exceed 125 characters " sqref="E6:E11">
      <formula1>125</formula1>
    </dataValidation>
    <dataValidation type="textLength" operator="lessThanOrEqual" allowBlank="1" showErrorMessage="1" errorTitle="ReltnShip" error="ReltnShip  should not exceed 20 characters " sqref="F7:F11">
      <formula1>10</formula1>
    </dataValidation>
    <dataValidation type="whole" allowBlank="1" showErrorMessage="1" errorTitle="AmtIncluded" error="AmtIncluded  No decimal, upto 99,999,999,999,999 " sqref="I6:I11">
      <formula1>-99999999999999</formula1>
      <formula2>99999999999999</formula2>
    </dataValidation>
    <dataValidation allowBlank="1" showErrorMessage="1" errorTitle="SplRatePercent" error="  Please Select from list" sqref="F18 AD59:AF59 AC18:AC30 AC32:AC92 F20:F92"/>
    <dataValidation type="whole" allowBlank="1" showErrorMessage="1" errorTitle="SplRateIncTax" error="SplRateIncTax  Non negative, no decimal, upto 99,999,999,999,999" sqref="H18 I19 H20:H92">
      <formula1>0</formula1>
      <formula2>99999999999999</formula2>
    </dataValidation>
    <dataValidation type="whole" allowBlank="1" showInputMessage="1" showErrorMessage="1" error="Pl enter non negative, no decimal upto 14 digits" sqref="I18">
      <formula1>0</formula1>
      <formula2>99999999999999</formula2>
    </dataValidation>
    <dataValidation type="textLength" operator="equal" allowBlank="1" showInputMessage="1" showErrorMessage="1" error="Please enter Valid 10digit PAN, 1st 5 characters, 4 digits and then character" sqref="G101:G106">
      <formula1>10</formula1>
    </dataValidation>
    <dataValidation type="list" operator="equal" allowBlank="1" showErrorMessage="1" errorTitle="Liable to Audit" error="Select Y,N" sqref="H101:H106">
      <formula1>"(Select),Y,N"</formula1>
    </dataValidation>
    <dataValidation type="whole" allowBlank="1" showErrorMessage="1" errorTitle="ProfitShareAmt" error="ProfitShareAmt  No decimal, upto 99,999,999,999,999 " sqref="K101:K106">
      <formula1>-99999999999999</formula1>
      <formula2>99999999999999</formula2>
    </dataValidation>
    <dataValidation type="whole" allowBlank="1" showErrorMessage="1" errorTitle="TotalProfitShareAmt" error="TotalProfitShareAmt  No decimal, upto 99,999,999,999,999 " sqref="K107">
      <formula1>-99999999999999</formula1>
      <formula2>99999999999999</formula2>
    </dataValidation>
    <dataValidation type="decimal" allowBlank="1" showErrorMessage="1" errorTitle="ProfitSharePercent" error="ProfitSharePercent  2 decimal places, upto 100" sqref="J101:J106">
      <formula1>0</formula1>
      <formula2>100</formula2>
    </dataValidation>
    <dataValidation type="textLength" operator="lessThanOrEqual" allowBlank="1" showErrorMessage="1" errorTitle="FirmName" error="FirmName  should not exceed 125 characters " sqref="F101:F106">
      <formula1>125</formula1>
    </dataValidation>
    <dataValidation type="whole" allowBlank="1" showErrorMessage="1" errorTitle="SplRateIncTax" error="SplRateIncTax  Non negative, no decimal, and not greater than Income" sqref="H19">
      <formula1>0</formula1>
      <formula2>G19</formula2>
    </dataValidation>
    <dataValidation type="decimal" operator="greaterThanOrEqual" allowBlank="1" showErrorMessage="1" errorTitle="SplRatePercent" error="  Please Select from list" sqref="F19 AC31">
      <formula1>0</formula1>
    </dataValidation>
    <dataValidation type="list" operator="equal" allowBlank="1" showErrorMessage="1" errorTitle="Whether 92E is applicable?" error="Select Y,N" sqref="I101:I106">
      <formula1>"(Select),Y,N"</formula1>
    </dataValidation>
    <dataValidation type="whole" allowBlank="1" showErrorMessage="1" errorTitle="FirmCapBalOn31Mar" error="FirmCapBalOn31Mar  No decimal, upto 99,999,999,999,999 " sqref="O100:O105 L101:M106 N103:N108">
      <formula1>-99999999999999</formula1>
      <formula2>99999999999999</formula2>
    </dataValidation>
    <dataValidation type="whole" allowBlank="1" showErrorMessage="1" errorTitle="TotalFirmCapBalOn31Mar" error="TotalFirmCapBalOn31Mar  No decimal, upto 99,999,999,999,999 " sqref="O106 L107:M107 N109">
      <formula1>-99999999999999</formula1>
      <formula2>99999999999999</formula2>
    </dataValidation>
    <dataValidation type="list" operator="lessThanOrEqual" allowBlank="1" showErrorMessage="1" errorTitle="Head of income" error="Head of income   should not exceed 50 characters " sqref="J6:J11">
      <formula1>"(Select),Business/Profession,Salary,House Property,Capital Gains,Other sources,Exempt Income"</formula1>
    </dataValidation>
    <dataValidation type="textLength" operator="equal" allowBlank="1" showErrorMessage="1" errorTitle="ReltnShip" error="Please enter valid Aadhaar Number" sqref="G6:G11">
      <formula1>12</formula1>
    </dataValidation>
    <dataValidation type="whole" allowBlank="1" showInputMessage="1" showErrorMessage="1" errorTitle="SplRateIncTax" error="SplRateIncTax  Non negative, no decimal, upto 99,999,999,999,999" sqref="I58:I59">
      <formula1>0</formula1>
      <formula2>99999999999999</formula2>
    </dataValidation>
    <dataValidation type="textLength" operator="lessThanOrEqual" allowBlank="1" showErrorMessage="1" errorTitle="ReltnShip" error="ReltnShip  should not exceed 10 characters " sqref="F6">
      <formula1>10</formula1>
    </dataValidation>
  </dataValidations>
  <printOptions horizontalCentered="1"/>
  <pageMargins left="5.5555555555555558E-3" right="5.5555555555555558E-3" top="0.75" bottom="0.75" header="0.3" footer="0.3"/>
  <pageSetup paperSize="9" orientation="landscape" blackAndWhite="1" r:id="rId1"/>
  <ignoredErrors>
    <ignoredError sqref="J145" numberStoredAsText="1"/>
    <ignoredError sqref="H6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773" r:id="rId4" name="Button 5">
              <controlPr defaultSize="0" print="0" autoFill="0" autoPict="0" macro="[0]!Cmd_AddRows_SPI_Click">
                <anchor moveWithCells="1">
                  <from>
                    <xdr:col>3</xdr:col>
                    <xdr:colOff>0</xdr:colOff>
                    <xdr:row>12</xdr:row>
                    <xdr:rowOff>47625</xdr:rowOff>
                  </from>
                  <to>
                    <xdr:col>4</xdr:col>
                    <xdr:colOff>762000</xdr:colOff>
                    <xdr:row>13</xdr:row>
                    <xdr:rowOff>123825</xdr:rowOff>
                  </to>
                </anchor>
              </controlPr>
            </control>
          </mc:Choice>
        </mc:AlternateContent>
        <mc:AlternateContent xmlns:mc="http://schemas.openxmlformats.org/markup-compatibility/2006">
          <mc:Choice Requires="x14">
            <control shapeId="32772" r:id="rId5" name="Button 4">
              <controlPr defaultSize="0" print="0" autoFill="0" autoPict="0" macro="[0]!Cmd_Validate_SPI_Click">
                <anchor>
                  <from>
                    <xdr:col>10</xdr:col>
                    <xdr:colOff>95250</xdr:colOff>
                    <xdr:row>4</xdr:row>
                    <xdr:rowOff>142875</xdr:rowOff>
                  </from>
                  <to>
                    <xdr:col>11</xdr:col>
                    <xdr:colOff>371475</xdr:colOff>
                    <xdr:row>5</xdr:row>
                    <xdr:rowOff>76200</xdr:rowOff>
                  </to>
                </anchor>
              </controlPr>
            </control>
          </mc:Choice>
        </mc:AlternateContent>
        <mc:AlternateContent xmlns:mc="http://schemas.openxmlformats.org/markup-compatibility/2006">
          <mc:Choice Requires="x14">
            <control shapeId="32774" r:id="rId6" name="Button 6">
              <controlPr defaultSize="0" print="0" autoFill="0" autoPict="0" macro="[0]!Cmd_AddRows_IF_Click">
                <anchor moveWithCells="1">
                  <from>
                    <xdr:col>4</xdr:col>
                    <xdr:colOff>0</xdr:colOff>
                    <xdr:row>107</xdr:row>
                    <xdr:rowOff>76200</xdr:rowOff>
                  </from>
                  <to>
                    <xdr:col>4</xdr:col>
                    <xdr:colOff>1371600</xdr:colOff>
                    <xdr:row>109</xdr:row>
                    <xdr:rowOff>28575</xdr:rowOff>
                  </to>
                </anchor>
              </controlPr>
            </control>
          </mc:Choice>
        </mc:AlternateContent>
        <mc:AlternateContent xmlns:mc="http://schemas.openxmlformats.org/markup-compatibility/2006">
          <mc:Choice Requires="x14">
            <control shapeId="32779" r:id="rId7" name="Button 11">
              <controlPr defaultSize="0" print="0" autoFill="0" autoPict="0" macro="[0]!Prev_Sheet">
                <anchor>
                  <from>
                    <xdr:col>10</xdr:col>
                    <xdr:colOff>95250</xdr:colOff>
                    <xdr:row>7</xdr:row>
                    <xdr:rowOff>95250</xdr:rowOff>
                  </from>
                  <to>
                    <xdr:col>11</xdr:col>
                    <xdr:colOff>371475</xdr:colOff>
                    <xdr:row>9</xdr:row>
                    <xdr:rowOff>38100</xdr:rowOff>
                  </to>
                </anchor>
              </controlPr>
            </control>
          </mc:Choice>
        </mc:AlternateContent>
        <mc:AlternateContent xmlns:mc="http://schemas.openxmlformats.org/markup-compatibility/2006">
          <mc:Choice Requires="x14">
            <control shapeId="32780" r:id="rId8" name="Button 12">
              <controlPr defaultSize="0" print="0" autoFill="0" autoPict="0" macro="[0]!Img_Home_Click">
                <anchor>
                  <from>
                    <xdr:col>10</xdr:col>
                    <xdr:colOff>95250</xdr:colOff>
                    <xdr:row>2</xdr:row>
                    <xdr:rowOff>104775</xdr:rowOff>
                  </from>
                  <to>
                    <xdr:col>11</xdr:col>
                    <xdr:colOff>371475</xdr:colOff>
                    <xdr:row>4</xdr:row>
                    <xdr:rowOff>114300</xdr:rowOff>
                  </to>
                </anchor>
              </controlPr>
            </control>
          </mc:Choice>
        </mc:AlternateContent>
        <mc:AlternateContent xmlns:mc="http://schemas.openxmlformats.org/markup-compatibility/2006">
          <mc:Choice Requires="x14">
            <control shapeId="32782" r:id="rId9" name="Button 14">
              <controlPr defaultSize="0" print="0" autoFill="0" autoPict="0" macro="[0]!Next_Sheet">
                <anchor>
                  <from>
                    <xdr:col>10</xdr:col>
                    <xdr:colOff>95250</xdr:colOff>
                    <xdr:row>5</xdr:row>
                    <xdr:rowOff>104775</xdr:rowOff>
                  </from>
                  <to>
                    <xdr:col>11</xdr:col>
                    <xdr:colOff>371475</xdr:colOff>
                    <xdr:row>7</xdr:row>
                    <xdr:rowOff>57150</xdr:rowOff>
                  </to>
                </anchor>
              </controlPr>
            </control>
          </mc:Choice>
        </mc:AlternateContent>
        <mc:AlternateContent xmlns:mc="http://schemas.openxmlformats.org/markup-compatibility/2006">
          <mc:Choice Requires="x14">
            <control shapeId="32785" r:id="rId10" name="Button 17">
              <controlPr defaultSize="0" print="0" autoFill="0" autoPict="0" macro="[0]!GenerateJSON.GenerateJSON">
                <anchor>
                  <from>
                    <xdr:col>10</xdr:col>
                    <xdr:colOff>95250</xdr:colOff>
                    <xdr:row>9</xdr:row>
                    <xdr:rowOff>66675</xdr:rowOff>
                  </from>
                  <to>
                    <xdr:col>11</xdr:col>
                    <xdr:colOff>371475</xdr:colOff>
                    <xdr:row>11</xdr:row>
                    <xdr:rowOff>19050</xdr:rowOff>
                  </to>
                </anchor>
              </controlPr>
            </control>
          </mc:Choice>
        </mc:AlternateContent>
        <mc:AlternateContent xmlns:mc="http://schemas.openxmlformats.org/markup-compatibility/2006">
          <mc:Choice Requires="x14">
            <control shapeId="32783" r:id="rId11" name="Button 15">
              <controlPr defaultSize="0" print="0" autoFill="0" autoPict="0" macro="[0]!Instruction_Sheet">
                <anchor>
                  <from>
                    <xdr:col>10</xdr:col>
                    <xdr:colOff>95250</xdr:colOff>
                    <xdr:row>13</xdr:row>
                    <xdr:rowOff>0</xdr:rowOff>
                  </from>
                  <to>
                    <xdr:col>11</xdr:col>
                    <xdr:colOff>371475</xdr:colOff>
                    <xdr:row>15</xdr:row>
                    <xdr:rowOff>95250</xdr:rowOff>
                  </to>
                </anchor>
              </controlPr>
            </control>
          </mc:Choice>
        </mc:AlternateContent>
        <mc:AlternateContent xmlns:mc="http://schemas.openxmlformats.org/markup-compatibility/2006">
          <mc:Choice Requires="x14">
            <control shapeId="32784" r:id="rId12" name="Button 16">
              <controlPr defaultSize="0" print="0" autoFill="0" autoPict="0" macro="[0]!WorksheetsPrint">
                <anchor>
                  <from>
                    <xdr:col>10</xdr:col>
                    <xdr:colOff>95250</xdr:colOff>
                    <xdr:row>11</xdr:row>
                    <xdr:rowOff>57150</xdr:rowOff>
                  </from>
                  <to>
                    <xdr:col>11</xdr:col>
                    <xdr:colOff>371475</xdr:colOff>
                    <xdr:row>12</xdr:row>
                    <xdr:rowOff>171450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A15"/>
  <sheetViews>
    <sheetView showGridLines="0" showRowColHeaders="0" zoomScaleNormal="100" workbookViewId="0">
      <selection activeCell="H6" sqref="H6"/>
    </sheetView>
  </sheetViews>
  <sheetFormatPr defaultColWidth="0" defaultRowHeight="12.75" zeroHeight="1" x14ac:dyDescent="0.2"/>
  <cols>
    <col min="1" max="1" width="4.28515625" style="113" customWidth="1"/>
    <col min="2" max="2" width="4.140625" style="113" customWidth="1"/>
    <col min="3" max="3" width="5.7109375" style="113" customWidth="1"/>
    <col min="4" max="4" width="7.7109375" style="113" customWidth="1"/>
    <col min="5" max="5" width="7" style="113" customWidth="1"/>
    <col min="6" max="6" width="32.42578125" style="113" customWidth="1"/>
    <col min="7" max="7" width="6.42578125" style="113" customWidth="1"/>
    <col min="8" max="8" width="17" style="113" customWidth="1"/>
    <col min="9" max="9" width="15.42578125" style="113" customWidth="1"/>
    <col min="10" max="10" width="16.28515625" style="113" customWidth="1"/>
    <col min="11" max="11" width="4.28515625" style="117" customWidth="1"/>
    <col min="12" max="12" width="24.85546875" style="113" customWidth="1"/>
    <col min="13" max="27" width="9.42578125" style="113" hidden="1" customWidth="1"/>
    <col min="28" max="16384" width="2.140625" style="113" hidden="1"/>
  </cols>
  <sheetData>
    <row r="1" spans="2:25" ht="13.5" thickBot="1" x14ac:dyDescent="0.25"/>
    <row r="2" spans="2:25" x14ac:dyDescent="0.2">
      <c r="B2" s="1794"/>
      <c r="C2" s="1795"/>
      <c r="D2" s="1795"/>
      <c r="E2" s="1795"/>
      <c r="F2" s="1795"/>
      <c r="G2" s="1795"/>
      <c r="H2" s="1795"/>
      <c r="I2" s="1795"/>
      <c r="J2" s="1795"/>
      <c r="K2" s="1843"/>
    </row>
    <row r="3" spans="2:25" ht="12.75" customHeight="1" x14ac:dyDescent="0.2">
      <c r="B3" s="1797"/>
      <c r="C3" s="3828" t="s">
        <v>1204</v>
      </c>
      <c r="D3" s="3290"/>
      <c r="E3" s="3839"/>
      <c r="F3" s="3017" t="s">
        <v>1205</v>
      </c>
      <c r="G3" s="3015"/>
      <c r="H3" s="3015"/>
      <c r="I3" s="3015"/>
      <c r="J3" s="3016"/>
      <c r="K3" s="1836"/>
      <c r="M3" s="113">
        <f>IF(AND(Condn_1=1,Condn_2=1,Condn_3=1,Condn_4=1,Condn_5=1,Condn_6=1),1,0)</f>
        <v>0</v>
      </c>
      <c r="N3" s="113" t="s">
        <v>7645</v>
      </c>
      <c r="O3" s="113">
        <f>IF(Sheet8b.TotalIncome=0,1,0)</f>
        <v>1</v>
      </c>
      <c r="P3" s="113" t="s">
        <v>7646</v>
      </c>
      <c r="Q3" s="113">
        <f>IF(IF(sheet10.NetPLFromSpecifiedBus="",0,sheet10.NetPLFromSpecifiedBus)=sheet10.ProfBfrTaxPL,1,0)</f>
        <v>1</v>
      </c>
      <c r="R3" s="113" t="s">
        <v>7647</v>
      </c>
      <c r="S3" s="113">
        <f>IF(sheet12.AdjustedPLFrmSpecifiedBus&lt;0,1,0)</f>
        <v>0</v>
      </c>
      <c r="T3" s="113" t="s">
        <v>7648</v>
      </c>
      <c r="U3" s="113">
        <f>IF(IF(sheet12.DeductUs35AD="",0,sheet12.DeductUs35AD)&gt;0,1,0)</f>
        <v>0</v>
      </c>
      <c r="V3" s="113" t="s">
        <v>7649</v>
      </c>
      <c r="W3" s="113">
        <f>IF(Sheet8b.TotalTI=0,1,0)</f>
        <v>1</v>
      </c>
      <c r="X3" s="113" t="s">
        <v>7650</v>
      </c>
      <c r="Y3" s="113">
        <f>IF(AND(Sheet8b.CurrentYearLoss =0,Sheet8b.BroughtFwdLossesSetoff =0),1,0)</f>
        <v>1</v>
      </c>
    </row>
    <row r="4" spans="2:25" ht="12.75" customHeight="1" x14ac:dyDescent="0.2">
      <c r="B4" s="1797"/>
      <c r="C4" s="3042" t="s">
        <v>1206</v>
      </c>
      <c r="D4" s="2019">
        <v>1</v>
      </c>
      <c r="E4" s="3840" t="s">
        <v>1207</v>
      </c>
      <c r="F4" s="3005"/>
      <c r="G4" s="3005"/>
      <c r="H4" s="3005"/>
      <c r="I4" s="3008"/>
      <c r="J4" s="1542">
        <f>IF(Amt_Condn=1,sheet12.ProfLossFromSpecifiedBus,Sheet8b.TotalIncome)</f>
        <v>0</v>
      </c>
      <c r="K4" s="1836"/>
    </row>
    <row r="5" spans="2:25" ht="12.75" customHeight="1" x14ac:dyDescent="0.2">
      <c r="B5" s="1797"/>
      <c r="C5" s="3013"/>
      <c r="D5" s="2065">
        <v>2</v>
      </c>
      <c r="E5" s="3841" t="s">
        <v>1208</v>
      </c>
      <c r="F5" s="3842"/>
      <c r="G5" s="3842"/>
      <c r="H5" s="3842"/>
      <c r="I5" s="3080"/>
      <c r="J5" s="3105"/>
      <c r="K5" s="1836"/>
    </row>
    <row r="6" spans="2:25" ht="56.25" customHeight="1" x14ac:dyDescent="0.2">
      <c r="B6" s="1797"/>
      <c r="C6" s="3013"/>
      <c r="D6" s="3693"/>
      <c r="E6" s="1394" t="s">
        <v>865</v>
      </c>
      <c r="F6" s="1433" t="s">
        <v>7962</v>
      </c>
      <c r="G6" s="274" t="s">
        <v>697</v>
      </c>
      <c r="H6" s="1542">
        <f>MAX(0,MIN(GTI_LIMIT-Sheet8b.PartBchapterVIA,(Sheet8b.PartCchapterVIA)))</f>
        <v>0</v>
      </c>
      <c r="I6" s="3135"/>
      <c r="J6" s="3136"/>
      <c r="K6" s="1836"/>
    </row>
    <row r="7" spans="2:25" ht="15" customHeight="1" x14ac:dyDescent="0.2">
      <c r="B7" s="1797"/>
      <c r="C7" s="3013"/>
      <c r="D7" s="3693"/>
      <c r="E7" s="258" t="s">
        <v>866</v>
      </c>
      <c r="F7" s="2011" t="s">
        <v>7963</v>
      </c>
      <c r="G7" s="254" t="s">
        <v>699</v>
      </c>
      <c r="H7" s="1542">
        <f>MIN(busipofincl.IncOfCurYrAfterSetOffBFLosses2,AA10.TotalDedUs10Sub)</f>
        <v>0</v>
      </c>
      <c r="I7" s="3135"/>
      <c r="J7" s="3136"/>
      <c r="K7" s="1836"/>
      <c r="N7" s="2625">
        <f>AMT.AdjustedUnderSec115JC3a</f>
        <v>0</v>
      </c>
      <c r="O7" s="2625" cm="1">
        <f t="array" ref="O7">MAX(0,5000000-AMT.AdjustedUnderSec115JC3a2_50L)</f>
        <v>5000000</v>
      </c>
      <c r="P7" s="2625">
        <f>IF(bacValue=1,0,IF(AMT.Total &lt;=0,0,IF(AMT.AdjustedUnderSec115JC &lt;=2000000,0,MAX(0,IF(sheet1.Foreign_Exchange="Yes",ROUND(AMT.AdjustedUnderSec115JC3a2New_50L+AMT.AdjustedUnderSec115JC3b2New_50L,0),ROUND(AMT.AdjustedUnderSec115JC3a2New_50L+AMT.AdjustedUnderSec115JC3b2New_50L,0))))))</f>
        <v>0</v>
      </c>
    </row>
    <row r="8" spans="2:25" ht="45" customHeight="1" x14ac:dyDescent="0.2">
      <c r="B8" s="1797"/>
      <c r="C8" s="3013"/>
      <c r="D8" s="3693"/>
      <c r="E8" s="2056" t="s">
        <v>867</v>
      </c>
      <c r="F8" s="2004" t="s">
        <v>7260</v>
      </c>
      <c r="G8" s="2065" t="s">
        <v>322</v>
      </c>
      <c r="H8" s="2034">
        <v>0</v>
      </c>
      <c r="I8" s="3135"/>
      <c r="J8" s="3136"/>
      <c r="K8" s="1836"/>
      <c r="N8" s="2625" cm="1">
        <f t="array" ref="N8">0.09*(IF(AMT.AdjustedUnderSec115JC3a2_5cr&lt;0,0,IF(AMT.AdjustedUnderSec115JC3b2_5cr&lt;0,AMT.AdjustedUnderSec115JC3a2_5cr+AMT.AdjustedUnderSec115JC3b2_5cr,AMT.AdjustedUnderSec115JC3a2_5cr)))</f>
        <v>0</v>
      </c>
      <c r="O8" s="2625">
        <f>0.185*(IF(AMT.AdjustedUnderSec115JC3b2_50L&lt;0,0,IF(AMT.AdjustedUnderSec115JC3a2_50L&lt;0,AMT.AdjustedUnderSec115JC3a2_50L+AMT.AdjustedUnderSec115JC3b2_50L,AMT.AdjustedUnderSec115JC3b2_50L)))</f>
        <v>925000</v>
      </c>
      <c r="P8" s="2625"/>
    </row>
    <row r="9" spans="2:25" ht="13.5" customHeight="1" x14ac:dyDescent="0.2">
      <c r="B9" s="1797"/>
      <c r="C9" s="3013"/>
      <c r="D9" s="3693"/>
      <c r="E9" s="258" t="s">
        <v>36</v>
      </c>
      <c r="F9" s="2011" t="s">
        <v>7264</v>
      </c>
      <c r="G9" s="254" t="s">
        <v>702</v>
      </c>
      <c r="H9" s="1542">
        <f>AMT.DeductClaimSec6A+AMT.DeductClaimSec10AA+AMT.DeductClaimSec35AD</f>
        <v>0</v>
      </c>
      <c r="I9" s="3106"/>
      <c r="J9" s="3107"/>
      <c r="K9" s="1836"/>
      <c r="M9" s="113">
        <f>0.09*(IF(AMT.AdjustedUnderSec115JC3a&lt;0,0,IF(AMT.AdjustedUnderSec115JC3b&lt;0,AMT.AdjustedUnderSec115JC3a+AMT.AdjustedUnderSec115JC3b,AMT.AdjustedUnderSec115JC3a)))</f>
        <v>0</v>
      </c>
      <c r="N9" s="2625">
        <f>AMT.AdjustedUnderSec115JC3a</f>
        <v>0</v>
      </c>
      <c r="O9" s="2625" cm="1">
        <f t="array" ref="O9">MAX(0,50000000-AMT.AdjustedUnderSec115JC3a2_5cr)</f>
        <v>50000000</v>
      </c>
      <c r="P9" s="2625">
        <f>IF(bacValue=1,0,IF(AMT.Total &lt;=0,0,IF(AMT.AdjustedUnderSec115JC &lt;=2000000,0,MAX(0,IF(sheet1.Foreign_Exchange="Yes",ROUND(AMT.AdjustedUnderSec115JC3a2New_5cr+AMT.AdjustedUnderSec115JC3b2New_5cr,0),ROUND(AMT.AdjustedUnderSec115JC3a2New_5cr+AMT.AdjustedUnderSec115JC3b2New_5cr,0))))))</f>
        <v>0</v>
      </c>
    </row>
    <row r="10" spans="2:25" ht="12.75" customHeight="1" x14ac:dyDescent="0.2">
      <c r="B10" s="1797"/>
      <c r="C10" s="3013"/>
      <c r="D10" s="6">
        <v>3</v>
      </c>
      <c r="E10" s="3172" t="s">
        <v>7265</v>
      </c>
      <c r="F10" s="3172"/>
      <c r="G10" s="3172"/>
      <c r="H10" s="3172"/>
      <c r="I10" s="27">
        <v>3</v>
      </c>
      <c r="J10" s="1542">
        <f>IF(bacValue=1,0,MAX(0,(AMT.TotalIncItem11+AMT.Total)))</f>
        <v>0</v>
      </c>
      <c r="K10" s="1836"/>
      <c r="M10" s="113">
        <f>0.185*(IF(AMT.AdjustedUnderSec115JC3b&lt;0,0,IF(AMT.AdjustedUnderSec115JC3a&lt;0,AMT.AdjustedUnderSec115JC3a+AMT.AdjustedUnderSec115JC3b,AMT.AdjustedUnderSec115JC3b)))</f>
        <v>0</v>
      </c>
      <c r="N10" s="2625" cm="1">
        <f t="array" ref="N10">0.09*(IF(AMT.AdjustedUnderSec115JC3a2_5cr&lt;0,0,IF(AMT.AdjustedUnderSec115JC3b2_5cr&lt;0,AMT.AdjustedUnderSec115JC3a2_5cr+AMT.AdjustedUnderSec115JC3b2_5cr,AMT.AdjustedUnderSec115JC3a2_5cr)))</f>
        <v>0</v>
      </c>
      <c r="O10" s="2625" cm="1">
        <f t="array" ref="O10">0.185*(IF(AMT.AdjustedUnderSec115JC3b2_5cr&lt;0,0,IF(AMT.AdjustedUnderSec115JC3a2_5cr&lt;0,AMT.AdjustedUnderSec115JC3a2_5cr+AMT.AdjustedUnderSec115JC3b2_5cr,AMT.AdjustedUnderSec115JC3b2_5cr)))</f>
        <v>9250000</v>
      </c>
      <c r="P10" s="2625"/>
    </row>
    <row r="11" spans="2:25" ht="12.75" customHeight="1" x14ac:dyDescent="0.2">
      <c r="B11" s="1797"/>
      <c r="C11" s="3013"/>
      <c r="D11" s="2459" t="s">
        <v>768</v>
      </c>
      <c r="E11" s="3126" t="s">
        <v>13061</v>
      </c>
      <c r="F11" s="3127"/>
      <c r="G11" s="3127"/>
      <c r="H11" s="3128"/>
      <c r="I11" s="27" t="s">
        <v>768</v>
      </c>
      <c r="J11" s="2620">
        <v>0</v>
      </c>
      <c r="K11" s="1836"/>
      <c r="N11" s="2625">
        <f>AMT.AdjustedUnderSec115JC3a</f>
        <v>0</v>
      </c>
      <c r="O11" s="2625">
        <f>MAX(0,20000000-AMT.AdjustedUnderSec115JC3a2_2cr)</f>
        <v>20000000</v>
      </c>
      <c r="P11" s="2625">
        <f>IF(bacValue=1,0,IF(AMT.Total &lt;=0,0,IF(AMT.AdjustedUnderSec115JC &lt;=2000000,0,MAX(0,IF(sheet1.Foreign_Exchange="Yes",ROUND(AMT.AdjustedUnderSec115JC3a2New_2cr+AMT.AdjustedUnderSec115JC3b2New_2cr,0),ROUND(AMT.AdjustedUnderSec115JC3a2New_2cr+AMT.AdjustedUnderSec115JC3b2New_2cr,0))))))</f>
        <v>0</v>
      </c>
    </row>
    <row r="12" spans="2:25" ht="12.75" customHeight="1" x14ac:dyDescent="0.2">
      <c r="B12" s="1797"/>
      <c r="C12" s="3013"/>
      <c r="D12" s="2459" t="s">
        <v>769</v>
      </c>
      <c r="E12" s="3126" t="s">
        <v>13062</v>
      </c>
      <c r="F12" s="3127"/>
      <c r="G12" s="3127"/>
      <c r="H12" s="3128"/>
      <c r="I12" s="27" t="s">
        <v>769</v>
      </c>
      <c r="J12" s="1542">
        <f>AMT.AdjustedUnderSec115JC-AMT.AdjustedUnderSec115JC3a</f>
        <v>0</v>
      </c>
      <c r="K12" s="1836"/>
      <c r="N12" s="2625">
        <f>0.09*(IF(AMT.AdjustedUnderSec115JC3a2_2cr&lt;0,0,IF(AMT.AdjustedUnderSec115JC3b2_2cr&lt;0,AMT.AdjustedUnderSec115JC3a2_2cr+AMT.AdjustedUnderSec115JC3b2_2cr,AMT.AdjustedUnderSec115JC3a2_2cr)))</f>
        <v>0</v>
      </c>
      <c r="O12" s="2625">
        <f>0.185*(IF(AMT.AdjustedUnderSec115JC3b2_2cr&lt;0,0,IF(AMT.AdjustedUnderSec115JC3a2_2cr&lt;0,AMT.AdjustedUnderSec115JC3a2_2cr+AMT.AdjustedUnderSec115JC3b2_2cr,AMT.AdjustedUnderSec115JC3b2_2cr)))</f>
        <v>3700000</v>
      </c>
      <c r="P12" s="2625"/>
    </row>
    <row r="13" spans="2:25" ht="28.5" customHeight="1" x14ac:dyDescent="0.2">
      <c r="B13" s="1797"/>
      <c r="C13" s="3014"/>
      <c r="D13" s="2022">
        <v>4</v>
      </c>
      <c r="E13" s="3001" t="s">
        <v>13063</v>
      </c>
      <c r="F13" s="3001"/>
      <c r="G13" s="3001"/>
      <c r="H13" s="3001"/>
      <c r="I13" s="254">
        <v>4</v>
      </c>
      <c r="J13" s="1542">
        <f>IF(bacValue=1,0,IF(AMT.Total &lt;=0,0,IF(AMT.AdjustedUnderSec115JC &lt;=2000000,0,MAX(0,IF(sheet1.Foreign_Exchange="Yes",ROUND(AMT.AdjustedUnderSec115JC3aNew+AMT.AdjustedUnderSec115JC3bNew,0),ROUND(AMT.AdjustedUnderSec115JC3aNew+AMT.AdjustedUnderSec115JC3bNew,0))))))</f>
        <v>0</v>
      </c>
      <c r="K13" s="1836"/>
      <c r="M13" s="113">
        <f>IF(bacValue=1,0,IF(AMT.Total &lt;=0,0,IF(AMT.AdjustedUnderSec115JC &lt;=2000000,0,MAX(0,IF(sheet1.Foreign_Exchange="Yes",ROUND(0.09*AMT.AdjustedUnderSec115JC,0),ROUND(0.185*AMT.AdjustedUnderSec115JC,0))))))</f>
        <v>0</v>
      </c>
      <c r="N13" s="2625">
        <f>AMT.AdjustedUnderSec115JC3a</f>
        <v>0</v>
      </c>
      <c r="O13" s="2625">
        <f>MAX(0,10000000-AMT.AdjustedUnderSec115JC3a2_1cr)</f>
        <v>10000000</v>
      </c>
      <c r="P13" s="2625">
        <f>IF(bacValue=1,0,IF(AMT.Total &lt;=0,0,IF(AMT.AdjustedUnderSec115JC &lt;=2000000,0,MAX(0,IF(sheet1.Foreign_Exchange="Yes",ROUND(AMT.AdjustedUnderSec115JC3a2New_1cr+AMT.AdjustedUnderSec115JC3b2New_1cr,0),ROUND(AMT.AdjustedUnderSec115JC3a2New_1cr+AMT.AdjustedUnderSec115JC3b2New_1cr,0))))))</f>
        <v>0</v>
      </c>
    </row>
    <row r="14" spans="2:25" ht="15" customHeight="1" thickBot="1" x14ac:dyDescent="0.25">
      <c r="B14" s="1824"/>
      <c r="C14" s="1841"/>
      <c r="D14" s="1841"/>
      <c r="E14" s="1841"/>
      <c r="F14" s="1841"/>
      <c r="G14" s="1841"/>
      <c r="H14" s="1841"/>
      <c r="I14" s="1841"/>
      <c r="J14" s="1841"/>
      <c r="K14" s="1845"/>
      <c r="N14" s="2625">
        <f>0.09*(IF(AMT.AdjustedUnderSec115JC3a2_1cr&lt;0,0,IF(AMT.AdjustedUnderSec115JC3b2_1cr&lt;0,AMT.AdjustedUnderSec115JC3a2_1cr+AMT.AdjustedUnderSec115JC3b2_1cr,AMT.AdjustedUnderSec115JC3a2_1cr)))</f>
        <v>0</v>
      </c>
      <c r="O14" s="2625">
        <f>0.185*(IF(AMT.AdjustedUnderSec115JC3b2_1cr&lt;0,0,IF(AMT.AdjustedUnderSec115JC3a2_1cr&lt;0,AMT.AdjustedUnderSec115JC3a2_1cr+AMT.AdjustedUnderSec115JC3b2_1cr,AMT.AdjustedUnderSec115JC3b2_1cr)))</f>
        <v>1850000</v>
      </c>
      <c r="P14" s="2625"/>
    </row>
    <row r="15" spans="2:25" x14ac:dyDescent="0.2">
      <c r="C15" s="117"/>
      <c r="D15" s="117"/>
      <c r="E15" s="117"/>
      <c r="F15" s="117"/>
      <c r="G15" s="117"/>
      <c r="H15" s="117"/>
      <c r="I15" s="117"/>
      <c r="J15" s="117"/>
    </row>
  </sheetData>
  <sheetProtection algorithmName="SHA-512" hashValue="Ky82+ejt287Q9PBk+0eJBh9arEe9y6wgq3T4haLgE0VzTLEiJZYNR8TlvPTV/HmDL/2rJAuFUbBbQSCow64fdg==" saltValue="WlwC61yKOtVn6vo5nw4IhA==" spinCount="100000" sheet="1" objects="1" scenarios="1"/>
  <mergeCells count="11">
    <mergeCell ref="C3:E3"/>
    <mergeCell ref="C4:C13"/>
    <mergeCell ref="E4:I4"/>
    <mergeCell ref="E5:H5"/>
    <mergeCell ref="I5:J9"/>
    <mergeCell ref="D6:D9"/>
    <mergeCell ref="E10:H10"/>
    <mergeCell ref="E13:H13"/>
    <mergeCell ref="F3:J3"/>
    <mergeCell ref="E11:H11"/>
    <mergeCell ref="E12:H12"/>
  </mergeCells>
  <dataValidations count="8">
    <dataValidation type="whole" allowBlank="1" showErrorMessage="1" errorTitle="Total Income as per item 14" error="Total Income as per item 14 can not be more than 14 digits." sqref="J4">
      <formula1>-99999999999999</formula1>
      <formula2>99999999999999</formula2>
    </dataValidation>
    <dataValidation type="whole" allowBlank="1" showErrorMessage="1" errorTitle="Deduction Claimed u/s 10AA" error="Deduction Claimed u/s 10AA can not be more than 14 digits." sqref="H7">
      <formula1>0</formula1>
      <formula2>99999999999999</formula2>
    </dataValidation>
    <dataValidation type="whole" allowBlank="1" showErrorMessage="1" errorTitle="Total Adjustment" error="Total Adjustment can not be more than 14 digits." sqref="H9">
      <formula1>0</formula1>
      <formula2>99999999999999</formula2>
    </dataValidation>
    <dataValidation type="whole" allowBlank="1" showErrorMessage="1" errorTitle="Adjusted Total Income" error="Adjusted Total Income can not be more than 14 digits." sqref="J10 J12">
      <formula1>0</formula1>
      <formula2>99999999999999</formula2>
    </dataValidation>
    <dataValidation type="whole" allowBlank="1" showErrorMessage="1" errorTitle="Tax payable under 115JC" error="Tax payable under 115JC can not be more than 14 digits." sqref="J13">
      <formula1>0</formula1>
      <formula2>99999999999999</formula2>
    </dataValidation>
    <dataValidation type="whole" allowBlank="1" showInputMessage="1" showErrorMessage="1" error="Deductions claimed under any Section in CHapter V1-A cannot have more then 14 digits" sqref="H6">
      <formula1>0</formula1>
      <formula2>99999999999999</formula2>
    </dataValidation>
    <dataValidation type="whole" allowBlank="1" showErrorMessage="1" errorTitle="Deduction Claimed u/s 35AD" error="Deduction Claimed u/s 35AD can not be more than 14 digits." sqref="H8">
      <formula1>0</formula1>
      <formula2>99999999999999</formula2>
    </dataValidation>
    <dataValidation type="whole" allowBlank="1" showErrorMessage="1" errorTitle="Adjusted Total Income" error="Adjusted Total Income can not be more than 14 digits." sqref="J11">
      <formula1>-999999999999</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Button 1">
              <controlPr defaultSize="0" print="0" autoFill="0" autoPict="0" macro="[0]!ValidateSchAMTclick">
                <anchor>
                  <from>
                    <xdr:col>11</xdr:col>
                    <xdr:colOff>171450</xdr:colOff>
                    <xdr:row>2</xdr:row>
                    <xdr:rowOff>133350</xdr:rowOff>
                  </from>
                  <to>
                    <xdr:col>11</xdr:col>
                    <xdr:colOff>1543050</xdr:colOff>
                    <xdr:row>4</xdr:row>
                    <xdr:rowOff>76200</xdr:rowOff>
                  </to>
                </anchor>
              </controlPr>
            </control>
          </mc:Choice>
        </mc:AlternateContent>
        <mc:AlternateContent xmlns:mc="http://schemas.openxmlformats.org/markup-compatibility/2006">
          <mc:Choice Requires="x14">
            <control shapeId="87043" r:id="rId5" name="Button 3">
              <controlPr defaultSize="0" print="0" autoFill="0" autoPict="0" macro="[0]!Prev_Sheet">
                <anchor>
                  <from>
                    <xdr:col>11</xdr:col>
                    <xdr:colOff>171450</xdr:colOff>
                    <xdr:row>5</xdr:row>
                    <xdr:rowOff>247650</xdr:rowOff>
                  </from>
                  <to>
                    <xdr:col>11</xdr:col>
                    <xdr:colOff>1543050</xdr:colOff>
                    <xdr:row>5</xdr:row>
                    <xdr:rowOff>514350</xdr:rowOff>
                  </to>
                </anchor>
              </controlPr>
            </control>
          </mc:Choice>
        </mc:AlternateContent>
        <mc:AlternateContent xmlns:mc="http://schemas.openxmlformats.org/markup-compatibility/2006">
          <mc:Choice Requires="x14">
            <control shapeId="87044" r:id="rId6" name="Button 4">
              <controlPr defaultSize="0" print="0" autoFill="0" autoPict="0" macro="[0]!Img_Home_Click">
                <anchor>
                  <from>
                    <xdr:col>11</xdr:col>
                    <xdr:colOff>171450</xdr:colOff>
                    <xdr:row>0</xdr:row>
                    <xdr:rowOff>171450</xdr:rowOff>
                  </from>
                  <to>
                    <xdr:col>11</xdr:col>
                    <xdr:colOff>1543050</xdr:colOff>
                    <xdr:row>2</xdr:row>
                    <xdr:rowOff>104775</xdr:rowOff>
                  </to>
                </anchor>
              </controlPr>
            </control>
          </mc:Choice>
        </mc:AlternateContent>
        <mc:AlternateContent xmlns:mc="http://schemas.openxmlformats.org/markup-compatibility/2006">
          <mc:Choice Requires="x14">
            <control shapeId="87046" r:id="rId7" name="Button 6">
              <controlPr defaultSize="0" print="0" autoFill="0" autoPict="0" macro="[0]!Next_Sheet">
                <anchor>
                  <from>
                    <xdr:col>11</xdr:col>
                    <xdr:colOff>171450</xdr:colOff>
                    <xdr:row>4</xdr:row>
                    <xdr:rowOff>104775</xdr:rowOff>
                  </from>
                  <to>
                    <xdr:col>11</xdr:col>
                    <xdr:colOff>1543050</xdr:colOff>
                    <xdr:row>5</xdr:row>
                    <xdr:rowOff>219075</xdr:rowOff>
                  </to>
                </anchor>
              </controlPr>
            </control>
          </mc:Choice>
        </mc:AlternateContent>
        <mc:AlternateContent xmlns:mc="http://schemas.openxmlformats.org/markup-compatibility/2006">
          <mc:Choice Requires="x14">
            <control shapeId="87047" r:id="rId8" name="Button 7">
              <controlPr defaultSize="0" print="0" autoFill="0" autoPict="0" macro="[0]!Instruction_Sheet">
                <anchor>
                  <from>
                    <xdr:col>11</xdr:col>
                    <xdr:colOff>171450</xdr:colOff>
                    <xdr:row>7</xdr:row>
                    <xdr:rowOff>247650</xdr:rowOff>
                  </from>
                  <to>
                    <xdr:col>11</xdr:col>
                    <xdr:colOff>1543050</xdr:colOff>
                    <xdr:row>7</xdr:row>
                    <xdr:rowOff>514350</xdr:rowOff>
                  </to>
                </anchor>
              </controlPr>
            </control>
          </mc:Choice>
        </mc:AlternateContent>
        <mc:AlternateContent xmlns:mc="http://schemas.openxmlformats.org/markup-compatibility/2006">
          <mc:Choice Requires="x14">
            <control shapeId="87048" r:id="rId9" name="Button 8">
              <controlPr defaultSize="0" print="0" autoFill="0" autoPict="0" macro="[0]!WorksheetsPrint">
                <anchor>
                  <from>
                    <xdr:col>11</xdr:col>
                    <xdr:colOff>171450</xdr:colOff>
                    <xdr:row>6</xdr:row>
                    <xdr:rowOff>133350</xdr:rowOff>
                  </from>
                  <to>
                    <xdr:col>11</xdr:col>
                    <xdr:colOff>1543050</xdr:colOff>
                    <xdr:row>7</xdr:row>
                    <xdr:rowOff>209550</xdr:rowOff>
                  </to>
                </anchor>
              </controlPr>
            </control>
          </mc:Choice>
        </mc:AlternateContent>
        <mc:AlternateContent xmlns:mc="http://schemas.openxmlformats.org/markup-compatibility/2006">
          <mc:Choice Requires="x14">
            <control shapeId="87049" r:id="rId10" name="Button 9">
              <controlPr defaultSize="0" print="0" autoFill="0" autoPict="0" macro="[0]!GenerateJSON.GenerateJSON">
                <anchor>
                  <from>
                    <xdr:col>11</xdr:col>
                    <xdr:colOff>171450</xdr:colOff>
                    <xdr:row>5</xdr:row>
                    <xdr:rowOff>552450</xdr:rowOff>
                  </from>
                  <to>
                    <xdr:col>11</xdr:col>
                    <xdr:colOff>1543050</xdr:colOff>
                    <xdr:row>6</xdr:row>
                    <xdr:rowOff>104775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IV23"/>
  <sheetViews>
    <sheetView showGridLines="0" showRowColHeaders="0" workbookViewId="0"/>
  </sheetViews>
  <sheetFormatPr defaultColWidth="0" defaultRowHeight="15" zeroHeight="1" x14ac:dyDescent="0.25"/>
  <cols>
    <col min="1" max="1" width="4.28515625" style="113" customWidth="1"/>
    <col min="2" max="2" width="4.140625" style="113" customWidth="1"/>
    <col min="3" max="3" width="5.140625" style="113" customWidth="1"/>
    <col min="4" max="4" width="5.7109375" style="113" customWidth="1"/>
    <col min="5" max="5" width="5.5703125" style="113" customWidth="1"/>
    <col min="6" max="6" width="14.85546875" style="113" customWidth="1"/>
    <col min="7" max="7" width="18.140625" style="113" customWidth="1"/>
    <col min="8" max="8" width="19.28515625" style="113" customWidth="1"/>
    <col min="9" max="9" width="15.42578125" style="113" customWidth="1"/>
    <col min="10" max="10" width="17.28515625" style="113" customWidth="1"/>
    <col min="11" max="11" width="9.140625" style="294" customWidth="1"/>
    <col min="12" max="12" width="19.42578125" style="294" customWidth="1"/>
    <col min="13" max="13" width="4.140625" style="117" customWidth="1"/>
    <col min="14" max="14" width="26" style="113" customWidth="1"/>
    <col min="15" max="254" width="9.140625" style="113" hidden="1" customWidth="1"/>
    <col min="255" max="255" width="9.140625" hidden="1" customWidth="1"/>
  </cols>
  <sheetData>
    <row r="1" spans="1:254" ht="15.75" thickBot="1" x14ac:dyDescent="0.3"/>
    <row r="2" spans="1:254" x14ac:dyDescent="0.25">
      <c r="B2" s="1794"/>
      <c r="C2" s="1795"/>
      <c r="D2" s="1795"/>
      <c r="E2" s="1795"/>
      <c r="F2" s="1795"/>
      <c r="G2" s="1795"/>
      <c r="H2" s="1795"/>
      <c r="I2" s="1795"/>
      <c r="J2" s="1795"/>
      <c r="K2" s="1882"/>
      <c r="L2" s="1882"/>
      <c r="M2" s="1843"/>
    </row>
    <row r="3" spans="1:254" ht="12.75" customHeight="1" x14ac:dyDescent="0.25">
      <c r="B3" s="1797"/>
      <c r="C3" s="3029" t="s">
        <v>1214</v>
      </c>
      <c r="D3" s="3030"/>
      <c r="E3" s="3844"/>
      <c r="F3" s="2025" t="s">
        <v>1215</v>
      </c>
      <c r="G3" s="1945"/>
      <c r="H3" s="1945"/>
      <c r="I3" s="846"/>
      <c r="J3" s="846"/>
      <c r="K3" s="786"/>
      <c r="L3" s="5"/>
      <c r="M3" s="1836"/>
    </row>
    <row r="4" spans="1:254" ht="12.75" customHeight="1" x14ac:dyDescent="0.25">
      <c r="B4" s="1797"/>
      <c r="C4" s="3845" t="s">
        <v>1216</v>
      </c>
      <c r="D4" s="787">
        <v>1</v>
      </c>
      <c r="E4" s="3172" t="s">
        <v>13059</v>
      </c>
      <c r="F4" s="3847"/>
      <c r="G4" s="3847"/>
      <c r="H4" s="3847"/>
      <c r="I4" s="3847"/>
      <c r="J4" s="3847"/>
      <c r="K4" s="253">
        <v>1</v>
      </c>
      <c r="L4" s="788">
        <f>sheet9.TotalTax_DI</f>
        <v>0</v>
      </c>
      <c r="M4" s="1836"/>
    </row>
    <row r="5" spans="1:254" ht="12.75" customHeight="1" x14ac:dyDescent="0.25">
      <c r="B5" s="1797"/>
      <c r="C5" s="3845"/>
      <c r="D5" s="2074">
        <v>2</v>
      </c>
      <c r="E5" s="3001" t="s">
        <v>13060</v>
      </c>
      <c r="F5" s="3001"/>
      <c r="G5" s="3001"/>
      <c r="H5" s="3001"/>
      <c r="I5" s="3001"/>
      <c r="J5" s="3001"/>
      <c r="K5" s="27">
        <v>2</v>
      </c>
      <c r="L5" s="789">
        <f>Sheet9.GrossTaxLiability</f>
        <v>0</v>
      </c>
      <c r="M5" s="1836"/>
    </row>
    <row r="6" spans="1:254" ht="26.25" customHeight="1" x14ac:dyDescent="0.25">
      <c r="B6" s="1797"/>
      <c r="C6" s="3845"/>
      <c r="D6" s="2074">
        <v>3</v>
      </c>
      <c r="E6" s="3001" t="s">
        <v>6983</v>
      </c>
      <c r="F6" s="3001"/>
      <c r="G6" s="3001"/>
      <c r="H6" s="3001"/>
      <c r="I6" s="3001"/>
      <c r="J6" s="3001"/>
      <c r="K6" s="27">
        <v>3</v>
      </c>
      <c r="L6" s="789">
        <f>MAX(0,AMTC.TaxOthProvisions-AMTC.TaxSection115JC)</f>
        <v>0</v>
      </c>
      <c r="M6" s="1836"/>
    </row>
    <row r="7" spans="1:254" ht="26.25" customHeight="1" x14ac:dyDescent="0.25">
      <c r="B7" s="1797"/>
      <c r="C7" s="3845"/>
      <c r="D7" s="3848">
        <v>4</v>
      </c>
      <c r="E7" s="3762" t="s">
        <v>12999</v>
      </c>
      <c r="F7" s="3763"/>
      <c r="G7" s="3763"/>
      <c r="H7" s="3763"/>
      <c r="I7" s="3763"/>
      <c r="J7" s="3763"/>
      <c r="K7" s="3763"/>
      <c r="L7" s="3764"/>
      <c r="M7" s="1836"/>
    </row>
    <row r="8" spans="1:254" ht="89.25" customHeight="1" x14ac:dyDescent="0.25">
      <c r="B8" s="1797"/>
      <c r="C8" s="3845"/>
      <c r="D8" s="3849"/>
      <c r="E8" s="314" t="s">
        <v>8280</v>
      </c>
      <c r="F8" s="314" t="s">
        <v>1217</v>
      </c>
      <c r="G8" s="314" t="s">
        <v>1218</v>
      </c>
      <c r="H8" s="314" t="s">
        <v>1219</v>
      </c>
      <c r="I8" s="314" t="s">
        <v>8915</v>
      </c>
      <c r="J8" s="314" t="s">
        <v>8914</v>
      </c>
      <c r="K8" s="3718" t="s">
        <v>7672</v>
      </c>
      <c r="L8" s="3719"/>
      <c r="M8" s="1836"/>
    </row>
    <row r="9" spans="1:254" ht="12.75" customHeight="1" x14ac:dyDescent="0.25">
      <c r="B9" s="1797"/>
      <c r="C9" s="3845"/>
      <c r="D9" s="3849"/>
      <c r="E9" s="1346" t="s">
        <v>287</v>
      </c>
      <c r="F9" s="790" t="s">
        <v>1096</v>
      </c>
      <c r="G9" s="1390">
        <v>0</v>
      </c>
      <c r="H9" s="1390">
        <v>0</v>
      </c>
      <c r="I9" s="1544">
        <f>MAX((AMTC.AmtCreditFwd1-AMTC.AmtCreditSetOfEy1),0)</f>
        <v>0</v>
      </c>
      <c r="J9" s="2166"/>
      <c r="K9" s="3843">
        <f>IF(bacValue=1,0,MAX(0,(AMTC.AmtCreditBalBroughtFwd1-AMTC.AmtCreditUtilized1)))</f>
        <v>0</v>
      </c>
      <c r="L9" s="3843"/>
      <c r="M9" s="1836"/>
    </row>
    <row r="10" spans="1:254" ht="12.75" customHeight="1" x14ac:dyDescent="0.25">
      <c r="B10" s="1797"/>
      <c r="C10" s="3845"/>
      <c r="D10" s="3849"/>
      <c r="E10" s="1346" t="s">
        <v>290</v>
      </c>
      <c r="F10" s="790" t="s">
        <v>1109</v>
      </c>
      <c r="G10" s="1390">
        <v>0</v>
      </c>
      <c r="H10" s="1390">
        <v>0</v>
      </c>
      <c r="I10" s="1544">
        <f>MAX((AMTC.AmtCreditFwd2-AMTC.AmtCreditSetOfEy2),0)</f>
        <v>0</v>
      </c>
      <c r="J10" s="2166"/>
      <c r="K10" s="3843">
        <f>IF(bacValue=1,0,MAX(0,(AMTC.AmtCreditBalBroughtFwd2-AMTC.AmtCreditUtilized2)))</f>
        <v>0</v>
      </c>
      <c r="L10" s="3843"/>
      <c r="M10" s="1836"/>
    </row>
    <row r="11" spans="1:254" ht="12.75" customHeight="1" x14ac:dyDescent="0.25">
      <c r="B11" s="1797"/>
      <c r="C11" s="3845"/>
      <c r="D11" s="3849"/>
      <c r="E11" s="1346" t="s">
        <v>293</v>
      </c>
      <c r="F11" s="790" t="s">
        <v>6812</v>
      </c>
      <c r="G11" s="1390">
        <v>0</v>
      </c>
      <c r="H11" s="1390">
        <v>0</v>
      </c>
      <c r="I11" s="1544">
        <f>MAX((AMTC.AmtCreditFwd3-AMTC.AmtCreditSetOfEy3),0)</f>
        <v>0</v>
      </c>
      <c r="J11" s="2166"/>
      <c r="K11" s="3843">
        <f>IF(bacValue=1,0,MAX(0,(AMTC.AmtCreditBalBroughtFwd3-AMTC.AmtCreditUtilized3)))</f>
        <v>0</v>
      </c>
      <c r="L11" s="3843"/>
      <c r="M11" s="1836"/>
    </row>
    <row r="12" spans="1:254" ht="12.75" customHeight="1" x14ac:dyDescent="0.25">
      <c r="B12" s="1797"/>
      <c r="C12" s="3845"/>
      <c r="D12" s="3849"/>
      <c r="E12" s="1346" t="s">
        <v>296</v>
      </c>
      <c r="F12" s="790" t="s">
        <v>7543</v>
      </c>
      <c r="G12" s="1390">
        <v>0</v>
      </c>
      <c r="H12" s="1390">
        <v>0</v>
      </c>
      <c r="I12" s="1544">
        <f>MAX((AMTC.AmtCreditFwd-AMTC.AmtCreditSetOfEy),0)</f>
        <v>0</v>
      </c>
      <c r="J12" s="2166"/>
      <c r="K12" s="3843">
        <f>IF(bacValue=1,0,MAX(0,(AMTC.AmtCreditBalBroughtFwd-AMTC.AmtCreditUtilized)))</f>
        <v>0</v>
      </c>
      <c r="L12" s="3843"/>
      <c r="M12" s="1836"/>
    </row>
    <row r="13" spans="1:254" ht="12.75" customHeight="1" x14ac:dyDescent="0.25">
      <c r="B13" s="1797"/>
      <c r="C13" s="3845"/>
      <c r="D13" s="3849"/>
      <c r="E13" s="1346" t="s">
        <v>299</v>
      </c>
      <c r="F13" s="790" t="s">
        <v>7670</v>
      </c>
      <c r="G13" s="1390">
        <v>0</v>
      </c>
      <c r="H13" s="1390">
        <v>0</v>
      </c>
      <c r="I13" s="1544">
        <f>MAX((AMTC.AmtCreditFwd5-AMTC.AmtCreditSetOfEy5),0)</f>
        <v>0</v>
      </c>
      <c r="J13" s="2166"/>
      <c r="K13" s="3060">
        <f>IF(bacValue=1,0,MAX(0,(AMTC.AmtCreditBalBroughtFwd5-AMTC.AmtCreditUtilized5)))</f>
        <v>0</v>
      </c>
      <c r="L13" s="3062"/>
      <c r="M13" s="1836"/>
    </row>
    <row r="14" spans="1:254" ht="12.75" customHeight="1" x14ac:dyDescent="0.25">
      <c r="B14" s="1797"/>
      <c r="C14" s="3845"/>
      <c r="D14" s="3849"/>
      <c r="E14" s="1346" t="s">
        <v>430</v>
      </c>
      <c r="F14" s="790" t="s">
        <v>8213</v>
      </c>
      <c r="G14" s="1390">
        <v>0</v>
      </c>
      <c r="H14" s="1390">
        <v>0</v>
      </c>
      <c r="I14" s="1544">
        <f>MAX((AMTC.AmtCreditFwd4-AMTC.AmtCreditSetOfEy4),0)</f>
        <v>0</v>
      </c>
      <c r="J14" s="2166"/>
      <c r="K14" s="3060">
        <f>IF(bacValue=1,0,MAX(0,(AMTC.AmtCreditBalBroughtFwd4-AMTC.AmtCreditUtilized4)))</f>
        <v>0</v>
      </c>
      <c r="L14" s="3062"/>
      <c r="M14" s="1836"/>
    </row>
    <row r="15" spans="1:254" ht="12.75" customHeight="1" x14ac:dyDescent="0.25">
      <c r="B15" s="1797"/>
      <c r="C15" s="3845"/>
      <c r="D15" s="3849"/>
      <c r="E15" s="1346" t="s">
        <v>432</v>
      </c>
      <c r="F15" s="790" t="s">
        <v>8904</v>
      </c>
      <c r="G15" s="1390">
        <v>0</v>
      </c>
      <c r="H15" s="1390">
        <v>0</v>
      </c>
      <c r="I15" s="1544">
        <f>MAX((AMTC.AmtCreditFwd6-AMTC.AmtCreditSetOfEy6),0)</f>
        <v>0</v>
      </c>
      <c r="J15" s="2166"/>
      <c r="K15" s="3060">
        <f>IF(bacValue=1,0,MAX(0,(AMTC.AmtCreditBalBroughtFwd6-AMTC.AmtCreditUtilized6)))</f>
        <v>0</v>
      </c>
      <c r="L15" s="3062"/>
      <c r="M15" s="1836"/>
    </row>
    <row r="16" spans="1:254" s="2199" customFormat="1" ht="12.75" customHeight="1" x14ac:dyDescent="0.25">
      <c r="A16" s="113"/>
      <c r="B16" s="1797"/>
      <c r="C16" s="3845"/>
      <c r="D16" s="3849"/>
      <c r="E16" s="2200" t="s">
        <v>434</v>
      </c>
      <c r="F16" s="790" t="s">
        <v>11986</v>
      </c>
      <c r="G16" s="1390">
        <v>0</v>
      </c>
      <c r="H16" s="1390">
        <v>0</v>
      </c>
      <c r="I16" s="1544">
        <f>MAX((AMTC.AmtCreditFwd7-AMTC.AmtCreditSetOfEy7),0)</f>
        <v>0</v>
      </c>
      <c r="J16" s="2166"/>
      <c r="K16" s="3060">
        <f>IF(bacValue=1,0,MAX(0,(AMTC.AmtCreditBalBroughtFwd7-AMTC.AmtCreditUtilized7)))</f>
        <v>0</v>
      </c>
      <c r="L16" s="3062"/>
      <c r="M16" s="1836"/>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row>
    <row r="17" spans="1:256" s="2458" customFormat="1" ht="12.75" customHeight="1" x14ac:dyDescent="0.25">
      <c r="A17" s="113"/>
      <c r="B17" s="1797"/>
      <c r="C17" s="3845"/>
      <c r="D17" s="3849"/>
      <c r="E17" s="2574" t="s">
        <v>435</v>
      </c>
      <c r="F17" s="790" t="s">
        <v>12790</v>
      </c>
      <c r="G17" s="1390">
        <v>0</v>
      </c>
      <c r="H17" s="1543"/>
      <c r="I17" s="1544">
        <f>MAX((AMTC.AmtCreditFwd8-AMTC.AmtCreditSetOfEy8),0)</f>
        <v>0</v>
      </c>
      <c r="J17" s="2166"/>
      <c r="K17" s="3060">
        <f>IF(bacValue=1,0,MAX(0,(AMTC.AmtCreditBalBroughtFwd8-AMTC.AmtCreditUtilized8)))</f>
        <v>0</v>
      </c>
      <c r="L17" s="3062"/>
      <c r="M17" s="1836"/>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row>
    <row r="18" spans="1:256" ht="38.25" x14ac:dyDescent="0.25">
      <c r="B18" s="1797"/>
      <c r="C18" s="3845"/>
      <c r="D18" s="3849"/>
      <c r="E18" s="1346" t="s">
        <v>437</v>
      </c>
      <c r="F18" s="790" t="s">
        <v>7261</v>
      </c>
      <c r="G18" s="2029">
        <f>MAX(AMTC.TaxSection115JC-AMTC.TaxOthProvisions-AMTCmove,0)</f>
        <v>0</v>
      </c>
      <c r="H18" s="791"/>
      <c r="I18" s="791"/>
      <c r="J18" s="792"/>
      <c r="K18" s="3843">
        <f>AMTC.AmtCreditFwd0</f>
        <v>0</v>
      </c>
      <c r="L18" s="3843"/>
      <c r="M18" s="1836"/>
    </row>
    <row r="19" spans="1:256" ht="12.75" customHeight="1" x14ac:dyDescent="0.25">
      <c r="B19" s="1797"/>
      <c r="C19" s="3845"/>
      <c r="D19" s="3849"/>
      <c r="E19" s="458" t="s">
        <v>439</v>
      </c>
      <c r="F19" s="171" t="s">
        <v>749</v>
      </c>
      <c r="G19" s="2029">
        <f>SUM(G9:G18)</f>
        <v>0</v>
      </c>
      <c r="H19" s="2029">
        <f>SUM(H9:H16)</f>
        <v>0</v>
      </c>
      <c r="I19" s="2029">
        <f>SUM(I9:I17)</f>
        <v>0</v>
      </c>
      <c r="J19" s="2029">
        <f>SUM(J9:J17)</f>
        <v>0</v>
      </c>
      <c r="K19" s="3843">
        <f>SUM(K9:L18)</f>
        <v>0</v>
      </c>
      <c r="L19" s="3843"/>
      <c r="M19" s="1836"/>
    </row>
    <row r="20" spans="1:256" ht="23.25" customHeight="1" x14ac:dyDescent="0.25">
      <c r="B20" s="1797"/>
      <c r="C20" s="3845"/>
      <c r="D20" s="2074">
        <v>5</v>
      </c>
      <c r="E20" s="3009" t="s">
        <v>1220</v>
      </c>
      <c r="F20" s="3010"/>
      <c r="G20" s="3010"/>
      <c r="H20" s="3010"/>
      <c r="I20" s="3010"/>
      <c r="J20" s="793">
        <v>5</v>
      </c>
      <c r="K20" s="3851">
        <f>AMTC.AmtCreditUtilized_Total</f>
        <v>0</v>
      </c>
      <c r="L20" s="3851"/>
      <c r="M20" s="1836"/>
    </row>
    <row r="21" spans="1:256" ht="24" customHeight="1" x14ac:dyDescent="0.25">
      <c r="B21" s="1797"/>
      <c r="C21" s="3846"/>
      <c r="D21" s="2074">
        <v>6</v>
      </c>
      <c r="E21" s="3840" t="s">
        <v>1221</v>
      </c>
      <c r="F21" s="3850"/>
      <c r="G21" s="3850"/>
      <c r="H21" s="3850"/>
      <c r="I21" s="3850"/>
      <c r="J21" s="793">
        <v>6</v>
      </c>
      <c r="K21" s="3851">
        <f>AMTC.BalAmtCreditCarryFwd_Total</f>
        <v>0</v>
      </c>
      <c r="L21" s="3851"/>
      <c r="M21" s="1836"/>
    </row>
    <row r="22" spans="1:256" s="117" customFormat="1" ht="15.75" thickBot="1" x14ac:dyDescent="0.3">
      <c r="B22" s="1853"/>
      <c r="C22" s="1841"/>
      <c r="D22" s="1841"/>
      <c r="E22" s="1841"/>
      <c r="F22" s="1841"/>
      <c r="G22" s="1841"/>
      <c r="H22" s="1841"/>
      <c r="I22" s="1841"/>
      <c r="J22" s="1841"/>
      <c r="K22" s="1883"/>
      <c r="L22" s="1883"/>
      <c r="M22" s="1845"/>
      <c r="IU22"/>
      <c r="IV22"/>
    </row>
    <row r="23" spans="1:256" s="117" customFormat="1" x14ac:dyDescent="0.25">
      <c r="K23" s="794"/>
      <c r="L23" s="794"/>
      <c r="IU23"/>
      <c r="IV23"/>
    </row>
  </sheetData>
  <sheetProtection algorithmName="SHA-512" hashValue="tvqiU7ObR9DbkkKEsJgPL/NSk3+KsOSWG2p19IyUck3p/1CnZP0hYvtT9eOTh0IYQRpJ+ZxBVy4uvGcrJrNGpA==" saltValue="oK2gIEYXs4cGxXsXxPqDQw==" spinCount="100000" sheet="1" objects="1" scenarios="1"/>
  <mergeCells count="23">
    <mergeCell ref="C3:E3"/>
    <mergeCell ref="C4:C21"/>
    <mergeCell ref="E4:J4"/>
    <mergeCell ref="E5:J5"/>
    <mergeCell ref="E6:J6"/>
    <mergeCell ref="D7:D19"/>
    <mergeCell ref="E20:I20"/>
    <mergeCell ref="E21:I21"/>
    <mergeCell ref="E7:L7"/>
    <mergeCell ref="K21:L21"/>
    <mergeCell ref="K8:L8"/>
    <mergeCell ref="K10:L10"/>
    <mergeCell ref="K20:L20"/>
    <mergeCell ref="K14:L14"/>
    <mergeCell ref="K12:L12"/>
    <mergeCell ref="K9:L9"/>
    <mergeCell ref="K15:L15"/>
    <mergeCell ref="K18:L18"/>
    <mergeCell ref="K11:L11"/>
    <mergeCell ref="K19:L19"/>
    <mergeCell ref="K13:L13"/>
    <mergeCell ref="K16:L16"/>
    <mergeCell ref="K17:L17"/>
  </mergeCells>
  <dataValidations count="13">
    <dataValidation type="whole" allowBlank="1" showErrorMessage="1" errorTitle="Amount Credit Gross" error="AMT  credit utilised in the current year should not be greater than the AMT credit brought forward. should be non-negative, non-deciamal" sqref="J12:J17">
      <formula1>0</formula1>
      <formula2>I12</formula2>
    </dataValidation>
    <dataValidation type="whole" allowBlank="1" showErrorMessage="1" errorTitle="Amount Credit Gross" error="Amount Credit Gross can not be more than 14 digits. should be non-negative, non-deciamal" sqref="G18 G12:H17">
      <formula1>0</formula1>
      <formula2>99999999999999</formula2>
    </dataValidation>
    <dataValidation type="textLength" operator="equal" allowBlank="1" showInputMessage="1" showErrorMessage="1" errorTitle="Assessment Year" error="Assessment Year must be 7 in Length" sqref="F11:F17">
      <formula1>7</formula1>
    </dataValidation>
    <dataValidation type="whole" allowBlank="1" showErrorMessage="1" errorTitle="Amount Credit BF" error="Amount Credit Brought Forward can not be more than 14 digits." sqref="H18 I12:I18">
      <formula1>0</formula1>
      <formula2>99999999999999</formula2>
    </dataValidation>
    <dataValidation type="whole" allowBlank="1" showErrorMessage="1" errorTitle="Amount Credit Utilised" error="Amount Credit Utilised can not be more than 14 digits." sqref="J18">
      <formula1>0</formula1>
      <formula2>99999999999999</formula2>
    </dataValidation>
    <dataValidation type="whole" allowBlank="1" showErrorMessage="1" errorTitle="Tax under section 115JC" error="Tax under section 115JC can not be more than 14 digits." sqref="L4:L6">
      <formula1>0</formula1>
      <formula2>99999999999999</formula2>
    </dataValidation>
    <dataValidation type="whole" allowBlank="1" showErrorMessage="1" errorTitle="Balance AMT Credit CF" error="Balance AMT Credit Carried Forward can not be more than 14 digits." sqref="K12:K18">
      <formula1>0</formula1>
      <formula2>99999999999999</formula2>
    </dataValidation>
    <dataValidation type="whole" allowBlank="1" showErrorMessage="1" errorTitle="Amt of tax credit under 115JD" error="Amt of tax credit under 115JD can not be more than 14 digits." sqref="K20">
      <formula1>0</formula1>
      <formula2>99999999999999</formula2>
    </dataValidation>
    <dataValidation type="whole" allowBlank="1" showErrorMessage="1" errorTitle="Amount of AMT liability" error="Amount of AMT liability can not be more than 14 digits." sqref="K21">
      <formula1>0</formula1>
      <formula2>99999999999999</formula2>
    </dataValidation>
    <dataValidation operator="equal" allowBlank="1" showInputMessage="1" showErrorMessage="1" errorTitle="Assessment Year" error="Assessment Year must be 7 in Length" sqref="F18"/>
    <dataValidation type="whole" allowBlank="1" showErrorMessage="1" errorTitle="Amount Credit Gross" error="Amount Credit Gross can not be more than 14 digits, should be non-negative, non-deciamal" sqref="G9:G11">
      <formula1>0</formula1>
      <formula2>99999999999999</formula2>
    </dataValidation>
    <dataValidation type="whole" allowBlank="1" showErrorMessage="1" errorTitle="Amount Credit Gross" error="Amount Credit Gross can not be more than 14 digits.should be non-negative, non-deciamal" sqref="H9:H11">
      <formula1>0</formula1>
      <formula2>99999999999999</formula2>
    </dataValidation>
    <dataValidation type="whole" allowBlank="1" showErrorMessage="1" errorTitle="Amount Credit Gross" error="AMT  credit utilised in the current year should not be greater than the AMT credit brought forward, should be non-negative, non-deciamal" sqref="J9:J11">
      <formula1>0</formula1>
      <formula2>I9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Button 1">
              <controlPr defaultSize="0" print="0" autoFill="0" autoPict="0" macro="[0]!ValidateScheduleAMTCCLick">
                <anchor>
                  <from>
                    <xdr:col>13</xdr:col>
                    <xdr:colOff>95250</xdr:colOff>
                    <xdr:row>2</xdr:row>
                    <xdr:rowOff>104775</xdr:rowOff>
                  </from>
                  <to>
                    <xdr:col>13</xdr:col>
                    <xdr:colOff>1466850</xdr:colOff>
                    <xdr:row>4</xdr:row>
                    <xdr:rowOff>57150</xdr:rowOff>
                  </to>
                </anchor>
              </controlPr>
            </control>
          </mc:Choice>
        </mc:AlternateContent>
        <mc:AlternateContent xmlns:mc="http://schemas.openxmlformats.org/markup-compatibility/2006">
          <mc:Choice Requires="x14">
            <control shapeId="88067" r:id="rId5" name="Button 3">
              <controlPr defaultSize="0" print="0" autoFill="0" autoPict="0" macro="[0]!Prev_Sheet">
                <anchor>
                  <from>
                    <xdr:col>13</xdr:col>
                    <xdr:colOff>95250</xdr:colOff>
                    <xdr:row>5</xdr:row>
                    <xdr:rowOff>219075</xdr:rowOff>
                  </from>
                  <to>
                    <xdr:col>13</xdr:col>
                    <xdr:colOff>1466850</xdr:colOff>
                    <xdr:row>6</xdr:row>
                    <xdr:rowOff>171450</xdr:rowOff>
                  </to>
                </anchor>
              </controlPr>
            </control>
          </mc:Choice>
        </mc:AlternateContent>
        <mc:AlternateContent xmlns:mc="http://schemas.openxmlformats.org/markup-compatibility/2006">
          <mc:Choice Requires="x14">
            <control shapeId="88068" r:id="rId6" name="Button 4">
              <controlPr defaultSize="0" print="0" autoFill="0" autoPict="0" macro="[0]!Img_Home_Click">
                <anchor>
                  <from>
                    <xdr:col>13</xdr:col>
                    <xdr:colOff>95250</xdr:colOff>
                    <xdr:row>1</xdr:row>
                    <xdr:rowOff>0</xdr:rowOff>
                  </from>
                  <to>
                    <xdr:col>13</xdr:col>
                    <xdr:colOff>1466850</xdr:colOff>
                    <xdr:row>2</xdr:row>
                    <xdr:rowOff>95250</xdr:rowOff>
                  </to>
                </anchor>
              </controlPr>
            </control>
          </mc:Choice>
        </mc:AlternateContent>
        <mc:AlternateContent xmlns:mc="http://schemas.openxmlformats.org/markup-compatibility/2006">
          <mc:Choice Requires="x14">
            <control shapeId="88070" r:id="rId7" name="Button 6">
              <controlPr defaultSize="0" print="0" autoFill="0" autoPict="0" macro="[0]!Next_Sheet">
                <anchor>
                  <from>
                    <xdr:col>13</xdr:col>
                    <xdr:colOff>95250</xdr:colOff>
                    <xdr:row>4</xdr:row>
                    <xdr:rowOff>95250</xdr:rowOff>
                  </from>
                  <to>
                    <xdr:col>13</xdr:col>
                    <xdr:colOff>1466850</xdr:colOff>
                    <xdr:row>5</xdr:row>
                    <xdr:rowOff>190500</xdr:rowOff>
                  </to>
                </anchor>
              </controlPr>
            </control>
          </mc:Choice>
        </mc:AlternateContent>
        <mc:AlternateContent xmlns:mc="http://schemas.openxmlformats.org/markup-compatibility/2006">
          <mc:Choice Requires="x14">
            <control shapeId="88071" r:id="rId8" name="Button 7">
              <controlPr defaultSize="0" print="0" autoFill="0" autoPict="0" macro="[0]!Instruction_Sheet">
                <anchor>
                  <from>
                    <xdr:col>13</xdr:col>
                    <xdr:colOff>95250</xdr:colOff>
                    <xdr:row>7</xdr:row>
                    <xdr:rowOff>447675</xdr:rowOff>
                  </from>
                  <to>
                    <xdr:col>13</xdr:col>
                    <xdr:colOff>1466850</xdr:colOff>
                    <xdr:row>7</xdr:row>
                    <xdr:rowOff>723900</xdr:rowOff>
                  </to>
                </anchor>
              </controlPr>
            </control>
          </mc:Choice>
        </mc:AlternateContent>
        <mc:AlternateContent xmlns:mc="http://schemas.openxmlformats.org/markup-compatibility/2006">
          <mc:Choice Requires="x14">
            <control shapeId="88072" r:id="rId9" name="Button 8">
              <controlPr defaultSize="0" print="0" autoFill="0" autoPict="0" macro="[0]!WorksheetsPrint">
                <anchor>
                  <from>
                    <xdr:col>13</xdr:col>
                    <xdr:colOff>95250</xdr:colOff>
                    <xdr:row>7</xdr:row>
                    <xdr:rowOff>152400</xdr:rowOff>
                  </from>
                  <to>
                    <xdr:col>13</xdr:col>
                    <xdr:colOff>1466850</xdr:colOff>
                    <xdr:row>7</xdr:row>
                    <xdr:rowOff>419100</xdr:rowOff>
                  </to>
                </anchor>
              </controlPr>
            </control>
          </mc:Choice>
        </mc:AlternateContent>
        <mc:AlternateContent xmlns:mc="http://schemas.openxmlformats.org/markup-compatibility/2006">
          <mc:Choice Requires="x14">
            <control shapeId="88073" r:id="rId10" name="Button 9">
              <controlPr defaultSize="0" print="0" autoFill="0" autoPict="0" macro="[0]!GenerateJSON.GenerateJSON">
                <anchor>
                  <from>
                    <xdr:col>13</xdr:col>
                    <xdr:colOff>95250</xdr:colOff>
                    <xdr:row>6</xdr:row>
                    <xdr:rowOff>180975</xdr:rowOff>
                  </from>
                  <to>
                    <xdr:col>13</xdr:col>
                    <xdr:colOff>1466850</xdr:colOff>
                    <xdr:row>7</xdr:row>
                    <xdr:rowOff>133350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IV1000"/>
  <sheetViews>
    <sheetView showGridLines="0" showRowColHeaders="0" workbookViewId="0">
      <selection activeCell="F14" sqref="F14:G14"/>
    </sheetView>
  </sheetViews>
  <sheetFormatPr defaultColWidth="0" defaultRowHeight="9.75" customHeight="1" zeroHeight="1" x14ac:dyDescent="0.25"/>
  <cols>
    <col min="1" max="1" width="3.85546875" style="113" customWidth="1"/>
    <col min="2" max="2" width="4.42578125" style="113" customWidth="1"/>
    <col min="3" max="3" width="5.5703125" style="113" customWidth="1"/>
    <col min="4" max="4" width="7.140625" style="113" customWidth="1"/>
    <col min="5" max="5" width="16.28515625" style="113" customWidth="1"/>
    <col min="6" max="6" width="20" style="113" customWidth="1"/>
    <col min="7" max="7" width="22.42578125" style="113" customWidth="1"/>
    <col min="8" max="8" width="17" style="113" customWidth="1"/>
    <col min="9" max="9" width="19.42578125" style="113" customWidth="1"/>
    <col min="10" max="10" width="19.140625" style="113" customWidth="1"/>
    <col min="11" max="11" width="6.5703125" style="117" customWidth="1"/>
    <col min="12" max="12" width="25.85546875" style="113" customWidth="1"/>
    <col min="13" max="255" width="6.5703125" hidden="1" customWidth="1"/>
    <col min="256" max="16384" width="9.140625" hidden="1"/>
  </cols>
  <sheetData>
    <row r="1" spans="2:11" ht="14.25" customHeight="1" thickBot="1" x14ac:dyDescent="0.3"/>
    <row r="2" spans="2:11" ht="15.75" customHeight="1" x14ac:dyDescent="0.25">
      <c r="B2" s="1794"/>
      <c r="C2" s="1795"/>
      <c r="D2" s="1795"/>
      <c r="E2" s="1795"/>
      <c r="F2" s="1795"/>
      <c r="G2" s="1795"/>
      <c r="H2" s="1795"/>
      <c r="I2" s="1795"/>
      <c r="J2" s="1795"/>
      <c r="K2" s="1843"/>
    </row>
    <row r="3" spans="2:11" ht="12.75" customHeight="1" x14ac:dyDescent="0.25">
      <c r="B3" s="1797"/>
      <c r="C3" s="3734" t="s">
        <v>1222</v>
      </c>
      <c r="D3" s="3651"/>
      <c r="E3" s="3651"/>
      <c r="F3" s="3015" t="s">
        <v>8952</v>
      </c>
      <c r="G3" s="3015"/>
      <c r="H3" s="3015"/>
      <c r="I3" s="3015"/>
      <c r="J3" s="3016"/>
      <c r="K3" s="1836"/>
    </row>
    <row r="4" spans="2:11" ht="12.75" customHeight="1" x14ac:dyDescent="0.25">
      <c r="B4" s="1797"/>
      <c r="C4" s="3012" t="s">
        <v>1224</v>
      </c>
      <c r="D4" s="251">
        <v>1</v>
      </c>
      <c r="E4" s="3717" t="s">
        <v>1225</v>
      </c>
      <c r="F4" s="3717"/>
      <c r="G4" s="3717"/>
      <c r="H4" s="3717"/>
      <c r="I4" s="251">
        <v>1</v>
      </c>
      <c r="J4" s="806"/>
      <c r="K4" s="1836"/>
    </row>
    <row r="5" spans="2:11" ht="24.75" hidden="1" customHeight="1" x14ac:dyDescent="0.25">
      <c r="B5" s="1797"/>
      <c r="C5" s="3156"/>
      <c r="D5" s="2">
        <v>2</v>
      </c>
      <c r="E5" s="3694" t="s">
        <v>11850</v>
      </c>
      <c r="F5" s="3694"/>
      <c r="G5" s="3694"/>
      <c r="H5" s="3694"/>
      <c r="I5" s="2">
        <v>2</v>
      </c>
      <c r="J5" s="806">
        <v>0</v>
      </c>
      <c r="K5" s="1836"/>
    </row>
    <row r="6" spans="2:11" ht="26.25" hidden="1" customHeight="1" x14ac:dyDescent="0.25">
      <c r="B6" s="1797"/>
      <c r="C6" s="3156"/>
      <c r="D6" s="2">
        <v>3</v>
      </c>
      <c r="E6" s="3852" t="s">
        <v>7342</v>
      </c>
      <c r="F6" s="3852"/>
      <c r="G6" s="3852"/>
      <c r="H6" s="3852"/>
      <c r="I6" s="2">
        <v>3</v>
      </c>
      <c r="J6" s="796"/>
      <c r="K6" s="1836"/>
    </row>
    <row r="7" spans="2:11" ht="27.75" customHeight="1" x14ac:dyDescent="0.25">
      <c r="B7" s="1797"/>
      <c r="C7" s="3156"/>
      <c r="D7" s="1045">
        <v>2</v>
      </c>
      <c r="E7" s="315" t="s">
        <v>287</v>
      </c>
      <c r="F7" s="3335" t="s">
        <v>7209</v>
      </c>
      <c r="G7" s="3335"/>
      <c r="H7" s="795" t="s">
        <v>287</v>
      </c>
      <c r="I7" s="1500"/>
      <c r="J7" s="796"/>
      <c r="K7" s="1836"/>
    </row>
    <row r="8" spans="2:11" ht="15.75" customHeight="1" x14ac:dyDescent="0.25">
      <c r="B8" s="1797"/>
      <c r="C8" s="3156"/>
      <c r="D8" s="1198"/>
      <c r="E8" s="315" t="s">
        <v>290</v>
      </c>
      <c r="F8" s="1546" t="s">
        <v>6802</v>
      </c>
      <c r="G8" s="1547"/>
      <c r="H8" s="795" t="s">
        <v>290</v>
      </c>
      <c r="I8" s="1500"/>
      <c r="J8" s="797"/>
      <c r="K8" s="1836"/>
    </row>
    <row r="9" spans="2:11" ht="25.5" customHeight="1" x14ac:dyDescent="0.25">
      <c r="B9" s="1797"/>
      <c r="C9" s="3156"/>
      <c r="D9" s="1198"/>
      <c r="E9" s="798" t="s">
        <v>293</v>
      </c>
      <c r="F9" s="3237" t="s">
        <v>6803</v>
      </c>
      <c r="G9" s="3349"/>
      <c r="H9" s="795" t="s">
        <v>293</v>
      </c>
      <c r="I9" s="1500"/>
      <c r="J9" s="797"/>
      <c r="K9" s="1836"/>
    </row>
    <row r="10" spans="2:11" ht="28.5" customHeight="1" x14ac:dyDescent="0.25">
      <c r="B10" s="1797"/>
      <c r="C10" s="3156"/>
      <c r="D10" s="1198"/>
      <c r="E10" s="798" t="s">
        <v>296</v>
      </c>
      <c r="F10" s="2993" t="s">
        <v>12758</v>
      </c>
      <c r="G10" s="2994"/>
      <c r="H10" s="2995"/>
      <c r="I10" s="115" t="s">
        <v>12794</v>
      </c>
      <c r="J10" s="210">
        <f>MAX(0,BP_BalanceOfIncome39)</f>
        <v>0</v>
      </c>
      <c r="K10" s="1836"/>
    </row>
    <row r="11" spans="2:11" ht="22.5" customHeight="1" x14ac:dyDescent="0.25">
      <c r="B11" s="1797"/>
      <c r="C11" s="3156"/>
      <c r="D11" s="1198"/>
      <c r="E11" s="315" t="s">
        <v>299</v>
      </c>
      <c r="F11" s="2993" t="s">
        <v>12687</v>
      </c>
      <c r="G11" s="2994"/>
      <c r="H11" s="2995"/>
      <c r="I11" s="115" t="s">
        <v>12795</v>
      </c>
      <c r="J11" s="210">
        <f>MAX(0,Sheet20.scei.NetAgriIncOrOthrIncRule7-Sheet20.ExpenditureOnAgriculture-Sheet20.UnabsorbedAgriculturalloss+Sheet20.Agriculturalinc)</f>
        <v>0</v>
      </c>
      <c r="K11" s="1836"/>
    </row>
    <row r="12" spans="2:11" ht="12.75" hidden="1" customHeight="1" x14ac:dyDescent="0.25">
      <c r="B12" s="1797"/>
      <c r="C12" s="3156"/>
      <c r="D12" s="1198"/>
      <c r="E12" s="3853" t="s">
        <v>1226</v>
      </c>
      <c r="F12" s="3853"/>
      <c r="G12" s="3853"/>
      <c r="H12" s="3853"/>
      <c r="I12" s="251">
        <v>5</v>
      </c>
      <c r="J12" s="7"/>
      <c r="K12" s="1836"/>
    </row>
    <row r="13" spans="2:11" ht="12.75" customHeight="1" x14ac:dyDescent="0.25">
      <c r="B13" s="1797"/>
      <c r="C13" s="3156"/>
      <c r="D13" s="1198"/>
      <c r="E13" s="1998" t="s">
        <v>430</v>
      </c>
      <c r="F13" s="3858" t="s">
        <v>11851</v>
      </c>
      <c r="G13" s="3859"/>
      <c r="H13" s="3091"/>
      <c r="I13" s="3091"/>
      <c r="J13" s="3092"/>
      <c r="K13" s="1836"/>
    </row>
    <row r="14" spans="2:11" ht="45.75" customHeight="1" x14ac:dyDescent="0.25">
      <c r="B14" s="1797"/>
      <c r="C14" s="3156"/>
      <c r="D14" s="1198"/>
      <c r="E14" s="3364" t="s">
        <v>7563</v>
      </c>
      <c r="F14" s="3854" t="s">
        <v>9637</v>
      </c>
      <c r="G14" s="3855"/>
      <c r="H14" s="3856" t="s">
        <v>8960</v>
      </c>
      <c r="I14" s="3023" t="s">
        <v>9741</v>
      </c>
      <c r="J14" s="3023" t="s">
        <v>9742</v>
      </c>
      <c r="K14" s="1836"/>
    </row>
    <row r="15" spans="2:11" ht="15" x14ac:dyDescent="0.25">
      <c r="B15" s="1797"/>
      <c r="C15" s="3156"/>
      <c r="D15" s="1198"/>
      <c r="E15" s="3365"/>
      <c r="F15" s="2028" t="s">
        <v>8955</v>
      </c>
      <c r="G15" s="2028" t="s">
        <v>748</v>
      </c>
      <c r="H15" s="3857"/>
      <c r="I15" s="3025"/>
      <c r="J15" s="3025"/>
      <c r="K15" s="1836"/>
    </row>
    <row r="16" spans="2:11" ht="15" x14ac:dyDescent="0.25">
      <c r="B16" s="1797"/>
      <c r="C16" s="3156"/>
      <c r="D16" s="1198"/>
      <c r="E16" s="1998">
        <v>1</v>
      </c>
      <c r="F16" s="1936"/>
      <c r="G16" s="1197"/>
      <c r="H16" s="1203"/>
      <c r="I16" s="1199" t="s">
        <v>12</v>
      </c>
      <c r="J16" s="1199" t="s">
        <v>12</v>
      </c>
      <c r="K16" s="1836"/>
    </row>
    <row r="17" spans="2:11" ht="15" x14ac:dyDescent="0.25">
      <c r="B17" s="1797"/>
      <c r="C17" s="3156"/>
      <c r="D17" s="1198"/>
      <c r="E17" s="2081">
        <f>E16+1</f>
        <v>2</v>
      </c>
      <c r="F17" s="1936"/>
      <c r="G17" s="1197"/>
      <c r="H17" s="1203"/>
      <c r="I17" s="1199" t="s">
        <v>12</v>
      </c>
      <c r="J17" s="1199" t="s">
        <v>12</v>
      </c>
      <c r="K17" s="1836"/>
    </row>
    <row r="18" spans="2:11" ht="15" x14ac:dyDescent="0.25">
      <c r="B18" s="1797"/>
      <c r="C18" s="3156"/>
      <c r="D18" s="1198"/>
      <c r="E18" s="1998">
        <f>E17+1</f>
        <v>3</v>
      </c>
      <c r="F18" s="1936"/>
      <c r="G18" s="1197"/>
      <c r="H18" s="1203"/>
      <c r="I18" s="1199" t="s">
        <v>12</v>
      </c>
      <c r="J18" s="1199" t="s">
        <v>12</v>
      </c>
      <c r="K18" s="1836"/>
    </row>
    <row r="19" spans="2:11" ht="15" x14ac:dyDescent="0.25">
      <c r="B19" s="1797"/>
      <c r="C19" s="2057"/>
      <c r="D19" s="1198"/>
      <c r="E19" s="2081">
        <f>E18+1</f>
        <v>4</v>
      </c>
      <c r="F19" s="1936"/>
      <c r="G19" s="1197"/>
      <c r="H19" s="1203"/>
      <c r="I19" s="1199" t="s">
        <v>12</v>
      </c>
      <c r="J19" s="1199" t="s">
        <v>12</v>
      </c>
      <c r="K19" s="1836"/>
    </row>
    <row r="20" spans="2:11" ht="27.75" customHeight="1" x14ac:dyDescent="0.25">
      <c r="B20" s="1797"/>
      <c r="C20" s="2057"/>
      <c r="D20" s="251"/>
      <c r="E20" s="3692"/>
      <c r="F20" s="3714"/>
      <c r="G20" s="3714"/>
      <c r="H20" s="3714"/>
      <c r="I20" s="3714"/>
      <c r="J20" s="3777"/>
      <c r="K20" s="1836"/>
    </row>
    <row r="21" spans="2:11" ht="12.75" customHeight="1" x14ac:dyDescent="0.25">
      <c r="B21" s="1797"/>
      <c r="C21" s="2057"/>
      <c r="D21" s="1045">
        <v>3</v>
      </c>
      <c r="E21" s="3017" t="s">
        <v>9267</v>
      </c>
      <c r="F21" s="3015"/>
      <c r="G21" s="3015"/>
      <c r="H21" s="3865"/>
      <c r="I21" s="3865"/>
      <c r="J21" s="3866"/>
      <c r="K21" s="1836"/>
    </row>
    <row r="22" spans="2:11" ht="12.75" customHeight="1" x14ac:dyDescent="0.25">
      <c r="B22" s="1797"/>
      <c r="C22" s="1063"/>
      <c r="D22" s="1062"/>
      <c r="E22" s="2024" t="s">
        <v>8280</v>
      </c>
      <c r="F22" s="2045" t="s">
        <v>1175</v>
      </c>
      <c r="G22" s="2025" t="s">
        <v>8409</v>
      </c>
      <c r="H22" s="2025" t="s">
        <v>415</v>
      </c>
      <c r="I22" s="1049"/>
      <c r="J22" s="1050"/>
      <c r="K22" s="1836"/>
    </row>
    <row r="23" spans="2:11" ht="15" x14ac:dyDescent="0.25">
      <c r="B23" s="1797"/>
      <c r="C23" s="1063"/>
      <c r="D23" s="222"/>
      <c r="E23" s="199">
        <v>1</v>
      </c>
      <c r="F23" s="809" t="s">
        <v>12</v>
      </c>
      <c r="G23" s="2091"/>
      <c r="H23" s="2034"/>
      <c r="I23" s="1048"/>
      <c r="J23" s="1047"/>
      <c r="K23" s="1836"/>
    </row>
    <row r="24" spans="2:11" ht="15" x14ac:dyDescent="0.25">
      <c r="B24" s="1797"/>
      <c r="C24" s="1063"/>
      <c r="D24" s="222"/>
      <c r="E24" s="199">
        <f>E23+1</f>
        <v>2</v>
      </c>
      <c r="F24" s="809" t="s">
        <v>12</v>
      </c>
      <c r="G24" s="2092"/>
      <c r="H24" s="1545"/>
      <c r="I24" s="1048"/>
      <c r="J24" s="1047"/>
      <c r="K24" s="1836"/>
    </row>
    <row r="25" spans="2:11" ht="15" x14ac:dyDescent="0.25">
      <c r="B25" s="1797"/>
      <c r="C25" s="1063"/>
      <c r="D25" s="222"/>
      <c r="E25" s="199">
        <f>E24+1</f>
        <v>3</v>
      </c>
      <c r="F25" s="809" t="s">
        <v>12</v>
      </c>
      <c r="G25" s="2092"/>
      <c r="H25" s="1545"/>
      <c r="I25" s="1048"/>
      <c r="J25" s="1047"/>
      <c r="K25" s="1836"/>
    </row>
    <row r="26" spans="2:11" ht="15" x14ac:dyDescent="0.25">
      <c r="B26" s="1797"/>
      <c r="C26" s="1063"/>
      <c r="D26" s="222"/>
      <c r="E26" s="199">
        <f>E25+1</f>
        <v>4</v>
      </c>
      <c r="F26" s="809" t="s">
        <v>12</v>
      </c>
      <c r="G26" s="2092"/>
      <c r="H26" s="1545"/>
      <c r="I26" s="1048"/>
      <c r="J26" s="1047"/>
      <c r="K26" s="1836"/>
    </row>
    <row r="27" spans="2:11" ht="12.75" customHeight="1" x14ac:dyDescent="0.25">
      <c r="B27" s="1797"/>
      <c r="C27" s="1063"/>
      <c r="D27" s="222"/>
      <c r="E27" s="3861" t="s">
        <v>749</v>
      </c>
      <c r="F27" s="3862"/>
      <c r="G27" s="786"/>
      <c r="H27" s="2029">
        <f>SUM(EI.Amount)</f>
        <v>0</v>
      </c>
      <c r="I27" s="1048"/>
      <c r="J27" s="1047"/>
      <c r="K27" s="1836"/>
    </row>
    <row r="28" spans="2:11" ht="12.75" customHeight="1" x14ac:dyDescent="0.25">
      <c r="B28" s="1797"/>
      <c r="C28" s="1063"/>
      <c r="D28" s="222"/>
      <c r="E28" s="3148"/>
      <c r="F28" s="3149"/>
      <c r="G28" s="3149"/>
      <c r="H28" s="1048"/>
      <c r="I28" s="1046"/>
      <c r="J28" s="1047"/>
      <c r="K28" s="1836"/>
    </row>
    <row r="29" spans="2:11" ht="15" customHeight="1" x14ac:dyDescent="0.25">
      <c r="B29" s="1797"/>
      <c r="C29" s="1063"/>
      <c r="D29" s="1179"/>
      <c r="E29" s="3863"/>
      <c r="F29" s="3864"/>
      <c r="G29" s="3864"/>
      <c r="H29" s="1048"/>
      <c r="I29" s="1046"/>
      <c r="J29" s="1047"/>
      <c r="K29" s="1836"/>
    </row>
    <row r="30" spans="2:11" ht="12.75" customHeight="1" x14ac:dyDescent="0.25">
      <c r="B30" s="1797"/>
      <c r="C30" s="1063"/>
      <c r="D30" s="1179">
        <v>4</v>
      </c>
      <c r="E30" s="3191" t="s">
        <v>8953</v>
      </c>
      <c r="F30" s="3192"/>
      <c r="G30" s="3192"/>
      <c r="H30" s="3192"/>
      <c r="I30" s="3192"/>
      <c r="J30" s="3657"/>
      <c r="K30" s="1836"/>
    </row>
    <row r="31" spans="2:11" ht="12.75" customHeight="1" x14ac:dyDescent="0.25">
      <c r="B31" s="1797"/>
      <c r="C31" s="1063"/>
      <c r="D31" s="1179" t="s">
        <v>7563</v>
      </c>
      <c r="E31" s="2050" t="s">
        <v>9268</v>
      </c>
      <c r="F31" s="2050" t="s">
        <v>1175</v>
      </c>
      <c r="G31" s="2050" t="s">
        <v>9269</v>
      </c>
      <c r="H31" s="2050" t="s">
        <v>6800</v>
      </c>
      <c r="I31" s="2050" t="s">
        <v>9270</v>
      </c>
      <c r="J31" s="2050" t="s">
        <v>9271</v>
      </c>
      <c r="K31" s="1836"/>
    </row>
    <row r="32" spans="2:11" ht="15" x14ac:dyDescent="0.25">
      <c r="B32" s="1797"/>
      <c r="C32" s="1063"/>
      <c r="D32" s="1179">
        <v>1</v>
      </c>
      <c r="E32" s="2034"/>
      <c r="F32" s="2039"/>
      <c r="G32" s="1255" t="s">
        <v>12</v>
      </c>
      <c r="H32" s="2039"/>
      <c r="I32" s="1936" t="s">
        <v>12</v>
      </c>
      <c r="J32" s="1936" t="s">
        <v>12</v>
      </c>
      <c r="K32" s="1836"/>
    </row>
    <row r="33" spans="1:256" ht="15" x14ac:dyDescent="0.25">
      <c r="B33" s="1797"/>
      <c r="C33" s="1063"/>
      <c r="D33" s="1179">
        <f>D32+1</f>
        <v>2</v>
      </c>
      <c r="E33" s="1545"/>
      <c r="F33" s="2039"/>
      <c r="G33" s="1255" t="s">
        <v>12</v>
      </c>
      <c r="H33" s="2039"/>
      <c r="I33" s="1936" t="s">
        <v>12</v>
      </c>
      <c r="J33" s="1936" t="s">
        <v>12</v>
      </c>
      <c r="K33" s="1836"/>
    </row>
    <row r="34" spans="1:256" ht="15" x14ac:dyDescent="0.25">
      <c r="B34" s="1797"/>
      <c r="C34" s="1063"/>
      <c r="D34" s="1179">
        <f>D33+1</f>
        <v>3</v>
      </c>
      <c r="E34" s="1545"/>
      <c r="F34" s="2039"/>
      <c r="G34" s="1255" t="s">
        <v>12</v>
      </c>
      <c r="H34" s="2039"/>
      <c r="I34" s="1936" t="s">
        <v>12</v>
      </c>
      <c r="J34" s="1936" t="s">
        <v>12</v>
      </c>
      <c r="K34" s="1836"/>
    </row>
    <row r="35" spans="1:256" ht="15" x14ac:dyDescent="0.25">
      <c r="B35" s="1797"/>
      <c r="C35" s="1063"/>
      <c r="D35" s="1179">
        <f>D34+1</f>
        <v>4</v>
      </c>
      <c r="E35" s="1545"/>
      <c r="F35" s="2039"/>
      <c r="G35" s="1255" t="s">
        <v>12</v>
      </c>
      <c r="H35" s="2039"/>
      <c r="I35" s="1936" t="s">
        <v>12</v>
      </c>
      <c r="J35" s="1936" t="s">
        <v>12</v>
      </c>
      <c r="K35" s="1836"/>
    </row>
    <row r="36" spans="1:256" ht="27.75" customHeight="1" x14ac:dyDescent="0.25">
      <c r="B36" s="1797"/>
      <c r="C36" s="1063"/>
      <c r="D36" s="1179"/>
      <c r="E36" s="3191"/>
      <c r="F36" s="3192"/>
      <c r="G36" s="3192"/>
      <c r="H36" s="3192"/>
      <c r="I36" s="3192"/>
      <c r="J36" s="3657"/>
      <c r="K36" s="1836"/>
    </row>
    <row r="37" spans="1:256" ht="15" x14ac:dyDescent="0.25">
      <c r="B37" s="1797"/>
      <c r="C37" s="1063"/>
      <c r="D37" s="1179"/>
      <c r="E37" s="3097" t="s">
        <v>9272</v>
      </c>
      <c r="F37" s="3097"/>
      <c r="G37" s="3097"/>
      <c r="H37" s="3097"/>
      <c r="I37" s="2056">
        <v>4</v>
      </c>
      <c r="J37" s="1395">
        <f>SUM(SCHEI_DTAA_AmountOfIncome)</f>
        <v>0</v>
      </c>
      <c r="K37" s="1836"/>
    </row>
    <row r="38" spans="1:256" ht="12.75" customHeight="1" x14ac:dyDescent="0.25">
      <c r="B38" s="1797"/>
      <c r="C38" s="1063"/>
      <c r="D38" s="1179">
        <v>5</v>
      </c>
      <c r="E38" s="3017" t="s">
        <v>8954</v>
      </c>
      <c r="F38" s="3015"/>
      <c r="G38" s="3015"/>
      <c r="H38" s="3016"/>
      <c r="I38" s="2056">
        <v>5</v>
      </c>
      <c r="J38" s="1395">
        <v>0</v>
      </c>
      <c r="K38" s="1836"/>
      <c r="N38" s="1991">
        <f>SUM(0,Sheet20.scei.InterestInc,Sheet20.scei.DividendInc,Sheet20.scei.NetAgriIncOrOthrIncRule7,Sheet20.scei.Others,SchEI_TotalIncomeDTAA,SCHEI_Pass_Through_Income)</f>
        <v>0</v>
      </c>
    </row>
    <row r="39" spans="1:256" ht="12.75" customHeight="1" x14ac:dyDescent="0.25">
      <c r="B39" s="1797"/>
      <c r="C39" s="2003"/>
      <c r="D39" s="322">
        <v>6</v>
      </c>
      <c r="E39" s="3126" t="s">
        <v>12796</v>
      </c>
      <c r="F39" s="3127"/>
      <c r="G39" s="3127"/>
      <c r="H39" s="3860"/>
      <c r="I39" s="322">
        <v>6</v>
      </c>
      <c r="J39" s="1395">
        <f>MAX(0,SUM(Sheet20.scei.InterestInc,Sheet20.scei.DividendInc,Sheet20.NetAgriculturalIncome,Sheet20.scei.Others,SchEI_TotalIncomeDTAA,SCHEI_Pass_Through_Income))</f>
        <v>0</v>
      </c>
      <c r="K39" s="1836"/>
    </row>
    <row r="40" spans="1:256" s="117" customFormat="1" ht="19.5" customHeight="1" thickBot="1" x14ac:dyDescent="0.3">
      <c r="B40" s="1853"/>
      <c r="C40" s="1841"/>
      <c r="D40" s="1841"/>
      <c r="E40" s="1841"/>
      <c r="F40" s="1841"/>
      <c r="G40" s="1841"/>
      <c r="H40" s="1841"/>
      <c r="I40" s="1841"/>
      <c r="J40" s="1841"/>
      <c r="K40" s="1845"/>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17" customFormat="1" ht="21.75" customHeight="1" x14ac:dyDescent="0.25">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1.75" hidden="1" customHeight="1" x14ac:dyDescent="0.25">
      <c r="A42"/>
      <c r="B42"/>
      <c r="C42"/>
      <c r="D42"/>
      <c r="E42"/>
      <c r="F42"/>
      <c r="G42"/>
      <c r="H42"/>
      <c r="I42"/>
      <c r="J42"/>
      <c r="K42"/>
      <c r="L42"/>
    </row>
    <row r="43" spans="1:256" ht="21.75" hidden="1" customHeight="1" x14ac:dyDescent="0.25">
      <c r="A43"/>
      <c r="B43"/>
      <c r="C43"/>
      <c r="D43"/>
      <c r="E43"/>
      <c r="F43"/>
      <c r="G43"/>
      <c r="H43"/>
      <c r="I43"/>
      <c r="J43"/>
      <c r="K43"/>
      <c r="L43"/>
    </row>
    <row r="44" spans="1:256" ht="9.75" hidden="1" customHeight="1" x14ac:dyDescent="0.25">
      <c r="A44"/>
      <c r="B44"/>
      <c r="C44"/>
      <c r="D44"/>
      <c r="E44"/>
      <c r="F44"/>
      <c r="G44"/>
      <c r="H44"/>
      <c r="I44"/>
      <c r="J44"/>
      <c r="K44"/>
      <c r="L44"/>
    </row>
    <row r="45" spans="1:256" ht="9.75" hidden="1" customHeight="1" x14ac:dyDescent="0.25">
      <c r="A45"/>
      <c r="B45"/>
      <c r="C45"/>
      <c r="D45"/>
      <c r="E45"/>
      <c r="F45"/>
      <c r="G45"/>
      <c r="H45"/>
      <c r="I45"/>
      <c r="J45"/>
      <c r="K45"/>
      <c r="L45"/>
    </row>
    <row r="46" spans="1:256" ht="9.75" hidden="1" customHeight="1" x14ac:dyDescent="0.25">
      <c r="A46"/>
      <c r="B46"/>
      <c r="C46"/>
      <c r="D46"/>
      <c r="E46"/>
      <c r="F46"/>
      <c r="G46"/>
      <c r="H46"/>
      <c r="I46"/>
      <c r="J46"/>
      <c r="K46"/>
      <c r="L46"/>
    </row>
    <row r="47" spans="1:256" ht="9.75" hidden="1" customHeight="1" x14ac:dyDescent="0.25">
      <c r="A47"/>
      <c r="B47"/>
      <c r="C47"/>
      <c r="D47"/>
      <c r="E47"/>
      <c r="F47"/>
      <c r="G47"/>
      <c r="H47"/>
      <c r="I47"/>
      <c r="J47"/>
      <c r="K47"/>
      <c r="L47"/>
    </row>
    <row r="48" spans="1:256" ht="9.75" hidden="1" customHeight="1" x14ac:dyDescent="0.25">
      <c r="A48"/>
      <c r="B48"/>
      <c r="C48"/>
      <c r="D48"/>
      <c r="E48"/>
      <c r="F48"/>
      <c r="G48"/>
      <c r="H48"/>
      <c r="I48"/>
      <c r="J48"/>
      <c r="K48"/>
      <c r="L48"/>
    </row>
    <row r="49" customFormat="1" ht="9.75" hidden="1" customHeight="1" x14ac:dyDescent="0.25"/>
    <row r="50" customFormat="1" ht="9.75" hidden="1" customHeight="1" x14ac:dyDescent="0.25"/>
    <row r="51" customFormat="1" ht="9.75" hidden="1" customHeight="1" x14ac:dyDescent="0.25"/>
    <row r="52" customFormat="1" ht="9.75" hidden="1" customHeight="1" x14ac:dyDescent="0.25"/>
    <row r="53" customFormat="1" ht="9.75" hidden="1" customHeight="1" x14ac:dyDescent="0.25"/>
    <row r="54" customFormat="1" ht="9.75" hidden="1" customHeight="1" x14ac:dyDescent="0.25"/>
    <row r="55" customFormat="1" ht="9.75" hidden="1" customHeight="1" x14ac:dyDescent="0.25"/>
    <row r="56" customFormat="1" ht="9.75" hidden="1" customHeight="1" x14ac:dyDescent="0.25"/>
    <row r="57" customFormat="1" ht="9.75" hidden="1" customHeight="1" x14ac:dyDescent="0.25"/>
    <row r="58" customFormat="1" ht="9.75" hidden="1" customHeight="1" x14ac:dyDescent="0.25"/>
    <row r="59" customFormat="1" ht="9.75" hidden="1" customHeight="1" x14ac:dyDescent="0.25"/>
    <row r="60" customFormat="1" ht="9.75" hidden="1" customHeight="1" x14ac:dyDescent="0.25"/>
    <row r="61" customFormat="1" ht="9.75" hidden="1" customHeight="1" x14ac:dyDescent="0.25"/>
    <row r="62" customFormat="1" ht="9.75" hidden="1" customHeight="1" x14ac:dyDescent="0.25"/>
    <row r="63" customFormat="1" ht="9.75" hidden="1" customHeight="1" x14ac:dyDescent="0.25"/>
    <row r="64" customFormat="1" ht="9.75" hidden="1" customHeight="1" x14ac:dyDescent="0.25"/>
    <row r="65" customFormat="1" ht="9.75" hidden="1" customHeight="1" x14ac:dyDescent="0.25"/>
    <row r="66" customFormat="1" ht="9.75" hidden="1" customHeight="1" x14ac:dyDescent="0.25"/>
    <row r="67" customFormat="1" ht="9.75" hidden="1" customHeight="1" x14ac:dyDescent="0.25"/>
    <row r="68" customFormat="1" ht="9.75" hidden="1" customHeight="1" x14ac:dyDescent="0.25"/>
    <row r="69" customFormat="1" ht="9.75" hidden="1" customHeight="1" x14ac:dyDescent="0.25"/>
    <row r="70" customFormat="1" ht="9.75" hidden="1" customHeight="1" x14ac:dyDescent="0.25"/>
    <row r="71" customFormat="1" ht="9.75" hidden="1" customHeight="1" x14ac:dyDescent="0.25"/>
    <row r="72" customFormat="1" ht="9.75" hidden="1" customHeight="1" x14ac:dyDescent="0.25"/>
    <row r="73" customFormat="1" ht="9.75" hidden="1" customHeight="1" x14ac:dyDescent="0.25"/>
    <row r="74" customFormat="1" ht="9.75" hidden="1" customHeight="1" x14ac:dyDescent="0.25"/>
    <row r="75" customFormat="1" ht="9.75" hidden="1" customHeight="1" x14ac:dyDescent="0.25"/>
    <row r="76" customFormat="1" ht="9.75" hidden="1" customHeight="1" x14ac:dyDescent="0.25"/>
    <row r="77" customFormat="1" ht="9.75" hidden="1" customHeight="1" x14ac:dyDescent="0.25"/>
    <row r="78" customFormat="1" ht="9.75" hidden="1" customHeight="1" x14ac:dyDescent="0.25"/>
    <row r="79" customFormat="1" ht="9.75" hidden="1" customHeight="1" x14ac:dyDescent="0.25"/>
    <row r="80" customFormat="1" ht="9.75" hidden="1" customHeight="1" x14ac:dyDescent="0.25"/>
    <row r="81" customFormat="1" ht="9.75" hidden="1" customHeight="1" x14ac:dyDescent="0.25"/>
    <row r="82" customFormat="1" ht="9.75" hidden="1" customHeight="1" x14ac:dyDescent="0.25"/>
    <row r="83" customFormat="1" ht="9.75" hidden="1" customHeight="1" x14ac:dyDescent="0.25"/>
    <row r="84" customFormat="1" ht="9.75" hidden="1" customHeight="1" x14ac:dyDescent="0.25"/>
    <row r="85" customFormat="1" ht="9.75" hidden="1" customHeight="1" x14ac:dyDescent="0.25"/>
    <row r="86" customFormat="1" ht="9.75" hidden="1" customHeight="1" x14ac:dyDescent="0.25"/>
    <row r="87" customFormat="1" ht="9.75" hidden="1" customHeight="1" x14ac:dyDescent="0.25"/>
    <row r="88" customFormat="1" ht="9.75" hidden="1" customHeight="1" x14ac:dyDescent="0.25"/>
    <row r="89" customFormat="1" ht="9.75" hidden="1" customHeight="1" x14ac:dyDescent="0.25"/>
    <row r="90" customFormat="1" ht="9.75" hidden="1" customHeight="1" x14ac:dyDescent="0.25"/>
    <row r="91" customFormat="1" ht="9.75" hidden="1" customHeight="1" x14ac:dyDescent="0.25"/>
    <row r="92" customFormat="1" ht="9.75" hidden="1" customHeight="1" x14ac:dyDescent="0.25"/>
    <row r="93" customFormat="1" ht="9.75" hidden="1" customHeight="1" x14ac:dyDescent="0.25"/>
    <row r="94" customFormat="1" ht="9.75" hidden="1" customHeight="1" x14ac:dyDescent="0.25"/>
    <row r="95" customFormat="1" ht="9.75" hidden="1" customHeight="1" x14ac:dyDescent="0.25"/>
    <row r="96" customFormat="1" ht="9.75" hidden="1" customHeight="1" x14ac:dyDescent="0.25"/>
    <row r="97" customFormat="1" ht="9.75" hidden="1" customHeight="1" x14ac:dyDescent="0.25"/>
    <row r="98" customFormat="1" ht="9.75" hidden="1" customHeight="1" x14ac:dyDescent="0.25"/>
    <row r="99" customFormat="1" ht="9.75" hidden="1" customHeight="1" x14ac:dyDescent="0.25"/>
    <row r="100" customFormat="1" ht="9.75" hidden="1" customHeight="1" x14ac:dyDescent="0.25"/>
    <row r="101" customFormat="1" ht="9.75" hidden="1" customHeight="1" x14ac:dyDescent="0.25"/>
    <row r="102" customFormat="1" ht="9.75" hidden="1" customHeight="1" x14ac:dyDescent="0.25"/>
    <row r="103" customFormat="1" ht="9.75" hidden="1" customHeight="1" x14ac:dyDescent="0.25"/>
    <row r="104" customFormat="1" ht="9.75" hidden="1" customHeight="1" x14ac:dyDescent="0.25"/>
    <row r="105" customFormat="1" ht="9.75" hidden="1" customHeight="1" x14ac:dyDescent="0.25"/>
    <row r="106" customFormat="1" ht="9.75" hidden="1" customHeight="1" x14ac:dyDescent="0.25"/>
    <row r="107" customFormat="1" ht="9.75" hidden="1" customHeight="1" x14ac:dyDescent="0.25"/>
    <row r="108" customFormat="1" ht="9.75" hidden="1" customHeight="1" x14ac:dyDescent="0.25"/>
    <row r="109" customFormat="1" ht="9.75" hidden="1" customHeight="1" x14ac:dyDescent="0.25"/>
    <row r="110" customFormat="1" ht="9.75" hidden="1" customHeight="1" x14ac:dyDescent="0.25"/>
    <row r="111" customFormat="1" ht="9.75" hidden="1" customHeight="1" x14ac:dyDescent="0.25"/>
    <row r="112" customFormat="1" ht="9.75" hidden="1" customHeight="1" x14ac:dyDescent="0.25"/>
    <row r="113" customFormat="1" ht="9.75" hidden="1" customHeight="1" x14ac:dyDescent="0.25"/>
    <row r="114" customFormat="1" ht="9.75" hidden="1" customHeight="1" x14ac:dyDescent="0.25"/>
    <row r="115" customFormat="1" ht="9.75" hidden="1" customHeight="1" x14ac:dyDescent="0.25"/>
    <row r="116" customFormat="1" ht="9.75" hidden="1" customHeight="1" x14ac:dyDescent="0.25"/>
    <row r="117" customFormat="1" ht="9.75" hidden="1" customHeight="1" x14ac:dyDescent="0.25"/>
    <row r="118" customFormat="1" ht="9.75" hidden="1" customHeight="1" x14ac:dyDescent="0.25"/>
    <row r="119" customFormat="1" ht="9.75" hidden="1" customHeight="1" x14ac:dyDescent="0.25"/>
    <row r="120" customFormat="1" ht="9.75" hidden="1" customHeight="1" x14ac:dyDescent="0.25"/>
    <row r="121" customFormat="1" ht="9.75" hidden="1" customHeight="1" x14ac:dyDescent="0.25"/>
    <row r="122" customFormat="1" ht="9.75" hidden="1" customHeight="1" x14ac:dyDescent="0.25"/>
    <row r="123" customFormat="1" ht="9.75" hidden="1" customHeight="1" x14ac:dyDescent="0.25"/>
    <row r="124" customFormat="1" ht="9.75" hidden="1" customHeight="1" x14ac:dyDescent="0.25"/>
    <row r="125" customFormat="1" ht="9.75" hidden="1" customHeight="1" x14ac:dyDescent="0.25"/>
    <row r="126" customFormat="1" ht="9.75" hidden="1" customHeight="1" x14ac:dyDescent="0.25"/>
    <row r="127" customFormat="1" ht="9.75" hidden="1" customHeight="1" x14ac:dyDescent="0.25"/>
    <row r="128" customFormat="1" ht="9.75" hidden="1" customHeight="1" x14ac:dyDescent="0.25"/>
    <row r="129" customFormat="1" ht="9.75" hidden="1" customHeight="1" x14ac:dyDescent="0.25"/>
    <row r="130" customFormat="1" ht="9.75" hidden="1" customHeight="1" x14ac:dyDescent="0.25"/>
    <row r="131" customFormat="1" ht="9.75" hidden="1" customHeight="1" x14ac:dyDescent="0.25"/>
    <row r="132" customFormat="1" ht="9.75" hidden="1" customHeight="1" x14ac:dyDescent="0.25"/>
    <row r="133" customFormat="1" ht="9.75" hidden="1" customHeight="1" x14ac:dyDescent="0.25"/>
    <row r="134" customFormat="1" ht="9.75" hidden="1" customHeight="1" x14ac:dyDescent="0.25"/>
    <row r="135" customFormat="1" ht="9.75" hidden="1" customHeight="1" x14ac:dyDescent="0.25"/>
    <row r="136" customFormat="1" ht="9.75" hidden="1" customHeight="1" x14ac:dyDescent="0.25"/>
    <row r="137" customFormat="1" ht="9.75" hidden="1" customHeight="1" x14ac:dyDescent="0.25"/>
    <row r="138" customFormat="1" ht="9.75" hidden="1" customHeight="1" x14ac:dyDescent="0.25"/>
    <row r="139" customFormat="1" ht="9.75" hidden="1" customHeight="1" x14ac:dyDescent="0.25"/>
    <row r="140" customFormat="1" ht="9.75" hidden="1" customHeight="1" x14ac:dyDescent="0.25"/>
    <row r="141" customFormat="1" ht="9.75" hidden="1" customHeight="1" x14ac:dyDescent="0.25"/>
    <row r="142" customFormat="1" ht="9.75" hidden="1" customHeight="1" x14ac:dyDescent="0.25"/>
    <row r="143" customFormat="1" ht="9.75" hidden="1" customHeight="1" x14ac:dyDescent="0.25"/>
    <row r="144" customFormat="1" ht="9.75" hidden="1" customHeight="1" x14ac:dyDescent="0.25"/>
    <row r="145" customFormat="1" ht="9.75" hidden="1" customHeight="1" x14ac:dyDescent="0.25"/>
    <row r="146" customFormat="1" ht="9.75" hidden="1" customHeight="1" x14ac:dyDescent="0.25"/>
    <row r="147" customFormat="1" ht="9.75" hidden="1" customHeight="1" x14ac:dyDescent="0.25"/>
    <row r="148" customFormat="1" ht="9.75" hidden="1" customHeight="1" x14ac:dyDescent="0.25"/>
    <row r="149" customFormat="1" ht="9.75" hidden="1" customHeight="1" x14ac:dyDescent="0.25"/>
    <row r="150" customFormat="1" ht="9.75" hidden="1" customHeight="1" x14ac:dyDescent="0.25"/>
    <row r="151" customFormat="1" ht="9.75" hidden="1" customHeight="1" x14ac:dyDescent="0.25"/>
    <row r="152" customFormat="1" ht="9.75" hidden="1" customHeight="1" x14ac:dyDescent="0.25"/>
    <row r="153" customFormat="1" ht="9.75" hidden="1" customHeight="1" x14ac:dyDescent="0.25"/>
    <row r="154" customFormat="1" ht="9.75" hidden="1" customHeight="1" x14ac:dyDescent="0.25"/>
    <row r="155" customFormat="1" ht="9.75" hidden="1" customHeight="1" x14ac:dyDescent="0.25"/>
    <row r="156" customFormat="1" ht="9.75" hidden="1" customHeight="1" x14ac:dyDescent="0.25"/>
    <row r="157" customFormat="1" ht="9.75" hidden="1" customHeight="1" x14ac:dyDescent="0.25"/>
    <row r="158" customFormat="1" ht="9.75" hidden="1" customHeight="1" x14ac:dyDescent="0.25"/>
    <row r="159" customFormat="1" ht="9.75" hidden="1" customHeight="1" x14ac:dyDescent="0.25"/>
    <row r="160" customFormat="1" ht="9.75" hidden="1" customHeight="1" x14ac:dyDescent="0.25"/>
    <row r="161" customFormat="1" ht="9.75" hidden="1" customHeight="1" x14ac:dyDescent="0.25"/>
    <row r="162" customFormat="1" ht="9.75" hidden="1" customHeight="1" x14ac:dyDescent="0.25"/>
    <row r="163" customFormat="1" ht="9.75" hidden="1" customHeight="1" x14ac:dyDescent="0.25"/>
    <row r="164" customFormat="1" ht="9.75" hidden="1" customHeight="1" x14ac:dyDescent="0.25"/>
    <row r="165" customFormat="1" ht="9.75" hidden="1" customHeight="1" x14ac:dyDescent="0.25"/>
    <row r="166" customFormat="1" ht="9.75" hidden="1" customHeight="1" x14ac:dyDescent="0.25"/>
    <row r="167" customFormat="1" ht="9.75" hidden="1" customHeight="1" x14ac:dyDescent="0.25"/>
    <row r="168" customFormat="1" ht="9.75" hidden="1" customHeight="1" x14ac:dyDescent="0.25"/>
    <row r="169" customFormat="1" ht="9.75" hidden="1" customHeight="1" x14ac:dyDescent="0.25"/>
    <row r="170" customFormat="1" ht="9.75" hidden="1" customHeight="1" x14ac:dyDescent="0.25"/>
    <row r="171" customFormat="1" ht="9.75" hidden="1" customHeight="1" x14ac:dyDescent="0.25"/>
    <row r="172" customFormat="1" ht="9.75" hidden="1" customHeight="1" x14ac:dyDescent="0.25"/>
    <row r="173" customFormat="1" ht="9.75" hidden="1" customHeight="1" x14ac:dyDescent="0.25"/>
    <row r="174" customFormat="1" ht="9.75" hidden="1" customHeight="1" x14ac:dyDescent="0.25"/>
    <row r="175" customFormat="1" ht="9.75" hidden="1" customHeight="1" x14ac:dyDescent="0.25"/>
    <row r="176" customFormat="1" ht="9.75" hidden="1" customHeight="1" x14ac:dyDescent="0.25"/>
    <row r="177" customFormat="1" ht="9.75" hidden="1" customHeight="1" x14ac:dyDescent="0.25"/>
    <row r="178" customFormat="1" ht="9.75" hidden="1" customHeight="1" x14ac:dyDescent="0.25"/>
    <row r="179" customFormat="1" ht="9.75" hidden="1" customHeight="1" x14ac:dyDescent="0.25"/>
    <row r="180" customFormat="1" ht="9.75" hidden="1" customHeight="1" x14ac:dyDescent="0.25"/>
    <row r="181" customFormat="1" ht="9.75" hidden="1" customHeight="1" x14ac:dyDescent="0.25"/>
    <row r="182" customFormat="1" ht="9.75" hidden="1" customHeight="1" x14ac:dyDescent="0.25"/>
    <row r="183" customFormat="1" ht="9.75" hidden="1" customHeight="1" x14ac:dyDescent="0.25"/>
    <row r="184" customFormat="1" ht="9.75" hidden="1" customHeight="1" x14ac:dyDescent="0.25"/>
    <row r="185" customFormat="1" ht="9.75" hidden="1" customHeight="1" x14ac:dyDescent="0.25"/>
    <row r="186" customFormat="1" ht="9.75" hidden="1" customHeight="1" x14ac:dyDescent="0.25"/>
    <row r="187" customFormat="1" ht="9.75" hidden="1" customHeight="1" x14ac:dyDescent="0.25"/>
    <row r="188" customFormat="1" ht="9.75" hidden="1" customHeight="1" x14ac:dyDescent="0.25"/>
    <row r="189" customFormat="1" ht="9.75" hidden="1" customHeight="1" x14ac:dyDescent="0.25"/>
    <row r="190" customFormat="1" ht="9.75" hidden="1" customHeight="1" x14ac:dyDescent="0.25"/>
    <row r="191" customFormat="1" ht="9.75" hidden="1" customHeight="1" x14ac:dyDescent="0.25"/>
    <row r="192" customFormat="1" ht="9.75" hidden="1" customHeight="1" x14ac:dyDescent="0.25"/>
    <row r="193" customFormat="1" ht="9.75" hidden="1" customHeight="1" x14ac:dyDescent="0.25"/>
    <row r="194" customFormat="1" ht="9.75" hidden="1" customHeight="1" x14ac:dyDescent="0.25"/>
    <row r="195" customFormat="1" ht="9.75" hidden="1" customHeight="1" x14ac:dyDescent="0.25"/>
    <row r="196" customFormat="1" ht="9.75" hidden="1" customHeight="1" x14ac:dyDescent="0.25"/>
    <row r="197" customFormat="1" ht="9.75" hidden="1" customHeight="1" x14ac:dyDescent="0.25"/>
    <row r="198" customFormat="1" ht="9.75" hidden="1" customHeight="1" x14ac:dyDescent="0.25"/>
    <row r="199" customFormat="1" ht="9.75" hidden="1" customHeight="1" x14ac:dyDescent="0.25"/>
    <row r="200" customFormat="1" ht="9.75" hidden="1" customHeight="1" x14ac:dyDescent="0.25"/>
    <row r="201" customFormat="1" ht="9.75" hidden="1" customHeight="1" x14ac:dyDescent="0.25"/>
    <row r="202" customFormat="1" ht="9.75" hidden="1" customHeight="1" x14ac:dyDescent="0.25"/>
    <row r="203" customFormat="1" ht="9.75" hidden="1" customHeight="1" x14ac:dyDescent="0.25"/>
    <row r="204" customFormat="1" ht="9.75" hidden="1" customHeight="1" x14ac:dyDescent="0.25"/>
    <row r="205" customFormat="1" ht="9.75" hidden="1" customHeight="1" x14ac:dyDescent="0.25"/>
    <row r="206" customFormat="1" ht="9.75" hidden="1" customHeight="1" x14ac:dyDescent="0.25"/>
    <row r="207" customFormat="1" ht="9.75" hidden="1" customHeight="1" x14ac:dyDescent="0.25"/>
    <row r="208" customFormat="1" ht="9.75" hidden="1" customHeight="1" x14ac:dyDescent="0.25"/>
    <row r="209" customFormat="1" ht="9.75" hidden="1" customHeight="1" x14ac:dyDescent="0.25"/>
    <row r="210" customFormat="1" ht="9.75" hidden="1" customHeight="1" x14ac:dyDescent="0.25"/>
    <row r="211" customFormat="1" ht="9.75" hidden="1" customHeight="1" x14ac:dyDescent="0.25"/>
    <row r="212" customFormat="1" ht="9.75" hidden="1" customHeight="1" x14ac:dyDescent="0.25"/>
    <row r="213" customFormat="1" ht="9.75" hidden="1" customHeight="1" x14ac:dyDescent="0.25"/>
    <row r="214" customFormat="1" ht="9.75" hidden="1" customHeight="1" x14ac:dyDescent="0.25"/>
    <row r="215" customFormat="1" ht="9.75" hidden="1" customHeight="1" x14ac:dyDescent="0.25"/>
    <row r="216" customFormat="1" ht="9.75" hidden="1" customHeight="1" x14ac:dyDescent="0.25"/>
    <row r="217" customFormat="1" ht="9.75" hidden="1" customHeight="1" x14ac:dyDescent="0.25"/>
    <row r="218" customFormat="1" ht="9.75" hidden="1" customHeight="1" x14ac:dyDescent="0.25"/>
    <row r="219" customFormat="1" ht="9.75" hidden="1" customHeight="1" x14ac:dyDescent="0.25"/>
    <row r="220" customFormat="1" ht="9.75" hidden="1" customHeight="1" x14ac:dyDescent="0.25"/>
    <row r="221" customFormat="1" ht="9.75" hidden="1" customHeight="1" x14ac:dyDescent="0.25"/>
    <row r="222" customFormat="1" ht="9.75" hidden="1" customHeight="1" x14ac:dyDescent="0.25"/>
    <row r="223" customFormat="1" ht="9.75" hidden="1" customHeight="1" x14ac:dyDescent="0.25"/>
    <row r="224" customFormat="1" ht="9.75" hidden="1" customHeight="1" x14ac:dyDescent="0.25"/>
    <row r="225" customFormat="1" ht="9.75" hidden="1" customHeight="1" x14ac:dyDescent="0.25"/>
    <row r="226" customFormat="1" ht="9.75" hidden="1" customHeight="1" x14ac:dyDescent="0.25"/>
    <row r="227" customFormat="1" ht="9.75" hidden="1" customHeight="1" x14ac:dyDescent="0.25"/>
    <row r="228" customFormat="1" ht="9.75" hidden="1" customHeight="1" x14ac:dyDescent="0.25"/>
    <row r="229" customFormat="1" ht="9.75" hidden="1" customHeight="1" x14ac:dyDescent="0.25"/>
    <row r="230" customFormat="1" ht="9.75" hidden="1" customHeight="1" x14ac:dyDescent="0.25"/>
    <row r="231" customFormat="1" ht="9.75" hidden="1" customHeight="1" x14ac:dyDescent="0.25"/>
    <row r="232" customFormat="1" ht="9.75" hidden="1" customHeight="1" x14ac:dyDescent="0.25"/>
    <row r="233" customFormat="1" ht="9.75" hidden="1" customHeight="1" x14ac:dyDescent="0.25"/>
    <row r="234" customFormat="1" ht="9.75" hidden="1" customHeight="1" x14ac:dyDescent="0.25"/>
    <row r="235" customFormat="1" ht="9.75" hidden="1" customHeight="1" x14ac:dyDescent="0.25"/>
    <row r="236" customFormat="1" ht="9.75" hidden="1" customHeight="1" x14ac:dyDescent="0.25"/>
    <row r="237" customFormat="1" ht="9.75" hidden="1" customHeight="1" x14ac:dyDescent="0.25"/>
    <row r="238" customFormat="1" ht="9.75" hidden="1" customHeight="1" x14ac:dyDescent="0.25"/>
    <row r="239" customFormat="1" ht="9.75" hidden="1" customHeight="1" x14ac:dyDescent="0.25"/>
    <row r="240" customFormat="1" ht="9.75" hidden="1" customHeight="1" x14ac:dyDescent="0.25"/>
    <row r="241" customFormat="1" ht="9.75" hidden="1" customHeight="1" x14ac:dyDescent="0.25"/>
    <row r="242" customFormat="1" ht="9.75" hidden="1" customHeight="1" x14ac:dyDescent="0.25"/>
    <row r="243" customFormat="1" ht="9.75" hidden="1" customHeight="1" x14ac:dyDescent="0.25"/>
    <row r="244" customFormat="1" ht="9.75" hidden="1" customHeight="1" x14ac:dyDescent="0.25"/>
    <row r="245" customFormat="1" ht="9.75" hidden="1" customHeight="1" x14ac:dyDescent="0.25"/>
    <row r="246" customFormat="1" ht="9.75" hidden="1" customHeight="1" x14ac:dyDescent="0.25"/>
    <row r="247" customFormat="1" ht="9.75" hidden="1" customHeight="1" x14ac:dyDescent="0.25"/>
    <row r="248" customFormat="1" ht="9.75" hidden="1" customHeight="1" x14ac:dyDescent="0.25"/>
    <row r="249" customFormat="1" ht="9.75" hidden="1" customHeight="1" x14ac:dyDescent="0.25"/>
    <row r="250" customFormat="1" ht="9.75" hidden="1" customHeight="1" x14ac:dyDescent="0.25"/>
    <row r="251" customFormat="1" ht="9.75" hidden="1" customHeight="1" x14ac:dyDescent="0.25"/>
    <row r="252" customFormat="1" ht="9.75" hidden="1" customHeight="1" x14ac:dyDescent="0.25"/>
    <row r="253" customFormat="1" ht="9.75" hidden="1" customHeight="1" x14ac:dyDescent="0.25"/>
    <row r="254" customFormat="1" ht="9.75" hidden="1" customHeight="1" x14ac:dyDescent="0.25"/>
    <row r="255" customFormat="1" ht="9.75" hidden="1" customHeight="1" x14ac:dyDescent="0.25"/>
    <row r="256" customFormat="1" ht="9.75" hidden="1" customHeight="1" x14ac:dyDescent="0.25"/>
    <row r="257" customFormat="1" ht="9.75" hidden="1" customHeight="1" x14ac:dyDescent="0.25"/>
    <row r="258" customFormat="1" ht="9.75" hidden="1" customHeight="1" x14ac:dyDescent="0.25"/>
    <row r="259" customFormat="1" ht="9.75" hidden="1" customHeight="1" x14ac:dyDescent="0.25"/>
    <row r="260" customFormat="1" ht="9.75" hidden="1" customHeight="1" x14ac:dyDescent="0.25"/>
    <row r="261" customFormat="1" ht="9.75" hidden="1" customHeight="1" x14ac:dyDescent="0.25"/>
    <row r="262" customFormat="1" ht="9.75" hidden="1" customHeight="1" x14ac:dyDescent="0.25"/>
    <row r="263" customFormat="1" ht="9.75" hidden="1" customHeight="1" x14ac:dyDescent="0.25"/>
    <row r="264" customFormat="1" ht="9.75" hidden="1" customHeight="1" x14ac:dyDescent="0.25"/>
    <row r="265" customFormat="1" ht="9.75" hidden="1" customHeight="1" x14ac:dyDescent="0.25"/>
    <row r="266" customFormat="1" ht="9.75" hidden="1" customHeight="1" x14ac:dyDescent="0.25"/>
    <row r="267" customFormat="1" ht="9.75" hidden="1" customHeight="1" x14ac:dyDescent="0.25"/>
    <row r="268" customFormat="1" ht="9.75" hidden="1" customHeight="1" x14ac:dyDescent="0.25"/>
    <row r="269" customFormat="1" ht="9.75" hidden="1" customHeight="1" x14ac:dyDescent="0.25"/>
    <row r="270" customFormat="1" ht="9.75" hidden="1" customHeight="1" x14ac:dyDescent="0.25"/>
    <row r="271" customFormat="1" ht="9.75" hidden="1" customHeight="1" x14ac:dyDescent="0.25"/>
    <row r="272" customFormat="1" ht="9.75" hidden="1" customHeight="1" x14ac:dyDescent="0.25"/>
    <row r="273" customFormat="1" ht="9.75" hidden="1" customHeight="1" x14ac:dyDescent="0.25"/>
    <row r="274" customFormat="1" ht="9.75" hidden="1" customHeight="1" x14ac:dyDescent="0.25"/>
    <row r="275" customFormat="1" ht="9.75" hidden="1" customHeight="1" x14ac:dyDescent="0.25"/>
    <row r="276" customFormat="1" ht="9.75" hidden="1" customHeight="1" x14ac:dyDescent="0.25"/>
    <row r="277" customFormat="1" ht="9.75" hidden="1" customHeight="1" x14ac:dyDescent="0.25"/>
    <row r="278" customFormat="1" ht="9.75" hidden="1" customHeight="1" x14ac:dyDescent="0.25"/>
    <row r="279" customFormat="1" ht="9.75" hidden="1" customHeight="1" x14ac:dyDescent="0.25"/>
    <row r="280" customFormat="1" ht="9.75" hidden="1" customHeight="1" x14ac:dyDescent="0.25"/>
    <row r="281" customFormat="1" ht="9.75" hidden="1" customHeight="1" x14ac:dyDescent="0.25"/>
    <row r="282" customFormat="1" ht="9.75" hidden="1" customHeight="1" x14ac:dyDescent="0.25"/>
    <row r="283" customFormat="1" ht="9.75" hidden="1" customHeight="1" x14ac:dyDescent="0.25"/>
    <row r="284" customFormat="1" ht="9.75" hidden="1" customHeight="1" x14ac:dyDescent="0.25"/>
    <row r="285" customFormat="1" ht="9.75" hidden="1" customHeight="1" x14ac:dyDescent="0.25"/>
    <row r="286" customFormat="1" ht="9.75" hidden="1" customHeight="1" x14ac:dyDescent="0.25"/>
    <row r="287" customFormat="1" ht="9.75" hidden="1" customHeight="1" x14ac:dyDescent="0.25"/>
    <row r="288" customFormat="1" ht="9.75" hidden="1" customHeight="1" x14ac:dyDescent="0.25"/>
    <row r="289" customFormat="1" ht="9.75" hidden="1" customHeight="1" x14ac:dyDescent="0.25"/>
    <row r="290" customFormat="1" ht="9.75" hidden="1" customHeight="1" x14ac:dyDescent="0.25"/>
    <row r="291" customFormat="1" ht="9.75" hidden="1" customHeight="1" x14ac:dyDescent="0.25"/>
    <row r="292" customFormat="1" ht="9.75" hidden="1" customHeight="1" x14ac:dyDescent="0.25"/>
    <row r="293" customFormat="1" ht="9.75" hidden="1" customHeight="1" x14ac:dyDescent="0.25"/>
    <row r="294" customFormat="1" ht="9.75" hidden="1" customHeight="1" x14ac:dyDescent="0.25"/>
    <row r="295" customFormat="1" ht="9.75" hidden="1" customHeight="1" x14ac:dyDescent="0.25"/>
    <row r="296" customFormat="1" ht="9.75" hidden="1" customHeight="1" x14ac:dyDescent="0.25"/>
    <row r="297" customFormat="1" ht="9.75" hidden="1" customHeight="1" x14ac:dyDescent="0.25"/>
    <row r="298" customFormat="1" ht="9.75" hidden="1" customHeight="1" x14ac:dyDescent="0.25"/>
    <row r="299" customFormat="1" ht="9.75" hidden="1" customHeight="1" x14ac:dyDescent="0.25"/>
    <row r="300" customFormat="1" ht="9.75" hidden="1" customHeight="1" x14ac:dyDescent="0.25"/>
    <row r="301" customFormat="1" ht="9.75" hidden="1" customHeight="1" x14ac:dyDescent="0.25"/>
    <row r="302" customFormat="1" ht="9.75" hidden="1" customHeight="1" x14ac:dyDescent="0.25"/>
    <row r="303" customFormat="1" ht="9.75" hidden="1" customHeight="1" x14ac:dyDescent="0.25"/>
    <row r="304" customFormat="1" ht="9.75" hidden="1" customHeight="1" x14ac:dyDescent="0.25"/>
    <row r="305" customFormat="1" ht="9.75" hidden="1" customHeight="1" x14ac:dyDescent="0.25"/>
    <row r="306" customFormat="1" ht="9.75" hidden="1" customHeight="1" x14ac:dyDescent="0.25"/>
    <row r="307" customFormat="1" ht="9.75" hidden="1" customHeight="1" x14ac:dyDescent="0.25"/>
    <row r="308" customFormat="1" ht="9.75" hidden="1" customHeight="1" x14ac:dyDescent="0.25"/>
    <row r="309" customFormat="1" ht="9.75" hidden="1" customHeight="1" x14ac:dyDescent="0.25"/>
    <row r="310" customFormat="1" ht="9.75" hidden="1" customHeight="1" x14ac:dyDescent="0.25"/>
    <row r="311" customFormat="1" ht="9.75" hidden="1" customHeight="1" x14ac:dyDescent="0.25"/>
    <row r="312" customFormat="1" ht="9.75" hidden="1" customHeight="1" x14ac:dyDescent="0.25"/>
    <row r="313" customFormat="1" ht="9.75" hidden="1" customHeight="1" x14ac:dyDescent="0.25"/>
    <row r="314" customFormat="1" ht="9.75" hidden="1" customHeight="1" x14ac:dyDescent="0.25"/>
    <row r="315" customFormat="1" ht="9.75" hidden="1" customHeight="1" x14ac:dyDescent="0.25"/>
    <row r="316" customFormat="1" ht="9.75" hidden="1" customHeight="1" x14ac:dyDescent="0.25"/>
    <row r="317" customFormat="1" ht="9.75" hidden="1" customHeight="1" x14ac:dyDescent="0.25"/>
    <row r="318" customFormat="1" ht="9.75" hidden="1" customHeight="1" x14ac:dyDescent="0.25"/>
    <row r="319" customFormat="1" ht="9.75" hidden="1" customHeight="1" x14ac:dyDescent="0.25"/>
    <row r="320" customFormat="1" ht="9.75" hidden="1" customHeight="1" x14ac:dyDescent="0.25"/>
    <row r="321" customFormat="1" ht="9.75" hidden="1" customHeight="1" x14ac:dyDescent="0.25"/>
    <row r="322" customFormat="1" ht="9.75" hidden="1" customHeight="1" x14ac:dyDescent="0.25"/>
    <row r="323" customFormat="1" ht="9.75" hidden="1" customHeight="1" x14ac:dyDescent="0.25"/>
    <row r="324" customFormat="1" ht="9.75" hidden="1" customHeight="1" x14ac:dyDescent="0.25"/>
    <row r="325" customFormat="1" ht="9.75" hidden="1" customHeight="1" x14ac:dyDescent="0.25"/>
    <row r="326" customFormat="1" ht="9.75" hidden="1" customHeight="1" x14ac:dyDescent="0.25"/>
    <row r="327" customFormat="1" ht="9.75" hidden="1" customHeight="1" x14ac:dyDescent="0.25"/>
    <row r="328" customFormat="1" ht="9.75" hidden="1" customHeight="1" x14ac:dyDescent="0.25"/>
    <row r="329" customFormat="1" ht="9.75" hidden="1" customHeight="1" x14ac:dyDescent="0.25"/>
    <row r="330" customFormat="1" ht="9.75" hidden="1" customHeight="1" x14ac:dyDescent="0.25"/>
    <row r="331" customFormat="1" ht="9.75" hidden="1" customHeight="1" x14ac:dyDescent="0.25"/>
    <row r="332" customFormat="1" ht="9.75" hidden="1" customHeight="1" x14ac:dyDescent="0.25"/>
    <row r="333" customFormat="1" ht="9.75" hidden="1" customHeight="1" x14ac:dyDescent="0.25"/>
    <row r="334" customFormat="1" ht="9.75" hidden="1" customHeight="1" x14ac:dyDescent="0.25"/>
    <row r="335" customFormat="1" ht="9.75" hidden="1" customHeight="1" x14ac:dyDescent="0.25"/>
    <row r="336" customFormat="1" ht="9.75" hidden="1" customHeight="1" x14ac:dyDescent="0.25"/>
    <row r="337" customFormat="1" ht="9.75" hidden="1" customHeight="1" x14ac:dyDescent="0.25"/>
    <row r="338" customFormat="1" ht="9.75" hidden="1" customHeight="1" x14ac:dyDescent="0.25"/>
    <row r="339" customFormat="1" ht="9.75" hidden="1" customHeight="1" x14ac:dyDescent="0.25"/>
    <row r="340" customFormat="1" ht="9.75" hidden="1" customHeight="1" x14ac:dyDescent="0.25"/>
    <row r="341" customFormat="1" ht="9.75" hidden="1" customHeight="1" x14ac:dyDescent="0.25"/>
    <row r="342" customFormat="1" ht="9.75" hidden="1" customHeight="1" x14ac:dyDescent="0.25"/>
    <row r="343" customFormat="1" ht="9.75" hidden="1" customHeight="1" x14ac:dyDescent="0.25"/>
    <row r="344" customFormat="1" ht="9.75" hidden="1" customHeight="1" x14ac:dyDescent="0.25"/>
    <row r="345" customFormat="1" ht="9.75" hidden="1" customHeight="1" x14ac:dyDescent="0.25"/>
    <row r="346" customFormat="1" ht="9.75" hidden="1" customHeight="1" x14ac:dyDescent="0.25"/>
    <row r="347" customFormat="1" ht="9.75" hidden="1" customHeight="1" x14ac:dyDescent="0.25"/>
    <row r="348" customFormat="1" ht="9.75" hidden="1" customHeight="1" x14ac:dyDescent="0.25"/>
    <row r="349" customFormat="1" ht="9.75" hidden="1" customHeight="1" x14ac:dyDescent="0.25"/>
    <row r="350" customFormat="1" ht="9.75" hidden="1" customHeight="1" x14ac:dyDescent="0.25"/>
    <row r="351" customFormat="1" ht="9.75" hidden="1" customHeight="1" x14ac:dyDescent="0.25"/>
    <row r="352" customFormat="1" ht="9.75" hidden="1" customHeight="1" x14ac:dyDescent="0.25"/>
    <row r="353" customFormat="1" ht="9.75" hidden="1" customHeight="1" x14ac:dyDescent="0.25"/>
    <row r="354" customFormat="1" ht="9.75" hidden="1" customHeight="1" x14ac:dyDescent="0.25"/>
    <row r="355" customFormat="1" ht="9.75" hidden="1" customHeight="1" x14ac:dyDescent="0.25"/>
    <row r="356" customFormat="1" ht="9.75" hidden="1" customHeight="1" x14ac:dyDescent="0.25"/>
    <row r="357" customFormat="1" ht="9.75" hidden="1" customHeight="1" x14ac:dyDescent="0.25"/>
    <row r="358" customFormat="1" ht="9.75" hidden="1" customHeight="1" x14ac:dyDescent="0.25"/>
    <row r="359" customFormat="1" ht="9.75" hidden="1" customHeight="1" x14ac:dyDescent="0.25"/>
    <row r="360" customFormat="1" ht="9.75" hidden="1" customHeight="1" x14ac:dyDescent="0.25"/>
    <row r="361" customFormat="1" ht="9.75" hidden="1" customHeight="1" x14ac:dyDescent="0.25"/>
    <row r="362" customFormat="1" ht="9.75" hidden="1" customHeight="1" x14ac:dyDescent="0.25"/>
    <row r="363" customFormat="1" ht="9.75" hidden="1" customHeight="1" x14ac:dyDescent="0.25"/>
    <row r="364" customFormat="1" ht="9.75" hidden="1" customHeight="1" x14ac:dyDescent="0.25"/>
    <row r="365" customFormat="1" ht="9.75" hidden="1" customHeight="1" x14ac:dyDescent="0.25"/>
    <row r="366" customFormat="1" ht="9.75" hidden="1" customHeight="1" x14ac:dyDescent="0.25"/>
    <row r="367" customFormat="1" ht="9.75" hidden="1" customHeight="1" x14ac:dyDescent="0.25"/>
    <row r="368" customFormat="1" ht="9.75" hidden="1" customHeight="1" x14ac:dyDescent="0.25"/>
    <row r="369" customFormat="1" ht="9.75" hidden="1" customHeight="1" x14ac:dyDescent="0.25"/>
    <row r="370" customFormat="1" ht="9.75" hidden="1" customHeight="1" x14ac:dyDescent="0.25"/>
    <row r="371" customFormat="1" ht="9.75" hidden="1" customHeight="1" x14ac:dyDescent="0.25"/>
    <row r="372" customFormat="1" ht="9.75" hidden="1" customHeight="1" x14ac:dyDescent="0.25"/>
    <row r="373" customFormat="1" ht="9.75" hidden="1" customHeight="1" x14ac:dyDescent="0.25"/>
    <row r="374" customFormat="1" ht="9.75" hidden="1" customHeight="1" x14ac:dyDescent="0.25"/>
    <row r="375" customFormat="1" ht="9.75" hidden="1" customHeight="1" x14ac:dyDescent="0.25"/>
    <row r="376" customFormat="1" ht="9.75" hidden="1" customHeight="1" x14ac:dyDescent="0.25"/>
    <row r="377" customFormat="1" ht="9.75" hidden="1" customHeight="1" x14ac:dyDescent="0.25"/>
    <row r="378" customFormat="1" ht="9.75" hidden="1" customHeight="1" x14ac:dyDescent="0.25"/>
    <row r="379" customFormat="1" ht="9.75" hidden="1" customHeight="1" x14ac:dyDescent="0.25"/>
    <row r="380" customFormat="1" ht="9.75" hidden="1" customHeight="1" x14ac:dyDescent="0.25"/>
    <row r="381" customFormat="1" ht="9.75" hidden="1" customHeight="1" x14ac:dyDescent="0.25"/>
    <row r="382" customFormat="1" ht="9.75" hidden="1" customHeight="1" x14ac:dyDescent="0.25"/>
    <row r="383" customFormat="1" ht="9.75" hidden="1" customHeight="1" x14ac:dyDescent="0.25"/>
    <row r="384" customFormat="1" ht="9.75" hidden="1" customHeight="1" x14ac:dyDescent="0.25"/>
    <row r="385" customFormat="1" ht="9.75" hidden="1" customHeight="1" x14ac:dyDescent="0.25"/>
    <row r="386" customFormat="1" ht="9.75" hidden="1" customHeight="1" x14ac:dyDescent="0.25"/>
    <row r="387" customFormat="1" ht="9.75" hidden="1" customHeight="1" x14ac:dyDescent="0.25"/>
    <row r="388" customFormat="1" ht="9.75" hidden="1" customHeight="1" x14ac:dyDescent="0.25"/>
    <row r="389" customFormat="1" ht="9.75" hidden="1" customHeight="1" x14ac:dyDescent="0.25"/>
    <row r="390" customFormat="1" ht="9.75" hidden="1" customHeight="1" x14ac:dyDescent="0.25"/>
    <row r="391" customFormat="1" ht="9.75" hidden="1" customHeight="1" x14ac:dyDescent="0.25"/>
    <row r="392" customFormat="1" ht="9.75" hidden="1" customHeight="1" x14ac:dyDescent="0.25"/>
    <row r="393" customFormat="1" ht="9.75" hidden="1" customHeight="1" x14ac:dyDescent="0.25"/>
    <row r="394" customFormat="1" ht="9.75" hidden="1" customHeight="1" x14ac:dyDescent="0.25"/>
    <row r="395" customFormat="1" ht="9.75" hidden="1" customHeight="1" x14ac:dyDescent="0.25"/>
    <row r="396" customFormat="1" ht="9.75" hidden="1" customHeight="1" x14ac:dyDescent="0.25"/>
    <row r="397" customFormat="1" ht="9.75" hidden="1" customHeight="1" x14ac:dyDescent="0.25"/>
    <row r="398" customFormat="1" ht="9.75" hidden="1" customHeight="1" x14ac:dyDescent="0.25"/>
    <row r="399" customFormat="1" ht="9.75" hidden="1" customHeight="1" x14ac:dyDescent="0.25"/>
    <row r="400" customFormat="1" ht="9.75" hidden="1" customHeight="1" x14ac:dyDescent="0.25"/>
    <row r="401" customFormat="1" ht="9.75" hidden="1" customHeight="1" x14ac:dyDescent="0.25"/>
    <row r="402" customFormat="1" ht="9.75" hidden="1" customHeight="1" x14ac:dyDescent="0.25"/>
    <row r="403" customFormat="1" ht="9.75" hidden="1" customHeight="1" x14ac:dyDescent="0.25"/>
    <row r="404" customFormat="1" ht="9.75" hidden="1" customHeight="1" x14ac:dyDescent="0.25"/>
    <row r="405" customFormat="1" ht="9.75" hidden="1" customHeight="1" x14ac:dyDescent="0.25"/>
    <row r="406" customFormat="1" ht="9.75" hidden="1" customHeight="1" x14ac:dyDescent="0.25"/>
    <row r="407" customFormat="1" ht="9.75" hidden="1" customHeight="1" x14ac:dyDescent="0.25"/>
    <row r="408" customFormat="1" ht="9.75" hidden="1" customHeight="1" x14ac:dyDescent="0.25"/>
    <row r="409" customFormat="1" ht="9.75" hidden="1" customHeight="1" x14ac:dyDescent="0.25"/>
    <row r="410" customFormat="1" ht="9.75" hidden="1" customHeight="1" x14ac:dyDescent="0.25"/>
    <row r="411" customFormat="1" ht="9.75" hidden="1" customHeight="1" x14ac:dyDescent="0.25"/>
    <row r="412" customFormat="1" ht="9.75" hidden="1" customHeight="1" x14ac:dyDescent="0.25"/>
    <row r="413" customFormat="1" ht="9.75" hidden="1" customHeight="1" x14ac:dyDescent="0.25"/>
    <row r="414" customFormat="1" ht="9.75" hidden="1" customHeight="1" x14ac:dyDescent="0.25"/>
    <row r="415" customFormat="1" ht="9.75" hidden="1" customHeight="1" x14ac:dyDescent="0.25"/>
    <row r="416" customFormat="1" ht="9.75" hidden="1" customHeight="1" x14ac:dyDescent="0.25"/>
    <row r="417" customFormat="1" ht="9.75" hidden="1" customHeight="1" x14ac:dyDescent="0.25"/>
    <row r="418" customFormat="1" ht="9.75" hidden="1" customHeight="1" x14ac:dyDescent="0.25"/>
    <row r="419" customFormat="1" ht="9.75" hidden="1" customHeight="1" x14ac:dyDescent="0.25"/>
    <row r="420" customFormat="1" ht="9.75" hidden="1" customHeight="1" x14ac:dyDescent="0.25"/>
    <row r="421" customFormat="1" ht="9.75" hidden="1" customHeight="1" x14ac:dyDescent="0.25"/>
    <row r="422" customFormat="1" ht="9.75" hidden="1" customHeight="1" x14ac:dyDescent="0.25"/>
    <row r="423" customFormat="1" ht="9.75" hidden="1" customHeight="1" x14ac:dyDescent="0.25"/>
    <row r="424" customFormat="1" ht="9.75" hidden="1" customHeight="1" x14ac:dyDescent="0.25"/>
    <row r="425" customFormat="1" ht="9.75" hidden="1" customHeight="1" x14ac:dyDescent="0.25"/>
    <row r="426" customFormat="1" ht="9.75" hidden="1" customHeight="1" x14ac:dyDescent="0.25"/>
    <row r="427" customFormat="1" ht="9.75" hidden="1" customHeight="1" x14ac:dyDescent="0.25"/>
    <row r="428" customFormat="1" ht="9.75" hidden="1" customHeight="1" x14ac:dyDescent="0.25"/>
    <row r="429" customFormat="1" ht="9.75" hidden="1" customHeight="1" x14ac:dyDescent="0.25"/>
    <row r="430" customFormat="1" ht="9.75" hidden="1" customHeight="1" x14ac:dyDescent="0.25"/>
    <row r="431" customFormat="1" ht="9.75" hidden="1" customHeight="1" x14ac:dyDescent="0.25"/>
    <row r="432" customFormat="1" ht="9.75" hidden="1" customHeight="1" x14ac:dyDescent="0.25"/>
    <row r="433" customFormat="1" ht="9.75" hidden="1" customHeight="1" x14ac:dyDescent="0.25"/>
    <row r="434" customFormat="1" ht="9.75" hidden="1" customHeight="1" x14ac:dyDescent="0.25"/>
    <row r="435" customFormat="1" ht="9.75" hidden="1" customHeight="1" x14ac:dyDescent="0.25"/>
    <row r="436" customFormat="1" ht="9.75" hidden="1" customHeight="1" x14ac:dyDescent="0.25"/>
    <row r="437" customFormat="1" ht="9.75" hidden="1" customHeight="1" x14ac:dyDescent="0.25"/>
    <row r="438" customFormat="1" ht="9.75" hidden="1" customHeight="1" x14ac:dyDescent="0.25"/>
    <row r="439" customFormat="1" ht="9.75" hidden="1" customHeight="1" x14ac:dyDescent="0.25"/>
    <row r="440" customFormat="1" ht="9.75" hidden="1" customHeight="1" x14ac:dyDescent="0.25"/>
    <row r="441" customFormat="1" ht="9.75" hidden="1" customHeight="1" x14ac:dyDescent="0.25"/>
    <row r="442" customFormat="1" ht="9.75" hidden="1" customHeight="1" x14ac:dyDescent="0.25"/>
    <row r="443" customFormat="1" ht="9.75" hidden="1" customHeight="1" x14ac:dyDescent="0.25"/>
    <row r="444" customFormat="1" ht="9.75" hidden="1" customHeight="1" x14ac:dyDescent="0.25"/>
    <row r="445" customFormat="1" ht="9.75" hidden="1" customHeight="1" x14ac:dyDescent="0.25"/>
    <row r="446" customFormat="1" ht="9.75" hidden="1" customHeight="1" x14ac:dyDescent="0.25"/>
    <row r="447" customFormat="1" ht="9.75" hidden="1" customHeight="1" x14ac:dyDescent="0.25"/>
    <row r="448" customFormat="1" ht="9.75" hidden="1" customHeight="1" x14ac:dyDescent="0.25"/>
    <row r="449" customFormat="1" ht="9.75" hidden="1" customHeight="1" x14ac:dyDescent="0.25"/>
    <row r="450" customFormat="1" ht="9.75" hidden="1" customHeight="1" x14ac:dyDescent="0.25"/>
    <row r="451" customFormat="1" ht="9.75" hidden="1" customHeight="1" x14ac:dyDescent="0.25"/>
    <row r="452" customFormat="1" ht="9.75" hidden="1" customHeight="1" x14ac:dyDescent="0.25"/>
    <row r="453" customFormat="1" ht="9.75" hidden="1" customHeight="1" x14ac:dyDescent="0.25"/>
    <row r="454" customFormat="1" ht="9.75" hidden="1" customHeight="1" x14ac:dyDescent="0.25"/>
    <row r="455" customFormat="1" ht="9.75" hidden="1" customHeight="1" x14ac:dyDescent="0.25"/>
    <row r="456" customFormat="1" ht="9.75" hidden="1" customHeight="1" x14ac:dyDescent="0.25"/>
    <row r="457" customFormat="1" ht="9.75" hidden="1" customHeight="1" x14ac:dyDescent="0.25"/>
    <row r="458" customFormat="1" ht="9.75" hidden="1" customHeight="1" x14ac:dyDescent="0.25"/>
    <row r="459" customFormat="1" ht="9.75" hidden="1" customHeight="1" x14ac:dyDescent="0.25"/>
    <row r="460" customFormat="1" ht="9.75" hidden="1" customHeight="1" x14ac:dyDescent="0.25"/>
    <row r="461" customFormat="1" ht="9.75" hidden="1" customHeight="1" x14ac:dyDescent="0.25"/>
    <row r="462" customFormat="1" ht="9.75" hidden="1" customHeight="1" x14ac:dyDescent="0.25"/>
    <row r="463" customFormat="1" ht="9.75" hidden="1" customHeight="1" x14ac:dyDescent="0.25"/>
    <row r="464" customFormat="1" ht="9.75" hidden="1" customHeight="1" x14ac:dyDescent="0.25"/>
    <row r="465" customFormat="1" ht="9.75" hidden="1" customHeight="1" x14ac:dyDescent="0.25"/>
    <row r="466" customFormat="1" ht="9.75" hidden="1" customHeight="1" x14ac:dyDescent="0.25"/>
    <row r="467" customFormat="1" ht="9.75" hidden="1" customHeight="1" x14ac:dyDescent="0.25"/>
    <row r="468" customFormat="1" ht="9.75" hidden="1" customHeight="1" x14ac:dyDescent="0.25"/>
    <row r="469" customFormat="1" ht="9.75" hidden="1" customHeight="1" x14ac:dyDescent="0.25"/>
    <row r="470" customFormat="1" ht="9.75" hidden="1" customHeight="1" x14ac:dyDescent="0.25"/>
    <row r="471" customFormat="1" ht="9.75" hidden="1" customHeight="1" x14ac:dyDescent="0.25"/>
    <row r="472" customFormat="1" ht="9.75" hidden="1" customHeight="1" x14ac:dyDescent="0.25"/>
    <row r="473" customFormat="1" ht="9.75" hidden="1" customHeight="1" x14ac:dyDescent="0.25"/>
    <row r="474" customFormat="1" ht="9.75" hidden="1" customHeight="1" x14ac:dyDescent="0.25"/>
    <row r="475" customFormat="1" ht="9.75" hidden="1" customHeight="1" x14ac:dyDescent="0.25"/>
    <row r="476" customFormat="1" ht="9.75" hidden="1" customHeight="1" x14ac:dyDescent="0.25"/>
    <row r="477" customFormat="1" ht="9.75" hidden="1" customHeight="1" x14ac:dyDescent="0.25"/>
    <row r="478" customFormat="1" ht="9.75" hidden="1" customHeight="1" x14ac:dyDescent="0.25"/>
    <row r="479" customFormat="1" ht="9.75" hidden="1" customHeight="1" x14ac:dyDescent="0.25"/>
    <row r="480" customFormat="1" ht="9.75" hidden="1" customHeight="1" x14ac:dyDescent="0.25"/>
    <row r="481" customFormat="1" ht="9.75" hidden="1" customHeight="1" x14ac:dyDescent="0.25"/>
    <row r="482" customFormat="1" ht="9.75" hidden="1" customHeight="1" x14ac:dyDescent="0.25"/>
    <row r="483" customFormat="1" ht="9.75" hidden="1" customHeight="1" x14ac:dyDescent="0.25"/>
    <row r="484" customFormat="1" ht="9.75" hidden="1" customHeight="1" x14ac:dyDescent="0.25"/>
    <row r="485" customFormat="1" ht="9.75" hidden="1" customHeight="1" x14ac:dyDescent="0.25"/>
    <row r="486" customFormat="1" ht="9.75" hidden="1" customHeight="1" x14ac:dyDescent="0.25"/>
    <row r="487" customFormat="1" ht="9.75" hidden="1" customHeight="1" x14ac:dyDescent="0.25"/>
    <row r="488" customFormat="1" ht="9.75" hidden="1" customHeight="1" x14ac:dyDescent="0.25"/>
    <row r="489" customFormat="1" ht="9.75" hidden="1" customHeight="1" x14ac:dyDescent="0.25"/>
    <row r="490" customFormat="1" ht="9.75" hidden="1" customHeight="1" x14ac:dyDescent="0.25"/>
    <row r="491" customFormat="1" ht="9.75" hidden="1" customHeight="1" x14ac:dyDescent="0.25"/>
    <row r="492" customFormat="1" ht="9.75" hidden="1" customHeight="1" x14ac:dyDescent="0.25"/>
    <row r="493" customFormat="1" ht="9.75" hidden="1" customHeight="1" x14ac:dyDescent="0.25"/>
    <row r="494" customFormat="1" ht="9.75" hidden="1" customHeight="1" x14ac:dyDescent="0.25"/>
    <row r="495" customFormat="1" ht="9.75" hidden="1" customHeight="1" x14ac:dyDescent="0.25"/>
    <row r="496" customFormat="1" ht="9.75" hidden="1" customHeight="1" x14ac:dyDescent="0.25"/>
    <row r="497" customFormat="1" ht="9.75" hidden="1" customHeight="1" x14ac:dyDescent="0.25"/>
    <row r="498" customFormat="1" ht="9.75" hidden="1" customHeight="1" x14ac:dyDescent="0.25"/>
    <row r="499" customFormat="1" ht="9.75" hidden="1" customHeight="1" x14ac:dyDescent="0.25"/>
    <row r="500" customFormat="1" ht="9.75" hidden="1" customHeight="1" x14ac:dyDescent="0.25"/>
    <row r="501" customFormat="1" ht="9.75" hidden="1" customHeight="1" x14ac:dyDescent="0.25"/>
    <row r="502" customFormat="1" ht="9.75" hidden="1" customHeight="1" x14ac:dyDescent="0.25"/>
    <row r="503" customFormat="1" ht="9.75" hidden="1" customHeight="1" x14ac:dyDescent="0.25"/>
    <row r="504" customFormat="1" ht="9.75" hidden="1" customHeight="1" x14ac:dyDescent="0.25"/>
    <row r="505" customFormat="1" ht="9.75" hidden="1" customHeight="1" x14ac:dyDescent="0.25"/>
    <row r="506" customFormat="1" ht="9.75" hidden="1" customHeight="1" x14ac:dyDescent="0.25"/>
    <row r="507" customFormat="1" ht="9.75" hidden="1" customHeight="1" x14ac:dyDescent="0.25"/>
    <row r="508" customFormat="1" ht="9.75" hidden="1" customHeight="1" x14ac:dyDescent="0.25"/>
    <row r="509" customFormat="1" ht="9.75" hidden="1" customHeight="1" x14ac:dyDescent="0.25"/>
    <row r="510" customFormat="1" ht="9.75" hidden="1" customHeight="1" x14ac:dyDescent="0.25"/>
    <row r="511" customFormat="1" ht="9.75" hidden="1" customHeight="1" x14ac:dyDescent="0.25"/>
    <row r="512" customFormat="1" ht="9.75" hidden="1" customHeight="1" x14ac:dyDescent="0.25"/>
    <row r="513" customFormat="1" ht="9.75" hidden="1" customHeight="1" x14ac:dyDescent="0.25"/>
    <row r="514" customFormat="1" ht="9.75" hidden="1" customHeight="1" x14ac:dyDescent="0.25"/>
    <row r="515" customFormat="1" ht="9.75" hidden="1" customHeight="1" x14ac:dyDescent="0.25"/>
    <row r="516" customFormat="1" ht="9.75" hidden="1" customHeight="1" x14ac:dyDescent="0.25"/>
    <row r="517" customFormat="1" ht="9.75" hidden="1" customHeight="1" x14ac:dyDescent="0.25"/>
    <row r="518" customFormat="1" ht="9.75" hidden="1" customHeight="1" x14ac:dyDescent="0.25"/>
    <row r="519" customFormat="1" ht="9.75" hidden="1" customHeight="1" x14ac:dyDescent="0.25"/>
    <row r="520" customFormat="1" ht="9.75" hidden="1" customHeight="1" x14ac:dyDescent="0.25"/>
    <row r="521" customFormat="1" ht="9.75" hidden="1" customHeight="1" x14ac:dyDescent="0.25"/>
    <row r="522" customFormat="1" ht="9.75" hidden="1" customHeight="1" x14ac:dyDescent="0.25"/>
    <row r="523" customFormat="1" ht="9.75" hidden="1" customHeight="1" x14ac:dyDescent="0.25"/>
    <row r="524" customFormat="1" ht="9.75" hidden="1" customHeight="1" x14ac:dyDescent="0.25"/>
    <row r="525" customFormat="1" ht="9.75" hidden="1" customHeight="1" x14ac:dyDescent="0.25"/>
    <row r="526" customFormat="1" ht="9.75" hidden="1" customHeight="1" x14ac:dyDescent="0.25"/>
    <row r="527" customFormat="1" ht="9.75" hidden="1" customHeight="1" x14ac:dyDescent="0.25"/>
    <row r="528" customFormat="1" ht="9.75" hidden="1" customHeight="1" x14ac:dyDescent="0.25"/>
    <row r="529" customFormat="1" ht="9.75" hidden="1" customHeight="1" x14ac:dyDescent="0.25"/>
    <row r="530" customFormat="1" ht="9.75" hidden="1" customHeight="1" x14ac:dyDescent="0.25"/>
    <row r="531" customFormat="1" ht="9.75" hidden="1" customHeight="1" x14ac:dyDescent="0.25"/>
    <row r="532" customFormat="1" ht="9.75" hidden="1" customHeight="1" x14ac:dyDescent="0.25"/>
    <row r="533" customFormat="1" ht="9.75" hidden="1" customHeight="1" x14ac:dyDescent="0.25"/>
    <row r="534" customFormat="1" ht="9.75" hidden="1" customHeight="1" x14ac:dyDescent="0.25"/>
    <row r="535" customFormat="1" ht="9.75" hidden="1" customHeight="1" x14ac:dyDescent="0.25"/>
    <row r="536" customFormat="1" ht="9.75" hidden="1" customHeight="1" x14ac:dyDescent="0.25"/>
    <row r="537" customFormat="1" ht="9.75" hidden="1" customHeight="1" x14ac:dyDescent="0.25"/>
    <row r="538" customFormat="1" ht="9.75" hidden="1" customHeight="1" x14ac:dyDescent="0.25"/>
    <row r="539" customFormat="1" ht="9.75" hidden="1" customHeight="1" x14ac:dyDescent="0.25"/>
    <row r="540" customFormat="1" ht="9.75" hidden="1" customHeight="1" x14ac:dyDescent="0.25"/>
    <row r="541" customFormat="1" ht="9.75" hidden="1" customHeight="1" x14ac:dyDescent="0.25"/>
    <row r="542" customFormat="1" ht="9.75" hidden="1" customHeight="1" x14ac:dyDescent="0.25"/>
    <row r="543" customFormat="1" ht="9.75" hidden="1" customHeight="1" x14ac:dyDescent="0.25"/>
    <row r="544" customFormat="1" ht="9.75" hidden="1" customHeight="1" x14ac:dyDescent="0.25"/>
    <row r="545" customFormat="1" ht="9.75" hidden="1" customHeight="1" x14ac:dyDescent="0.25"/>
    <row r="546" customFormat="1" ht="9.75" hidden="1" customHeight="1" x14ac:dyDescent="0.25"/>
    <row r="547" customFormat="1" ht="9.75" hidden="1" customHeight="1" x14ac:dyDescent="0.25"/>
    <row r="548" customFormat="1" ht="9.75" hidden="1" customHeight="1" x14ac:dyDescent="0.25"/>
    <row r="549" customFormat="1" ht="9.75" hidden="1" customHeight="1" x14ac:dyDescent="0.25"/>
    <row r="550" customFormat="1" ht="9.75" hidden="1" customHeight="1" x14ac:dyDescent="0.25"/>
    <row r="551" customFormat="1" ht="9.75" hidden="1" customHeight="1" x14ac:dyDescent="0.25"/>
    <row r="552" customFormat="1" ht="9.75" hidden="1" customHeight="1" x14ac:dyDescent="0.25"/>
    <row r="553" customFormat="1" ht="9.75" hidden="1" customHeight="1" x14ac:dyDescent="0.25"/>
    <row r="554" customFormat="1" ht="9.75" hidden="1" customHeight="1" x14ac:dyDescent="0.25"/>
    <row r="555" customFormat="1" ht="9.75" hidden="1" customHeight="1" x14ac:dyDescent="0.25"/>
    <row r="556" customFormat="1" ht="9.75" hidden="1" customHeight="1" x14ac:dyDescent="0.25"/>
    <row r="557" customFormat="1" ht="9.75" hidden="1" customHeight="1" x14ac:dyDescent="0.25"/>
    <row r="558" customFormat="1" ht="9.75" hidden="1" customHeight="1" x14ac:dyDescent="0.25"/>
    <row r="559" customFormat="1" ht="9.75" hidden="1" customHeight="1" x14ac:dyDescent="0.25"/>
    <row r="560" customFormat="1" ht="9.75" hidden="1" customHeight="1" x14ac:dyDescent="0.25"/>
    <row r="561" customFormat="1" ht="9.75" hidden="1" customHeight="1" x14ac:dyDescent="0.25"/>
    <row r="562" customFormat="1" ht="9.75" hidden="1" customHeight="1" x14ac:dyDescent="0.25"/>
    <row r="563" customFormat="1" ht="9.75" hidden="1" customHeight="1" x14ac:dyDescent="0.25"/>
    <row r="564" customFormat="1" ht="9.75" hidden="1" customHeight="1" x14ac:dyDescent="0.25"/>
    <row r="565" customFormat="1" ht="9.75" hidden="1" customHeight="1" x14ac:dyDescent="0.25"/>
    <row r="566" customFormat="1" ht="9.75" hidden="1" customHeight="1" x14ac:dyDescent="0.25"/>
    <row r="567" customFormat="1" ht="9.75" hidden="1" customHeight="1" x14ac:dyDescent="0.25"/>
    <row r="568" customFormat="1" ht="9.75" hidden="1" customHeight="1" x14ac:dyDescent="0.25"/>
    <row r="569" customFormat="1" ht="9.75" hidden="1" customHeight="1" x14ac:dyDescent="0.25"/>
    <row r="570" customFormat="1" ht="9.75" hidden="1" customHeight="1" x14ac:dyDescent="0.25"/>
    <row r="571" customFormat="1" ht="9.75" hidden="1" customHeight="1" x14ac:dyDescent="0.25"/>
    <row r="572" customFormat="1" ht="9.75" hidden="1" customHeight="1" x14ac:dyDescent="0.25"/>
    <row r="573" customFormat="1" ht="9.75" hidden="1" customHeight="1" x14ac:dyDescent="0.25"/>
    <row r="574" customFormat="1" ht="9.75" hidden="1" customHeight="1" x14ac:dyDescent="0.25"/>
    <row r="575" customFormat="1" ht="9.75" hidden="1" customHeight="1" x14ac:dyDescent="0.25"/>
    <row r="576" customFormat="1" ht="9.75" hidden="1" customHeight="1" x14ac:dyDescent="0.25"/>
    <row r="577" customFormat="1" ht="9.75" hidden="1" customHeight="1" x14ac:dyDescent="0.25"/>
    <row r="578" customFormat="1" ht="9.75" hidden="1" customHeight="1" x14ac:dyDescent="0.25"/>
    <row r="579" customFormat="1" ht="9.75" hidden="1" customHeight="1" x14ac:dyDescent="0.25"/>
    <row r="580" customFormat="1" ht="9.75" hidden="1" customHeight="1" x14ac:dyDescent="0.25"/>
    <row r="581" customFormat="1" ht="9.75" hidden="1" customHeight="1" x14ac:dyDescent="0.25"/>
    <row r="582" customFormat="1" ht="9.75" hidden="1" customHeight="1" x14ac:dyDescent="0.25"/>
    <row r="583" customFormat="1" ht="9.75" hidden="1" customHeight="1" x14ac:dyDescent="0.25"/>
    <row r="584" customFormat="1" ht="9.75" hidden="1" customHeight="1" x14ac:dyDescent="0.25"/>
    <row r="585" customFormat="1" ht="9.75" hidden="1" customHeight="1" x14ac:dyDescent="0.25"/>
    <row r="586" customFormat="1" ht="9.75" hidden="1" customHeight="1" x14ac:dyDescent="0.25"/>
    <row r="587" customFormat="1" ht="9.75" hidden="1" customHeight="1" x14ac:dyDescent="0.25"/>
    <row r="588" customFormat="1" ht="9.75" hidden="1" customHeight="1" x14ac:dyDescent="0.25"/>
    <row r="589" customFormat="1" ht="9.75" hidden="1" customHeight="1" x14ac:dyDescent="0.25"/>
    <row r="590" customFormat="1" ht="9.75" hidden="1" customHeight="1" x14ac:dyDescent="0.25"/>
    <row r="591" customFormat="1" ht="9.75" hidden="1" customHeight="1" x14ac:dyDescent="0.25"/>
    <row r="592" customFormat="1" ht="9.75" hidden="1" customHeight="1" x14ac:dyDescent="0.25"/>
    <row r="593" customFormat="1" ht="9.75" hidden="1" customHeight="1" x14ac:dyDescent="0.25"/>
    <row r="594" customFormat="1" ht="9.75" hidden="1" customHeight="1" x14ac:dyDescent="0.25"/>
    <row r="595" customFormat="1" ht="9.75" hidden="1" customHeight="1" x14ac:dyDescent="0.25"/>
    <row r="596" customFormat="1" ht="9.75" hidden="1" customHeight="1" x14ac:dyDescent="0.25"/>
    <row r="597" customFormat="1" ht="9.75" hidden="1" customHeight="1" x14ac:dyDescent="0.25"/>
    <row r="598" customFormat="1" ht="9.75" hidden="1" customHeight="1" x14ac:dyDescent="0.25"/>
    <row r="599" customFormat="1" ht="9.75" hidden="1" customHeight="1" x14ac:dyDescent="0.25"/>
    <row r="600" customFormat="1" ht="9.75" hidden="1" customHeight="1" x14ac:dyDescent="0.25"/>
    <row r="601" customFormat="1" ht="9.75" hidden="1" customHeight="1" x14ac:dyDescent="0.25"/>
    <row r="602" customFormat="1" ht="9.75" hidden="1" customHeight="1" x14ac:dyDescent="0.25"/>
    <row r="603" customFormat="1" ht="9.75" hidden="1" customHeight="1" x14ac:dyDescent="0.25"/>
    <row r="604" customFormat="1" ht="9.75" hidden="1" customHeight="1" x14ac:dyDescent="0.25"/>
    <row r="605" customFormat="1" ht="9.75" hidden="1" customHeight="1" x14ac:dyDescent="0.25"/>
    <row r="606" customFormat="1" ht="9.75" hidden="1" customHeight="1" x14ac:dyDescent="0.25"/>
    <row r="607" customFormat="1" ht="9.75" hidden="1" customHeight="1" x14ac:dyDescent="0.25"/>
    <row r="608" customFormat="1" ht="9.75" hidden="1" customHeight="1" x14ac:dyDescent="0.25"/>
    <row r="609" customFormat="1" ht="9.75" hidden="1" customHeight="1" x14ac:dyDescent="0.25"/>
    <row r="610" customFormat="1" ht="9.75" hidden="1" customHeight="1" x14ac:dyDescent="0.25"/>
    <row r="611" customFormat="1" ht="9.75" hidden="1" customHeight="1" x14ac:dyDescent="0.25"/>
    <row r="612" customFormat="1" ht="9.75" hidden="1" customHeight="1" x14ac:dyDescent="0.25"/>
    <row r="613" customFormat="1" ht="9.75" hidden="1" customHeight="1" x14ac:dyDescent="0.25"/>
    <row r="614" customFormat="1" ht="9.75" hidden="1" customHeight="1" x14ac:dyDescent="0.25"/>
    <row r="615" customFormat="1" ht="9.75" hidden="1" customHeight="1" x14ac:dyDescent="0.25"/>
    <row r="616" customFormat="1" ht="9.75" hidden="1" customHeight="1" x14ac:dyDescent="0.25"/>
    <row r="617" customFormat="1" ht="9.75" hidden="1" customHeight="1" x14ac:dyDescent="0.25"/>
    <row r="618" customFormat="1" ht="9.75" hidden="1" customHeight="1" x14ac:dyDescent="0.25"/>
    <row r="619" customFormat="1" ht="9.75" hidden="1" customHeight="1" x14ac:dyDescent="0.25"/>
    <row r="620" customFormat="1" ht="9.75" hidden="1" customHeight="1" x14ac:dyDescent="0.25"/>
    <row r="621" customFormat="1" ht="9.75" hidden="1" customHeight="1" x14ac:dyDescent="0.25"/>
    <row r="622" customFormat="1" ht="9.75" hidden="1" customHeight="1" x14ac:dyDescent="0.25"/>
    <row r="623" customFormat="1" ht="9.75" hidden="1" customHeight="1" x14ac:dyDescent="0.25"/>
    <row r="624" customFormat="1" ht="9.75" hidden="1" customHeight="1" x14ac:dyDescent="0.25"/>
    <row r="625" customFormat="1" ht="9.75" hidden="1" customHeight="1" x14ac:dyDescent="0.25"/>
    <row r="626" customFormat="1" ht="9.75" hidden="1" customHeight="1" x14ac:dyDescent="0.25"/>
    <row r="627" customFormat="1" ht="9.75" hidden="1" customHeight="1" x14ac:dyDescent="0.25"/>
    <row r="628" customFormat="1" ht="9.75" hidden="1" customHeight="1" x14ac:dyDescent="0.25"/>
    <row r="629" customFormat="1" ht="9.75" hidden="1" customHeight="1" x14ac:dyDescent="0.25"/>
    <row r="630" customFormat="1" ht="9.75" hidden="1" customHeight="1" x14ac:dyDescent="0.25"/>
    <row r="631" customFormat="1" ht="9.75" hidden="1" customHeight="1" x14ac:dyDescent="0.25"/>
    <row r="632" customFormat="1" ht="9.75" hidden="1" customHeight="1" x14ac:dyDescent="0.25"/>
    <row r="633" customFormat="1" ht="9.75" hidden="1" customHeight="1" x14ac:dyDescent="0.25"/>
    <row r="634" customFormat="1" ht="9.75" hidden="1" customHeight="1" x14ac:dyDescent="0.25"/>
    <row r="635" customFormat="1" ht="9.75" hidden="1" customHeight="1" x14ac:dyDescent="0.25"/>
    <row r="636" customFormat="1" ht="9.75" hidden="1" customHeight="1" x14ac:dyDescent="0.25"/>
    <row r="637" customFormat="1" ht="9.75" hidden="1" customHeight="1" x14ac:dyDescent="0.25"/>
    <row r="638" customFormat="1" ht="9.75" hidden="1" customHeight="1" x14ac:dyDescent="0.25"/>
    <row r="639" customFormat="1" ht="9.75" hidden="1" customHeight="1" x14ac:dyDescent="0.25"/>
    <row r="640" customFormat="1" ht="9.75" hidden="1" customHeight="1" x14ac:dyDescent="0.25"/>
    <row r="641" customFormat="1" ht="9.75" hidden="1" customHeight="1" x14ac:dyDescent="0.25"/>
    <row r="642" customFormat="1" ht="9.75" hidden="1" customHeight="1" x14ac:dyDescent="0.25"/>
    <row r="643" customFormat="1" ht="9.75" hidden="1" customHeight="1" x14ac:dyDescent="0.25"/>
    <row r="644" customFormat="1" ht="9.75" hidden="1" customHeight="1" x14ac:dyDescent="0.25"/>
    <row r="645" customFormat="1" ht="9.75" hidden="1" customHeight="1" x14ac:dyDescent="0.25"/>
    <row r="646" customFormat="1" ht="9.75" hidden="1" customHeight="1" x14ac:dyDescent="0.25"/>
    <row r="647" customFormat="1" ht="9.75" hidden="1" customHeight="1" x14ac:dyDescent="0.25"/>
    <row r="648" customFormat="1" ht="9.75" hidden="1" customHeight="1" x14ac:dyDescent="0.25"/>
    <row r="649" customFormat="1" ht="9.75" hidden="1" customHeight="1" x14ac:dyDescent="0.25"/>
    <row r="650" customFormat="1" ht="9.75" hidden="1" customHeight="1" x14ac:dyDescent="0.25"/>
    <row r="651" customFormat="1" ht="9.75" hidden="1" customHeight="1" x14ac:dyDescent="0.25"/>
    <row r="652" customFormat="1" ht="9.75" hidden="1" customHeight="1" x14ac:dyDescent="0.25"/>
    <row r="653" customFormat="1" ht="9.75" hidden="1" customHeight="1" x14ac:dyDescent="0.25"/>
    <row r="654" customFormat="1" ht="9.75" hidden="1" customHeight="1" x14ac:dyDescent="0.25"/>
    <row r="655" customFormat="1" ht="9.75" hidden="1" customHeight="1" x14ac:dyDescent="0.25"/>
    <row r="656" customFormat="1" ht="9.75" hidden="1" customHeight="1" x14ac:dyDescent="0.25"/>
    <row r="657" customFormat="1" ht="9.75" hidden="1" customHeight="1" x14ac:dyDescent="0.25"/>
    <row r="658" customFormat="1" ht="9.75" hidden="1" customHeight="1" x14ac:dyDescent="0.25"/>
    <row r="659" customFormat="1" ht="9.75" hidden="1" customHeight="1" x14ac:dyDescent="0.25"/>
    <row r="660" customFormat="1" ht="9.75" hidden="1" customHeight="1" x14ac:dyDescent="0.25"/>
    <row r="661" customFormat="1" ht="9.75" hidden="1" customHeight="1" x14ac:dyDescent="0.25"/>
    <row r="662" customFormat="1" ht="9.75" hidden="1" customHeight="1" x14ac:dyDescent="0.25"/>
    <row r="663" customFormat="1" ht="9.75" hidden="1" customHeight="1" x14ac:dyDescent="0.25"/>
    <row r="664" customFormat="1" ht="9.75" hidden="1" customHeight="1" x14ac:dyDescent="0.25"/>
    <row r="665" customFormat="1" ht="9.75" hidden="1" customHeight="1" x14ac:dyDescent="0.25"/>
    <row r="666" customFormat="1" ht="9.75" hidden="1" customHeight="1" x14ac:dyDescent="0.25"/>
    <row r="667" customFormat="1" ht="9.75" hidden="1" customHeight="1" x14ac:dyDescent="0.25"/>
    <row r="668" customFormat="1" ht="9.75" hidden="1" customHeight="1" x14ac:dyDescent="0.25"/>
    <row r="669" customFormat="1" ht="9.75" hidden="1" customHeight="1" x14ac:dyDescent="0.25"/>
    <row r="670" customFormat="1" ht="9.75" hidden="1" customHeight="1" x14ac:dyDescent="0.25"/>
    <row r="671" customFormat="1" ht="9.75" hidden="1" customHeight="1" x14ac:dyDescent="0.25"/>
    <row r="672" customFormat="1" ht="9.75" hidden="1" customHeight="1" x14ac:dyDescent="0.25"/>
    <row r="673" customFormat="1" ht="9.75" hidden="1" customHeight="1" x14ac:dyDescent="0.25"/>
    <row r="674" customFormat="1" ht="9.75" hidden="1" customHeight="1" x14ac:dyDescent="0.25"/>
    <row r="675" customFormat="1" ht="9.75" hidden="1" customHeight="1" x14ac:dyDescent="0.25"/>
    <row r="676" customFormat="1" ht="9.75" hidden="1" customHeight="1" x14ac:dyDescent="0.25"/>
    <row r="677" customFormat="1" ht="9.75" hidden="1" customHeight="1" x14ac:dyDescent="0.25"/>
    <row r="678" customFormat="1" ht="9.75" hidden="1" customHeight="1" x14ac:dyDescent="0.25"/>
    <row r="679" customFormat="1" ht="9.75" hidden="1" customHeight="1" x14ac:dyDescent="0.25"/>
    <row r="680" customFormat="1" ht="9.75" hidden="1" customHeight="1" x14ac:dyDescent="0.25"/>
    <row r="681" customFormat="1" ht="9.75" hidden="1" customHeight="1" x14ac:dyDescent="0.25"/>
    <row r="682" customFormat="1" ht="9.75" hidden="1" customHeight="1" x14ac:dyDescent="0.25"/>
    <row r="683" customFormat="1" ht="9.75" hidden="1" customHeight="1" x14ac:dyDescent="0.25"/>
    <row r="684" customFormat="1" ht="9.75" hidden="1" customHeight="1" x14ac:dyDescent="0.25"/>
    <row r="685" customFormat="1" ht="9.75" hidden="1" customHeight="1" x14ac:dyDescent="0.25"/>
    <row r="686" customFormat="1" ht="9.75" hidden="1" customHeight="1" x14ac:dyDescent="0.25"/>
    <row r="687" customFormat="1" ht="9.75" hidden="1" customHeight="1" x14ac:dyDescent="0.25"/>
    <row r="688" customFormat="1" ht="9.75" hidden="1" customHeight="1" x14ac:dyDescent="0.25"/>
    <row r="689" customFormat="1" ht="9.75" hidden="1" customHeight="1" x14ac:dyDescent="0.25"/>
    <row r="690" customFormat="1" ht="9.75" hidden="1" customHeight="1" x14ac:dyDescent="0.25"/>
    <row r="691" customFormat="1" ht="9.75" hidden="1" customHeight="1" x14ac:dyDescent="0.25"/>
    <row r="692" customFormat="1" ht="9.75" hidden="1" customHeight="1" x14ac:dyDescent="0.25"/>
    <row r="693" customFormat="1" ht="9.75" hidden="1" customHeight="1" x14ac:dyDescent="0.25"/>
    <row r="694" customFormat="1" ht="9.75" hidden="1" customHeight="1" x14ac:dyDescent="0.25"/>
    <row r="695" customFormat="1" ht="9.75" hidden="1" customHeight="1" x14ac:dyDescent="0.25"/>
    <row r="696" customFormat="1" ht="9.75" hidden="1" customHeight="1" x14ac:dyDescent="0.25"/>
    <row r="697" customFormat="1" ht="9.75" hidden="1" customHeight="1" x14ac:dyDescent="0.25"/>
    <row r="698" customFormat="1" ht="9.75" hidden="1" customHeight="1" x14ac:dyDescent="0.25"/>
    <row r="699" customFormat="1" ht="9.75" hidden="1" customHeight="1" x14ac:dyDescent="0.25"/>
    <row r="700" customFormat="1" ht="9.75" hidden="1" customHeight="1" x14ac:dyDescent="0.25"/>
    <row r="701" customFormat="1" ht="9.75" hidden="1" customHeight="1" x14ac:dyDescent="0.25"/>
    <row r="702" customFormat="1" ht="9.75" hidden="1" customHeight="1" x14ac:dyDescent="0.25"/>
    <row r="703" customFormat="1" ht="9.75" hidden="1" customHeight="1" x14ac:dyDescent="0.25"/>
    <row r="704" customFormat="1" ht="9.75" hidden="1" customHeight="1" x14ac:dyDescent="0.25"/>
    <row r="705" customFormat="1" ht="9.75" hidden="1" customHeight="1" x14ac:dyDescent="0.25"/>
    <row r="706" customFormat="1" ht="9.75" hidden="1" customHeight="1" x14ac:dyDescent="0.25"/>
    <row r="707" customFormat="1" ht="9.75" hidden="1" customHeight="1" x14ac:dyDescent="0.25"/>
    <row r="708" customFormat="1" ht="9.75" hidden="1" customHeight="1" x14ac:dyDescent="0.25"/>
    <row r="709" customFormat="1" ht="9.75" hidden="1" customHeight="1" x14ac:dyDescent="0.25"/>
    <row r="710" customFormat="1" ht="9.75" hidden="1" customHeight="1" x14ac:dyDescent="0.25"/>
    <row r="711" customFormat="1" ht="9.75" hidden="1" customHeight="1" x14ac:dyDescent="0.25"/>
    <row r="712" customFormat="1" ht="9.75" hidden="1" customHeight="1" x14ac:dyDescent="0.25"/>
    <row r="713" customFormat="1" ht="9.75" hidden="1" customHeight="1" x14ac:dyDescent="0.25"/>
    <row r="714" customFormat="1" ht="9.75" hidden="1" customHeight="1" x14ac:dyDescent="0.25"/>
    <row r="715" customFormat="1" ht="9.75" hidden="1" customHeight="1" x14ac:dyDescent="0.25"/>
    <row r="716" customFormat="1" ht="9.75" hidden="1" customHeight="1" x14ac:dyDescent="0.25"/>
    <row r="717" customFormat="1" ht="9.75" hidden="1" customHeight="1" x14ac:dyDescent="0.25"/>
    <row r="718" customFormat="1" ht="9.75" hidden="1" customHeight="1" x14ac:dyDescent="0.25"/>
    <row r="719" customFormat="1" ht="9.75" hidden="1" customHeight="1" x14ac:dyDescent="0.25"/>
    <row r="720" customFormat="1" ht="9.75" hidden="1" customHeight="1" x14ac:dyDescent="0.25"/>
    <row r="721" customFormat="1" ht="9.75" hidden="1" customHeight="1" x14ac:dyDescent="0.25"/>
    <row r="722" customFormat="1" ht="9.75" hidden="1" customHeight="1" x14ac:dyDescent="0.25"/>
    <row r="723" customFormat="1" ht="9.75" hidden="1" customHeight="1" x14ac:dyDescent="0.25"/>
    <row r="724" customFormat="1" ht="9.75" hidden="1" customHeight="1" x14ac:dyDescent="0.25"/>
    <row r="725" customFormat="1" ht="9.75" hidden="1" customHeight="1" x14ac:dyDescent="0.25"/>
    <row r="726" customFormat="1" ht="9.75" hidden="1" customHeight="1" x14ac:dyDescent="0.25"/>
    <row r="727" customFormat="1" ht="9.75" hidden="1" customHeight="1" x14ac:dyDescent="0.25"/>
    <row r="728" customFormat="1" ht="9.75" hidden="1" customHeight="1" x14ac:dyDescent="0.25"/>
    <row r="729" customFormat="1" ht="9.75" hidden="1" customHeight="1" x14ac:dyDescent="0.25"/>
    <row r="730" customFormat="1" ht="9.75" hidden="1" customHeight="1" x14ac:dyDescent="0.25"/>
    <row r="731" customFormat="1" ht="9.75" hidden="1" customHeight="1" x14ac:dyDescent="0.25"/>
    <row r="732" customFormat="1" ht="9.75" hidden="1" customHeight="1" x14ac:dyDescent="0.25"/>
    <row r="733" customFormat="1" ht="9.75" hidden="1" customHeight="1" x14ac:dyDescent="0.25"/>
    <row r="734" customFormat="1" ht="9.75" hidden="1" customHeight="1" x14ac:dyDescent="0.25"/>
    <row r="735" customFormat="1" ht="9.75" hidden="1" customHeight="1" x14ac:dyDescent="0.25"/>
    <row r="736" customFormat="1" ht="9.75" hidden="1" customHeight="1" x14ac:dyDescent="0.25"/>
    <row r="737" customFormat="1" ht="9.75" hidden="1" customHeight="1" x14ac:dyDescent="0.25"/>
    <row r="738" customFormat="1" ht="9.75" hidden="1" customHeight="1" x14ac:dyDescent="0.25"/>
    <row r="739" customFormat="1" ht="9.75" hidden="1" customHeight="1" x14ac:dyDescent="0.25"/>
    <row r="740" customFormat="1" ht="9.75" hidden="1" customHeight="1" x14ac:dyDescent="0.25"/>
    <row r="741" customFormat="1" ht="9.75" hidden="1" customHeight="1" x14ac:dyDescent="0.25"/>
    <row r="742" customFormat="1" ht="9.75" hidden="1" customHeight="1" x14ac:dyDescent="0.25"/>
    <row r="743" customFormat="1" ht="9.75" hidden="1" customHeight="1" x14ac:dyDescent="0.25"/>
    <row r="744" customFormat="1" ht="9.75" hidden="1" customHeight="1" x14ac:dyDescent="0.25"/>
    <row r="745" customFormat="1" ht="9.75" hidden="1" customHeight="1" x14ac:dyDescent="0.25"/>
    <row r="746" customFormat="1" ht="9.75" hidden="1" customHeight="1" x14ac:dyDescent="0.25"/>
    <row r="747" customFormat="1" ht="9.75" hidden="1" customHeight="1" x14ac:dyDescent="0.25"/>
    <row r="748" customFormat="1" ht="9.75" hidden="1" customHeight="1" x14ac:dyDescent="0.25"/>
    <row r="749" customFormat="1" ht="9.75" hidden="1" customHeight="1" x14ac:dyDescent="0.25"/>
    <row r="750" customFormat="1" ht="9.75" hidden="1" customHeight="1" x14ac:dyDescent="0.25"/>
    <row r="751" customFormat="1" ht="9.75" hidden="1" customHeight="1" x14ac:dyDescent="0.25"/>
    <row r="752" customFormat="1" ht="9.75" hidden="1" customHeight="1" x14ac:dyDescent="0.25"/>
    <row r="753" customFormat="1" ht="9.75" hidden="1" customHeight="1" x14ac:dyDescent="0.25"/>
    <row r="754" customFormat="1" ht="9.75" hidden="1" customHeight="1" x14ac:dyDescent="0.25"/>
    <row r="755" customFormat="1" ht="9.75" hidden="1" customHeight="1" x14ac:dyDescent="0.25"/>
    <row r="756" customFormat="1" ht="9.75" hidden="1" customHeight="1" x14ac:dyDescent="0.25"/>
    <row r="757" customFormat="1" ht="9.75" hidden="1" customHeight="1" x14ac:dyDescent="0.25"/>
    <row r="758" customFormat="1" ht="9.75" hidden="1" customHeight="1" x14ac:dyDescent="0.25"/>
    <row r="759" customFormat="1" ht="9.75" hidden="1" customHeight="1" x14ac:dyDescent="0.25"/>
    <row r="760" customFormat="1" ht="9.75" hidden="1" customHeight="1" x14ac:dyDescent="0.25"/>
    <row r="761" customFormat="1" ht="9.75" hidden="1" customHeight="1" x14ac:dyDescent="0.25"/>
    <row r="762" customFormat="1" ht="9.75" hidden="1" customHeight="1" x14ac:dyDescent="0.25"/>
    <row r="763" customFormat="1" ht="9.75" hidden="1" customHeight="1" x14ac:dyDescent="0.25"/>
    <row r="764" customFormat="1" ht="9.75" hidden="1" customHeight="1" x14ac:dyDescent="0.25"/>
    <row r="765" customFormat="1" ht="9.75" hidden="1" customHeight="1" x14ac:dyDescent="0.25"/>
    <row r="766" customFormat="1" ht="9.75" hidden="1" customHeight="1" x14ac:dyDescent="0.25"/>
    <row r="767" customFormat="1" ht="9.75" hidden="1" customHeight="1" x14ac:dyDescent="0.25"/>
    <row r="768" customFormat="1" ht="9.75" hidden="1" customHeight="1" x14ac:dyDescent="0.25"/>
    <row r="769" customFormat="1" ht="9.75" hidden="1" customHeight="1" x14ac:dyDescent="0.25"/>
    <row r="770" customFormat="1" ht="9.75" hidden="1" customHeight="1" x14ac:dyDescent="0.25"/>
    <row r="771" customFormat="1" ht="9.75" hidden="1" customHeight="1" x14ac:dyDescent="0.25"/>
    <row r="772" customFormat="1" ht="9.75" hidden="1" customHeight="1" x14ac:dyDescent="0.25"/>
    <row r="773" customFormat="1" ht="9.75" hidden="1" customHeight="1" x14ac:dyDescent="0.25"/>
    <row r="774" customFormat="1" ht="9.75" hidden="1" customHeight="1" x14ac:dyDescent="0.25"/>
    <row r="775" customFormat="1" ht="9.75" hidden="1" customHeight="1" x14ac:dyDescent="0.25"/>
    <row r="776" customFormat="1" ht="9.75" hidden="1" customHeight="1" x14ac:dyDescent="0.25"/>
    <row r="777" customFormat="1" ht="9.75" hidden="1" customHeight="1" x14ac:dyDescent="0.25"/>
    <row r="778" customFormat="1" ht="9.75" hidden="1" customHeight="1" x14ac:dyDescent="0.25"/>
    <row r="779" customFormat="1" ht="9.75" hidden="1" customHeight="1" x14ac:dyDescent="0.25"/>
    <row r="780" customFormat="1" ht="9.75" hidden="1" customHeight="1" x14ac:dyDescent="0.25"/>
    <row r="781" customFormat="1" ht="9.75" hidden="1" customHeight="1" x14ac:dyDescent="0.25"/>
    <row r="782" customFormat="1" ht="9.75" hidden="1" customHeight="1" x14ac:dyDescent="0.25"/>
    <row r="783" customFormat="1" ht="9.75" hidden="1" customHeight="1" x14ac:dyDescent="0.25"/>
    <row r="784" customFormat="1" ht="9.75" hidden="1" customHeight="1" x14ac:dyDescent="0.25"/>
    <row r="785" customFormat="1" ht="9.75" hidden="1" customHeight="1" x14ac:dyDescent="0.25"/>
    <row r="786" customFormat="1" ht="9.75" hidden="1" customHeight="1" x14ac:dyDescent="0.25"/>
    <row r="787" customFormat="1" ht="9.75" hidden="1" customHeight="1" x14ac:dyDescent="0.25"/>
    <row r="788" customFormat="1" ht="9.75" hidden="1" customHeight="1" x14ac:dyDescent="0.25"/>
    <row r="789" customFormat="1" ht="9.75" hidden="1" customHeight="1" x14ac:dyDescent="0.25"/>
    <row r="790" customFormat="1" ht="9.75" hidden="1" customHeight="1" x14ac:dyDescent="0.25"/>
    <row r="791" customFormat="1" ht="9.75" hidden="1" customHeight="1" x14ac:dyDescent="0.25"/>
    <row r="792" customFormat="1" ht="9.75" hidden="1" customHeight="1" x14ac:dyDescent="0.25"/>
    <row r="793" customFormat="1" ht="9.75" hidden="1" customHeight="1" x14ac:dyDescent="0.25"/>
    <row r="794" customFormat="1" ht="9.75" hidden="1" customHeight="1" x14ac:dyDescent="0.25"/>
    <row r="795" customFormat="1" ht="9.75" hidden="1" customHeight="1" x14ac:dyDescent="0.25"/>
    <row r="796" customFormat="1" ht="9.75" hidden="1" customHeight="1" x14ac:dyDescent="0.25"/>
    <row r="797" customFormat="1" ht="9.75" hidden="1" customHeight="1" x14ac:dyDescent="0.25"/>
    <row r="798" customFormat="1" ht="9.75" hidden="1" customHeight="1" x14ac:dyDescent="0.25"/>
    <row r="799" customFormat="1" ht="9.75" hidden="1" customHeight="1" x14ac:dyDescent="0.25"/>
    <row r="800" customFormat="1" ht="9.75" hidden="1" customHeight="1" x14ac:dyDescent="0.25"/>
    <row r="801" customFormat="1" ht="9.75" hidden="1" customHeight="1" x14ac:dyDescent="0.25"/>
    <row r="802" customFormat="1" ht="9.75" hidden="1" customHeight="1" x14ac:dyDescent="0.25"/>
    <row r="803" customFormat="1" ht="9.75" hidden="1" customHeight="1" x14ac:dyDescent="0.25"/>
    <row r="804" customFormat="1" ht="9.75" hidden="1" customHeight="1" x14ac:dyDescent="0.25"/>
    <row r="805" customFormat="1" ht="9.75" hidden="1" customHeight="1" x14ac:dyDescent="0.25"/>
    <row r="806" customFormat="1" ht="9.75" hidden="1" customHeight="1" x14ac:dyDescent="0.25"/>
    <row r="807" customFormat="1" ht="9.75" hidden="1" customHeight="1" x14ac:dyDescent="0.25"/>
    <row r="808" customFormat="1" ht="9.75" hidden="1" customHeight="1" x14ac:dyDescent="0.25"/>
    <row r="809" customFormat="1" ht="9.75" hidden="1" customHeight="1" x14ac:dyDescent="0.25"/>
    <row r="810" customFormat="1" ht="9.75" hidden="1" customHeight="1" x14ac:dyDescent="0.25"/>
    <row r="811" customFormat="1" ht="9.75" hidden="1" customHeight="1" x14ac:dyDescent="0.25"/>
    <row r="812" customFormat="1" ht="9.75" hidden="1" customHeight="1" x14ac:dyDescent="0.25"/>
    <row r="813" customFormat="1" ht="9.75" hidden="1" customHeight="1" x14ac:dyDescent="0.25"/>
    <row r="814" customFormat="1" ht="9.75" hidden="1" customHeight="1" x14ac:dyDescent="0.25"/>
    <row r="815" customFormat="1" ht="9.75" hidden="1" customHeight="1" x14ac:dyDescent="0.25"/>
    <row r="816" customFormat="1" ht="9.75" hidden="1" customHeight="1" x14ac:dyDescent="0.25"/>
    <row r="817" customFormat="1" ht="9.75" hidden="1" customHeight="1" x14ac:dyDescent="0.25"/>
    <row r="818" customFormat="1" ht="9.75" hidden="1" customHeight="1" x14ac:dyDescent="0.25"/>
    <row r="819" customFormat="1" ht="9.75" hidden="1" customHeight="1" x14ac:dyDescent="0.25"/>
    <row r="820" customFormat="1" ht="9.75" hidden="1" customHeight="1" x14ac:dyDescent="0.25"/>
    <row r="821" customFormat="1" ht="9.75" hidden="1" customHeight="1" x14ac:dyDescent="0.25"/>
    <row r="822" customFormat="1" ht="9.75" hidden="1" customHeight="1" x14ac:dyDescent="0.25"/>
    <row r="823" customFormat="1" ht="9.75" hidden="1" customHeight="1" x14ac:dyDescent="0.25"/>
    <row r="824" customFormat="1" ht="9.75" hidden="1" customHeight="1" x14ac:dyDescent="0.25"/>
    <row r="825" customFormat="1" ht="9.75" hidden="1" customHeight="1" x14ac:dyDescent="0.25"/>
    <row r="826" customFormat="1" ht="9.75" hidden="1" customHeight="1" x14ac:dyDescent="0.25"/>
    <row r="827" customFormat="1" ht="9.75" hidden="1" customHeight="1" x14ac:dyDescent="0.25"/>
    <row r="828" customFormat="1" ht="9.75" hidden="1" customHeight="1" x14ac:dyDescent="0.25"/>
    <row r="829" customFormat="1" ht="9.75" hidden="1" customHeight="1" x14ac:dyDescent="0.25"/>
    <row r="830" customFormat="1" ht="9.75" hidden="1" customHeight="1" x14ac:dyDescent="0.25"/>
    <row r="831" customFormat="1" ht="9.75" hidden="1" customHeight="1" x14ac:dyDescent="0.25"/>
    <row r="832" customFormat="1" ht="9.75" hidden="1" customHeight="1" x14ac:dyDescent="0.25"/>
    <row r="833" customFormat="1" ht="9.75" hidden="1" customHeight="1" x14ac:dyDescent="0.25"/>
    <row r="834" customFormat="1" ht="9.75" hidden="1" customHeight="1" x14ac:dyDescent="0.25"/>
    <row r="835" customFormat="1" ht="9.75" hidden="1" customHeight="1" x14ac:dyDescent="0.25"/>
    <row r="836" customFormat="1" ht="9.75" hidden="1" customHeight="1" x14ac:dyDescent="0.25"/>
    <row r="837" customFormat="1" ht="9.75" hidden="1" customHeight="1" x14ac:dyDescent="0.25"/>
    <row r="838" customFormat="1" ht="9.75" hidden="1" customHeight="1" x14ac:dyDescent="0.25"/>
    <row r="839" customFormat="1" ht="9.75" hidden="1" customHeight="1" x14ac:dyDescent="0.25"/>
    <row r="840" customFormat="1" ht="9.75" hidden="1" customHeight="1" x14ac:dyDescent="0.25"/>
    <row r="841" customFormat="1" ht="9.75" hidden="1" customHeight="1" x14ac:dyDescent="0.25"/>
    <row r="842" customFormat="1" ht="9.75" hidden="1" customHeight="1" x14ac:dyDescent="0.25"/>
    <row r="843" customFormat="1" ht="9.75" hidden="1" customHeight="1" x14ac:dyDescent="0.25"/>
    <row r="844" customFormat="1" ht="9.75" hidden="1" customHeight="1" x14ac:dyDescent="0.25"/>
    <row r="845" customFormat="1" ht="9.75" hidden="1" customHeight="1" x14ac:dyDescent="0.25"/>
    <row r="846" customFormat="1" ht="9.75" hidden="1" customHeight="1" x14ac:dyDescent="0.25"/>
    <row r="847" customFormat="1" ht="9.75" hidden="1" customHeight="1" x14ac:dyDescent="0.25"/>
    <row r="848" customFormat="1" ht="9.75" hidden="1" customHeight="1" x14ac:dyDescent="0.25"/>
    <row r="849" customFormat="1" ht="9.75" hidden="1" customHeight="1" x14ac:dyDescent="0.25"/>
    <row r="850" customFormat="1" ht="9.75" hidden="1" customHeight="1" x14ac:dyDescent="0.25"/>
    <row r="851" customFormat="1" ht="9.75" hidden="1" customHeight="1" x14ac:dyDescent="0.25"/>
    <row r="852" customFormat="1" ht="9.75" hidden="1" customHeight="1" x14ac:dyDescent="0.25"/>
    <row r="853" customFormat="1" ht="9.75" hidden="1" customHeight="1" x14ac:dyDescent="0.25"/>
    <row r="854" customFormat="1" ht="9.75" hidden="1" customHeight="1" x14ac:dyDescent="0.25"/>
    <row r="855" customFormat="1" ht="9.75" hidden="1" customHeight="1" x14ac:dyDescent="0.25"/>
    <row r="856" customFormat="1" ht="9.75" hidden="1" customHeight="1" x14ac:dyDescent="0.25"/>
    <row r="857" customFormat="1" ht="9.75" hidden="1" customHeight="1" x14ac:dyDescent="0.25"/>
    <row r="858" customFormat="1" ht="9.75" hidden="1" customHeight="1" x14ac:dyDescent="0.25"/>
    <row r="859" customFormat="1" ht="9.75" hidden="1" customHeight="1" x14ac:dyDescent="0.25"/>
    <row r="860" customFormat="1" ht="9.75" hidden="1" customHeight="1" x14ac:dyDescent="0.25"/>
    <row r="861" customFormat="1" ht="9.75" hidden="1" customHeight="1" x14ac:dyDescent="0.25"/>
    <row r="862" customFormat="1" ht="9.75" hidden="1" customHeight="1" x14ac:dyDescent="0.25"/>
    <row r="863" customFormat="1" ht="9.75" hidden="1" customHeight="1" x14ac:dyDescent="0.25"/>
    <row r="864" customFormat="1" ht="9.75" hidden="1" customHeight="1" x14ac:dyDescent="0.25"/>
    <row r="865" customFormat="1" ht="9.75" hidden="1" customHeight="1" x14ac:dyDescent="0.25"/>
    <row r="866" customFormat="1" ht="9.75" hidden="1" customHeight="1" x14ac:dyDescent="0.25"/>
    <row r="867" customFormat="1" ht="9.75" hidden="1" customHeight="1" x14ac:dyDescent="0.25"/>
    <row r="868" customFormat="1" ht="9.75" hidden="1" customHeight="1" x14ac:dyDescent="0.25"/>
    <row r="869" customFormat="1" ht="9.75" hidden="1" customHeight="1" x14ac:dyDescent="0.25"/>
    <row r="870" customFormat="1" ht="9.75" hidden="1" customHeight="1" x14ac:dyDescent="0.25"/>
    <row r="871" customFormat="1" ht="9.75" hidden="1" customHeight="1" x14ac:dyDescent="0.25"/>
    <row r="872" customFormat="1" ht="9.75" hidden="1" customHeight="1" x14ac:dyDescent="0.25"/>
    <row r="873" customFormat="1" ht="9.75" hidden="1" customHeight="1" x14ac:dyDescent="0.25"/>
    <row r="874" customFormat="1" ht="9.75" hidden="1" customHeight="1" x14ac:dyDescent="0.25"/>
    <row r="875" customFormat="1" ht="9.75" hidden="1" customHeight="1" x14ac:dyDescent="0.25"/>
    <row r="876" customFormat="1" ht="9.75" hidden="1" customHeight="1" x14ac:dyDescent="0.25"/>
    <row r="877" customFormat="1" ht="9.75" hidden="1" customHeight="1" x14ac:dyDescent="0.25"/>
    <row r="878" customFormat="1" ht="9.75" hidden="1" customHeight="1" x14ac:dyDescent="0.25"/>
    <row r="879" customFormat="1" ht="9.75" hidden="1" customHeight="1" x14ac:dyDescent="0.25"/>
    <row r="880" customFormat="1" ht="9.75" hidden="1" customHeight="1" x14ac:dyDescent="0.25"/>
    <row r="881" customFormat="1" ht="9.75" hidden="1" customHeight="1" x14ac:dyDescent="0.25"/>
    <row r="882" customFormat="1" ht="9.75" hidden="1" customHeight="1" x14ac:dyDescent="0.25"/>
    <row r="883" customFormat="1" ht="9.75" hidden="1" customHeight="1" x14ac:dyDescent="0.25"/>
    <row r="884" customFormat="1" ht="9.75" hidden="1" customHeight="1" x14ac:dyDescent="0.25"/>
    <row r="885" customFormat="1" ht="9.75" hidden="1" customHeight="1" x14ac:dyDescent="0.25"/>
    <row r="886" customFormat="1" ht="9.75" hidden="1" customHeight="1" x14ac:dyDescent="0.25"/>
    <row r="887" customFormat="1" ht="9.75" hidden="1" customHeight="1" x14ac:dyDescent="0.25"/>
    <row r="888" customFormat="1" ht="9.75" hidden="1" customHeight="1" x14ac:dyDescent="0.25"/>
    <row r="889" customFormat="1" ht="9.75" hidden="1" customHeight="1" x14ac:dyDescent="0.25"/>
    <row r="890" customFormat="1" ht="9.75" hidden="1" customHeight="1" x14ac:dyDescent="0.25"/>
    <row r="891" customFormat="1" ht="9.75" hidden="1" customHeight="1" x14ac:dyDescent="0.25"/>
    <row r="892" customFormat="1" ht="9.75" hidden="1" customHeight="1" x14ac:dyDescent="0.25"/>
    <row r="893" customFormat="1" ht="9.75" hidden="1" customHeight="1" x14ac:dyDescent="0.25"/>
    <row r="894" customFormat="1" ht="9.75" hidden="1" customHeight="1" x14ac:dyDescent="0.25"/>
    <row r="895" customFormat="1" ht="9.75" hidden="1" customHeight="1" x14ac:dyDescent="0.25"/>
    <row r="896" customFormat="1" ht="9.75" hidden="1" customHeight="1" x14ac:dyDescent="0.25"/>
    <row r="897" customFormat="1" ht="9.75" hidden="1" customHeight="1" x14ac:dyDescent="0.25"/>
    <row r="898" customFormat="1" ht="9.75" hidden="1" customHeight="1" x14ac:dyDescent="0.25"/>
    <row r="899" customFormat="1" ht="9.75" hidden="1" customHeight="1" x14ac:dyDescent="0.25"/>
    <row r="900" customFormat="1" ht="9.75" hidden="1" customHeight="1" x14ac:dyDescent="0.25"/>
    <row r="901" customFormat="1" ht="9.75" hidden="1" customHeight="1" x14ac:dyDescent="0.25"/>
    <row r="902" customFormat="1" ht="9.75" hidden="1" customHeight="1" x14ac:dyDescent="0.25"/>
    <row r="903" customFormat="1" ht="9.75" hidden="1" customHeight="1" x14ac:dyDescent="0.25"/>
    <row r="904" customFormat="1" ht="9.75" hidden="1" customHeight="1" x14ac:dyDescent="0.25"/>
    <row r="905" customFormat="1" ht="9.75" hidden="1" customHeight="1" x14ac:dyDescent="0.25"/>
    <row r="906" customFormat="1" ht="9.75" hidden="1" customHeight="1" x14ac:dyDescent="0.25"/>
    <row r="907" customFormat="1" ht="9.75" hidden="1" customHeight="1" x14ac:dyDescent="0.25"/>
    <row r="908" customFormat="1" ht="9.75" hidden="1" customHeight="1" x14ac:dyDescent="0.25"/>
    <row r="909" customFormat="1" ht="9.75" hidden="1" customHeight="1" x14ac:dyDescent="0.25"/>
    <row r="910" customFormat="1" ht="9.75" hidden="1" customHeight="1" x14ac:dyDescent="0.25"/>
    <row r="911" customFormat="1" ht="9.75" hidden="1" customHeight="1" x14ac:dyDescent="0.25"/>
    <row r="912" customFormat="1" ht="9.75" hidden="1" customHeight="1" x14ac:dyDescent="0.25"/>
    <row r="913" customFormat="1" ht="9.75" hidden="1" customHeight="1" x14ac:dyDescent="0.25"/>
    <row r="914" customFormat="1" ht="9.75" hidden="1" customHeight="1" x14ac:dyDescent="0.25"/>
    <row r="915" customFormat="1" ht="9.75" hidden="1" customHeight="1" x14ac:dyDescent="0.25"/>
    <row r="916" customFormat="1" ht="9.75" hidden="1" customHeight="1" x14ac:dyDescent="0.25"/>
    <row r="917" customFormat="1" ht="9.75" hidden="1" customHeight="1" x14ac:dyDescent="0.25"/>
    <row r="918" customFormat="1" ht="9.75" hidden="1" customHeight="1" x14ac:dyDescent="0.25"/>
    <row r="919" customFormat="1" ht="9.75" hidden="1" customHeight="1" x14ac:dyDescent="0.25"/>
    <row r="920" customFormat="1" ht="9.75" hidden="1" customHeight="1" x14ac:dyDescent="0.25"/>
    <row r="921" customFormat="1" ht="9.75" hidden="1" customHeight="1" x14ac:dyDescent="0.25"/>
    <row r="922" customFormat="1" ht="9.75" hidden="1" customHeight="1" x14ac:dyDescent="0.25"/>
    <row r="923" customFormat="1" ht="9.75" hidden="1" customHeight="1" x14ac:dyDescent="0.25"/>
    <row r="924" customFormat="1" ht="9.75" hidden="1" customHeight="1" x14ac:dyDescent="0.25"/>
    <row r="925" customFormat="1" ht="9.75" hidden="1" customHeight="1" x14ac:dyDescent="0.25"/>
    <row r="926" customFormat="1" ht="9.75" hidden="1" customHeight="1" x14ac:dyDescent="0.25"/>
    <row r="927" customFormat="1" ht="9.75" hidden="1" customHeight="1" x14ac:dyDescent="0.25"/>
    <row r="928" customFormat="1" ht="9.75" hidden="1" customHeight="1" x14ac:dyDescent="0.25"/>
    <row r="929" customFormat="1" ht="9.75" hidden="1" customHeight="1" x14ac:dyDescent="0.25"/>
    <row r="930" customFormat="1" ht="9.75" hidden="1" customHeight="1" x14ac:dyDescent="0.25"/>
    <row r="931" customFormat="1" ht="9.75" hidden="1" customHeight="1" x14ac:dyDescent="0.25"/>
    <row r="932" customFormat="1" ht="9.75" hidden="1" customHeight="1" x14ac:dyDescent="0.25"/>
    <row r="933" customFormat="1" ht="9.75" hidden="1" customHeight="1" x14ac:dyDescent="0.25"/>
    <row r="934" customFormat="1" ht="9.75" hidden="1" customHeight="1" x14ac:dyDescent="0.25"/>
    <row r="935" customFormat="1" ht="9.75" hidden="1" customHeight="1" x14ac:dyDescent="0.25"/>
    <row r="936" customFormat="1" ht="9.75" hidden="1" customHeight="1" x14ac:dyDescent="0.25"/>
    <row r="937" customFormat="1" ht="9.75" hidden="1" customHeight="1" x14ac:dyDescent="0.25"/>
    <row r="938" customFormat="1" ht="9.75" hidden="1" customHeight="1" x14ac:dyDescent="0.25"/>
    <row r="939" customFormat="1" ht="9.75" hidden="1" customHeight="1" x14ac:dyDescent="0.25"/>
    <row r="940" customFormat="1" ht="9.75" hidden="1" customHeight="1" x14ac:dyDescent="0.25"/>
    <row r="941" customFormat="1" ht="9.75" hidden="1" customHeight="1" x14ac:dyDescent="0.25"/>
    <row r="942" customFormat="1" ht="9.75" hidden="1" customHeight="1" x14ac:dyDescent="0.25"/>
    <row r="943" customFormat="1" ht="9.75" hidden="1" customHeight="1" x14ac:dyDescent="0.25"/>
    <row r="944" customFormat="1" ht="9.75" hidden="1" customHeight="1" x14ac:dyDescent="0.25"/>
    <row r="945" customFormat="1" ht="9.75" hidden="1" customHeight="1" x14ac:dyDescent="0.25"/>
    <row r="946" customFormat="1" ht="9.75" hidden="1" customHeight="1" x14ac:dyDescent="0.25"/>
    <row r="947" customFormat="1" ht="9.75" hidden="1" customHeight="1" x14ac:dyDescent="0.25"/>
    <row r="948" customFormat="1" ht="9.75" hidden="1" customHeight="1" x14ac:dyDescent="0.25"/>
    <row r="949" customFormat="1" ht="9.75" hidden="1" customHeight="1" x14ac:dyDescent="0.25"/>
    <row r="950" customFormat="1" ht="9.75" hidden="1" customHeight="1" x14ac:dyDescent="0.25"/>
    <row r="951" customFormat="1" ht="9.75" hidden="1" customHeight="1" x14ac:dyDescent="0.25"/>
    <row r="952" customFormat="1" ht="9.75" hidden="1" customHeight="1" x14ac:dyDescent="0.25"/>
    <row r="953" customFormat="1" ht="9.75" hidden="1" customHeight="1" x14ac:dyDescent="0.25"/>
    <row r="954" customFormat="1" ht="9.75" hidden="1" customHeight="1" x14ac:dyDescent="0.25"/>
    <row r="955" customFormat="1" ht="9.75" hidden="1" customHeight="1" x14ac:dyDescent="0.25"/>
    <row r="956" customFormat="1" ht="9.75" hidden="1" customHeight="1" x14ac:dyDescent="0.25"/>
    <row r="957" customFormat="1" ht="9.75" hidden="1" customHeight="1" x14ac:dyDescent="0.25"/>
    <row r="958" customFormat="1" ht="9.75" hidden="1" customHeight="1" x14ac:dyDescent="0.25"/>
    <row r="959" customFormat="1" ht="9.75" hidden="1" customHeight="1" x14ac:dyDescent="0.25"/>
    <row r="960" customFormat="1" ht="9.75" hidden="1" customHeight="1" x14ac:dyDescent="0.25"/>
    <row r="961" customFormat="1" ht="9.75" hidden="1" customHeight="1" x14ac:dyDescent="0.25"/>
    <row r="962" customFormat="1" ht="9.75" hidden="1" customHeight="1" x14ac:dyDescent="0.25"/>
    <row r="963" customFormat="1" ht="9.75" hidden="1" customHeight="1" x14ac:dyDescent="0.25"/>
    <row r="964" customFormat="1" ht="9.75" hidden="1" customHeight="1" x14ac:dyDescent="0.25"/>
    <row r="965" customFormat="1" ht="9.75" hidden="1" customHeight="1" x14ac:dyDescent="0.25"/>
    <row r="966" customFormat="1" ht="9.75" hidden="1" customHeight="1" x14ac:dyDescent="0.25"/>
    <row r="967" customFormat="1" ht="9.75" hidden="1" customHeight="1" x14ac:dyDescent="0.25"/>
    <row r="968" customFormat="1" ht="9.75" hidden="1" customHeight="1" x14ac:dyDescent="0.25"/>
    <row r="969" customFormat="1" ht="9.75" hidden="1" customHeight="1" x14ac:dyDescent="0.25"/>
    <row r="970" customFormat="1" ht="9.75" hidden="1" customHeight="1" x14ac:dyDescent="0.25"/>
    <row r="971" customFormat="1" ht="9.75" hidden="1" customHeight="1" x14ac:dyDescent="0.25"/>
    <row r="972" customFormat="1" ht="9.75" hidden="1" customHeight="1" x14ac:dyDescent="0.25"/>
    <row r="973" customFormat="1" ht="9.75" hidden="1" customHeight="1" x14ac:dyDescent="0.25"/>
    <row r="974" customFormat="1" ht="9.75" hidden="1" customHeight="1" x14ac:dyDescent="0.25"/>
    <row r="975" customFormat="1" ht="9.75" hidden="1" customHeight="1" x14ac:dyDescent="0.25"/>
    <row r="976" customFormat="1" ht="9.75" hidden="1" customHeight="1" x14ac:dyDescent="0.25"/>
    <row r="977" customFormat="1" ht="9.75" hidden="1" customHeight="1" x14ac:dyDescent="0.25"/>
    <row r="978" customFormat="1" ht="9.75" hidden="1" customHeight="1" x14ac:dyDescent="0.25"/>
    <row r="979" customFormat="1" ht="9.75" hidden="1" customHeight="1" x14ac:dyDescent="0.25"/>
    <row r="980" customFormat="1" ht="9.75" hidden="1" customHeight="1" x14ac:dyDescent="0.25"/>
    <row r="981" customFormat="1" ht="9.75" hidden="1" customHeight="1" x14ac:dyDescent="0.25"/>
    <row r="982" customFormat="1" ht="9.75" hidden="1" customHeight="1" x14ac:dyDescent="0.25"/>
    <row r="983" customFormat="1" ht="9.75" hidden="1" customHeight="1" x14ac:dyDescent="0.25"/>
    <row r="984" customFormat="1" ht="9.75" hidden="1" customHeight="1" x14ac:dyDescent="0.25"/>
    <row r="985" customFormat="1" ht="9.75" hidden="1" customHeight="1" x14ac:dyDescent="0.25"/>
    <row r="986" customFormat="1" ht="9.75" hidden="1" customHeight="1" x14ac:dyDescent="0.25"/>
    <row r="987" customFormat="1" ht="9.75" hidden="1" customHeight="1" x14ac:dyDescent="0.25"/>
    <row r="988" customFormat="1" ht="9.75" hidden="1" customHeight="1" x14ac:dyDescent="0.25"/>
    <row r="989" customFormat="1" ht="9.75" hidden="1" customHeight="1" x14ac:dyDescent="0.25"/>
    <row r="990" customFormat="1" ht="9.75" hidden="1" customHeight="1" x14ac:dyDescent="0.25"/>
    <row r="991" customFormat="1" ht="9.75" hidden="1" customHeight="1" x14ac:dyDescent="0.25"/>
    <row r="992" customFormat="1" ht="9.75" hidden="1" customHeight="1" x14ac:dyDescent="0.25"/>
    <row r="993" customFormat="1" ht="9.75" hidden="1" customHeight="1" x14ac:dyDescent="0.25"/>
    <row r="994" customFormat="1" ht="9.75" hidden="1" customHeight="1" x14ac:dyDescent="0.25"/>
    <row r="995" customFormat="1" ht="9.75" hidden="1" customHeight="1" x14ac:dyDescent="0.25"/>
    <row r="996" customFormat="1" ht="9.75" hidden="1" customHeight="1" x14ac:dyDescent="0.25"/>
    <row r="997" customFormat="1" ht="9.75" hidden="1" customHeight="1" x14ac:dyDescent="0.25"/>
    <row r="998" customFormat="1" ht="9.75" hidden="1" customHeight="1" x14ac:dyDescent="0.25"/>
    <row r="999" customFormat="1" ht="9.75" hidden="1" customHeight="1" x14ac:dyDescent="0.25"/>
    <row r="1000" customFormat="1" ht="9.75" hidden="1" customHeight="1" x14ac:dyDescent="0.25"/>
  </sheetData>
  <sheetProtection algorithmName="SHA-512" hashValue="OJQaQB/tddnyKP8oiTO7j6hQamjV/otEqbUqjfJdslnKkJhTKKUn4U48nsXJOS5dYLox7d1INZXUfYl6JXC3Vw==" saltValue="qAsTzw/AMnuLcnivY2H+JQ==" spinCount="100000" sheet="1" objects="1" scenarios="1"/>
  <dataConsolidate/>
  <mergeCells count="26">
    <mergeCell ref="E39:H39"/>
    <mergeCell ref="E27:F27"/>
    <mergeCell ref="E28:G29"/>
    <mergeCell ref="E21:J21"/>
    <mergeCell ref="E38:H38"/>
    <mergeCell ref="E30:J30"/>
    <mergeCell ref="E36:J36"/>
    <mergeCell ref="E37:H37"/>
    <mergeCell ref="E20:J20"/>
    <mergeCell ref="F14:G14"/>
    <mergeCell ref="H14:H15"/>
    <mergeCell ref="C4:C18"/>
    <mergeCell ref="I14:I15"/>
    <mergeCell ref="F10:H10"/>
    <mergeCell ref="F13:J13"/>
    <mergeCell ref="J14:J15"/>
    <mergeCell ref="E14:E15"/>
    <mergeCell ref="C3:E3"/>
    <mergeCell ref="E4:H4"/>
    <mergeCell ref="E5:H5"/>
    <mergeCell ref="E6:H6"/>
    <mergeCell ref="E12:H12"/>
    <mergeCell ref="F3:J3"/>
    <mergeCell ref="F11:H11"/>
    <mergeCell ref="F7:G7"/>
    <mergeCell ref="F9:G9"/>
  </mergeCells>
  <dataValidations count="20">
    <dataValidation type="whole" allowBlank="1" showErrorMessage="1" error="  Non negative, no decimal, upto 99,999,999,999,999" sqref="J22:J27 J39 J4:J9 J11:J12">
      <formula1>0</formula1>
      <formula2>99999999999999</formula2>
    </dataValidation>
    <dataValidation type="textLength" operator="lessThanOrEqual" allowBlank="1" showInputMessage="1" showErrorMessage="1" errorTitle="Description" error="Description cannot exceed 75 characters" sqref="G23:G26">
      <formula1>125</formula1>
    </dataValidation>
    <dataValidation type="whole" allowBlank="1" showInputMessage="1" showErrorMessage="1" errorTitle="Amount" error="Amount entered should be Numeric,Non negative and no decimal upto 14 digits" sqref="H23:H26">
      <formula1>0</formula1>
      <formula2>99999999999999</formula2>
    </dataValidation>
    <dataValidation type="whole" allowBlank="1" showInputMessage="1" showErrorMessage="1" errorTitle="Total" error="Total should be Numeric, Non negative and no decimal upto 14 digits" sqref="H27">
      <formula1>0</formula1>
      <formula2>99999999999999</formula2>
    </dataValidation>
    <dataValidation type="whole" allowBlank="1" showInputMessage="1" showErrorMessage="1" errorTitle="Pass through income not " error="Pass through income not chargeable to tax (Schedule PTI) should be Non Negetive, no decimal between 0 to 99999999999999" sqref="J38">
      <formula1>0</formula1>
      <formula2>999999999999999000</formula2>
    </dataValidation>
    <dataValidation allowBlank="1" showErrorMessage="1" error="  Non negative, no decimal, upto 99,999,999,999,999" sqref="I11"/>
    <dataValidation allowBlank="1" showErrorMessage="1" sqref="J14:J15"/>
    <dataValidation type="textLength" operator="lessThanOrEqual" allowBlank="1" showInputMessage="1" showErrorMessage="1" errorTitle="Name of district" error="Name of district cannot be more than  125 characters" sqref="F16:F19">
      <formula1>125</formula1>
    </dataValidation>
    <dataValidation type="whole" allowBlank="1" showInputMessage="1" showErrorMessage="1" errorTitle="Pin code" error="Pincode must be exactly 6 digits and should not start with zero" sqref="G16:G19">
      <formula1>100000</formula1>
      <formula2>999999</formula2>
    </dataValidation>
    <dataValidation type="decimal" allowBlank="1" showInputMessage="1" showErrorMessage="1" errorTitle="Measurement of agricultural" error="Measurement of agricultural should be Non Negetive, no decimal between 0 to 99999999999999" sqref="H16:H19">
      <formula1>0</formula1>
      <formula2>99999999999999</formula2>
    </dataValidation>
    <dataValidation type="list" allowBlank="1" showInputMessage="1" showErrorMessage="1" errorTitle="Whether the agricultural land" error="Please select valid option from the drop down" sqref="I16:I19">
      <formula1>Owed</formula1>
    </dataValidation>
    <dataValidation type="list" allowBlank="1" showErrorMessage="1" errorTitle="Irrigated or Rain-fed" error="Please select valid option from the drop down" sqref="J16:J19">
      <formula1>Irrigated</formula1>
    </dataValidation>
    <dataValidation type="list" allowBlank="1" showInputMessage="1" showErrorMessage="1" errorTitle="Head of income" error="Please select from the dropdown" sqref="I32:I35">
      <formula1>"(Select),Salary,House Property,Profits &amp; Gains from Business &amp; Profession,Capital Gain,Income from Other sources"</formula1>
    </dataValidation>
    <dataValidation type="list" allowBlank="1" showInputMessage="1" showErrorMessage="1" errorTitle="Whether TRC Obtained" error="Please select from the dropdown" sqref="J32:J35">
      <formula1>"(Select),Yes,No"</formula1>
    </dataValidation>
    <dataValidation type="list" allowBlank="1" showInputMessage="1" showErrorMessage="1" errorTitle="Country name and code" error="Please select from the dropdown" sqref="G32:G35">
      <formula1>Country_NoIndia</formula1>
    </dataValidation>
    <dataValidation type="whole" allowBlank="1" showInputMessage="1" showErrorMessage="1" errorTitle="Amount of Income" error="Amount of Income should be Non negative,No decimal and  cannot exceed 14 digits" sqref="E32:E35">
      <formula1>0</formula1>
      <formula2>99999999999999</formula2>
    </dataValidation>
    <dataValidation type="textLength" operator="lessThanOrEqual" allowBlank="1" showInputMessage="1" showErrorMessage="1" errorTitle="Nature of Income" error="Nature of Income cannot exceed 75 characters" sqref="F32:F35">
      <formula1>75</formula1>
    </dataValidation>
    <dataValidation type="textLength" operator="lessThanOrEqual" allowBlank="1" showInputMessage="1" showErrorMessage="1" errorTitle="Article of DTAA" error="Article of DTAA cannot exceed 16 characters" sqref="H32:H35">
      <formula1>16</formula1>
    </dataValidation>
    <dataValidation type="list" operator="lessThanOrEqual" allowBlank="1" showInputMessage="1" showErrorMessage="1" errorTitle="Nature Of Income" error="Please select from the dropdown" sqref="F23:F26">
      <formula1>INDIRECT(IF(MID(sheet1.Status,1,1)="I",(IF(bacValue=1,"EI_SectionDropdown1BACYes","EI_SectionDropdown1")),(IF(bacValue=1,"EI_SectionDropdownBACYes","EI_SectionDropdown"))))</formula1>
    </dataValidation>
    <dataValidation type="whole" allowBlank="1" showInputMessage="1" showErrorMessage="1" error="Non Negetive, no decimal between 0 to 99999999999999" sqref="I7:I9 J10">
      <formula1>0</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ValidateEIClick">
                <anchor>
                  <from>
                    <xdr:col>11</xdr:col>
                    <xdr:colOff>142875</xdr:colOff>
                    <xdr:row>2</xdr:row>
                    <xdr:rowOff>133350</xdr:rowOff>
                  </from>
                  <to>
                    <xdr:col>11</xdr:col>
                    <xdr:colOff>1514475</xdr:colOff>
                    <xdr:row>6</xdr:row>
                    <xdr:rowOff>76200</xdr:rowOff>
                  </to>
                </anchor>
              </controlPr>
            </control>
          </mc:Choice>
        </mc:AlternateContent>
        <mc:AlternateContent xmlns:mc="http://schemas.openxmlformats.org/markup-compatibility/2006">
          <mc:Choice Requires="x14">
            <control shapeId="93187" r:id="rId5" name="Button 3">
              <controlPr defaultSize="0" print="0" autoFill="0" autoPict="0" macro="[0]!Prev_Sheet">
                <anchor>
                  <from>
                    <xdr:col>11</xdr:col>
                    <xdr:colOff>142875</xdr:colOff>
                    <xdr:row>7</xdr:row>
                    <xdr:rowOff>57150</xdr:rowOff>
                  </from>
                  <to>
                    <xdr:col>11</xdr:col>
                    <xdr:colOff>1514475</xdr:colOff>
                    <xdr:row>8</xdr:row>
                    <xdr:rowOff>133350</xdr:rowOff>
                  </to>
                </anchor>
              </controlPr>
            </control>
          </mc:Choice>
        </mc:AlternateContent>
        <mc:AlternateContent xmlns:mc="http://schemas.openxmlformats.org/markup-compatibility/2006">
          <mc:Choice Requires="x14">
            <control shapeId="93188" r:id="rId6" name="Button 4">
              <controlPr defaultSize="0" print="0" autoFill="0" autoPict="0" macro="[0]!Img_Home_Click">
                <anchor>
                  <from>
                    <xdr:col>11</xdr:col>
                    <xdr:colOff>142875</xdr:colOff>
                    <xdr:row>1</xdr:row>
                    <xdr:rowOff>19050</xdr:rowOff>
                  </from>
                  <to>
                    <xdr:col>11</xdr:col>
                    <xdr:colOff>1514475</xdr:colOff>
                    <xdr:row>2</xdr:row>
                    <xdr:rowOff>95250</xdr:rowOff>
                  </to>
                </anchor>
              </controlPr>
            </control>
          </mc:Choice>
        </mc:AlternateContent>
        <mc:AlternateContent xmlns:mc="http://schemas.openxmlformats.org/markup-compatibility/2006">
          <mc:Choice Requires="x14">
            <control shapeId="93190" r:id="rId7" name="Button 6">
              <controlPr defaultSize="0" print="0" autoFill="0" autoPict="0" macro="[0]!Next_Sheet">
                <anchor>
                  <from>
                    <xdr:col>11</xdr:col>
                    <xdr:colOff>142875</xdr:colOff>
                    <xdr:row>6</xdr:row>
                    <xdr:rowOff>104775</xdr:rowOff>
                  </from>
                  <to>
                    <xdr:col>11</xdr:col>
                    <xdr:colOff>1514475</xdr:colOff>
                    <xdr:row>7</xdr:row>
                    <xdr:rowOff>28575</xdr:rowOff>
                  </to>
                </anchor>
              </controlPr>
            </control>
          </mc:Choice>
        </mc:AlternateContent>
        <mc:AlternateContent xmlns:mc="http://schemas.openxmlformats.org/markup-compatibility/2006">
          <mc:Choice Requires="x14">
            <control shapeId="93191" r:id="rId8" name="Button 7">
              <controlPr defaultSize="0" print="0" autoFill="0" autoPict="0" macro="[0]!Instruction_Sheet">
                <anchor>
                  <from>
                    <xdr:col>11</xdr:col>
                    <xdr:colOff>142875</xdr:colOff>
                    <xdr:row>10</xdr:row>
                    <xdr:rowOff>95250</xdr:rowOff>
                  </from>
                  <to>
                    <xdr:col>11</xdr:col>
                    <xdr:colOff>1514475</xdr:colOff>
                    <xdr:row>12</xdr:row>
                    <xdr:rowOff>76200</xdr:rowOff>
                  </to>
                </anchor>
              </controlPr>
            </control>
          </mc:Choice>
        </mc:AlternateContent>
        <mc:AlternateContent xmlns:mc="http://schemas.openxmlformats.org/markup-compatibility/2006">
          <mc:Choice Requires="x14">
            <control shapeId="93192" r:id="rId9" name="Button 8">
              <controlPr defaultSize="0" print="0" autoFill="0" autoPict="0" macro="[0]!WorksheetsPrint">
                <anchor>
                  <from>
                    <xdr:col>11</xdr:col>
                    <xdr:colOff>142875</xdr:colOff>
                    <xdr:row>9</xdr:row>
                    <xdr:rowOff>142875</xdr:rowOff>
                  </from>
                  <to>
                    <xdr:col>11</xdr:col>
                    <xdr:colOff>1514475</xdr:colOff>
                    <xdr:row>10</xdr:row>
                    <xdr:rowOff>57150</xdr:rowOff>
                  </to>
                </anchor>
              </controlPr>
            </control>
          </mc:Choice>
        </mc:AlternateContent>
        <mc:AlternateContent xmlns:mc="http://schemas.openxmlformats.org/markup-compatibility/2006">
          <mc:Choice Requires="x14">
            <control shapeId="93193" r:id="rId10" name="Button 9">
              <controlPr defaultSize="0" print="0" autoFill="0" autoPict="0" macro="[0]!GenerateJSON.GenerateJSON">
                <anchor>
                  <from>
                    <xdr:col>11</xdr:col>
                    <xdr:colOff>142875</xdr:colOff>
                    <xdr:row>8</xdr:row>
                    <xdr:rowOff>171450</xdr:rowOff>
                  </from>
                  <to>
                    <xdr:col>11</xdr:col>
                    <xdr:colOff>1514475</xdr:colOff>
                    <xdr:row>9</xdr:row>
                    <xdr:rowOff>114300</xdr:rowOff>
                  </to>
                </anchor>
              </controlPr>
            </control>
          </mc:Choice>
        </mc:AlternateContent>
        <mc:AlternateContent xmlns:mc="http://schemas.openxmlformats.org/markup-compatibility/2006">
          <mc:Choice Requires="x14">
            <control shapeId="93194" r:id="rId11" name="Button 10">
              <controlPr defaultSize="0" print="0" autoFill="0" autoPict="0" macro="[0]!Cmd_AddRows_EI_Click">
                <anchor moveWithCells="1">
                  <from>
                    <xdr:col>4</xdr:col>
                    <xdr:colOff>38100</xdr:colOff>
                    <xdr:row>27</xdr:row>
                    <xdr:rowOff>38100</xdr:rowOff>
                  </from>
                  <to>
                    <xdr:col>5</xdr:col>
                    <xdr:colOff>323850</xdr:colOff>
                    <xdr:row>28</xdr:row>
                    <xdr:rowOff>152400</xdr:rowOff>
                  </to>
                </anchor>
              </controlPr>
            </control>
          </mc:Choice>
        </mc:AlternateContent>
        <mc:AlternateContent xmlns:mc="http://schemas.openxmlformats.org/markup-compatibility/2006">
          <mc:Choice Requires="x14">
            <control shapeId="93196" r:id="rId12" name="Button 12">
              <controlPr defaultSize="0" print="0" autoFill="0" autoPict="0" macro="[0]!Cmd_AddRows_EI_Agriculture_Click">
                <anchor moveWithCells="1">
                  <from>
                    <xdr:col>4</xdr:col>
                    <xdr:colOff>38100</xdr:colOff>
                    <xdr:row>19</xdr:row>
                    <xdr:rowOff>38100</xdr:rowOff>
                  </from>
                  <to>
                    <xdr:col>5</xdr:col>
                    <xdr:colOff>323850</xdr:colOff>
                    <xdr:row>19</xdr:row>
                    <xdr:rowOff>323850</xdr:rowOff>
                  </to>
                </anchor>
              </controlPr>
            </control>
          </mc:Choice>
        </mc:AlternateContent>
        <mc:AlternateContent xmlns:mc="http://schemas.openxmlformats.org/markup-compatibility/2006">
          <mc:Choice Requires="x14">
            <control shapeId="93202" r:id="rId13" name="Button 18">
              <controlPr defaultSize="0" print="0" autoFill="0" autoPict="0" macro="[0]!Cmd_AddRows_DTAA_Click">
                <anchor moveWithCells="1">
                  <from>
                    <xdr:col>4</xdr:col>
                    <xdr:colOff>38100</xdr:colOff>
                    <xdr:row>35</xdr:row>
                    <xdr:rowOff>38100</xdr:rowOff>
                  </from>
                  <to>
                    <xdr:col>5</xdr:col>
                    <xdr:colOff>323850</xdr:colOff>
                    <xdr:row>35</xdr:row>
                    <xdr:rowOff>323850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L286"/>
  <sheetViews>
    <sheetView showGridLines="0" topLeftCell="B1" workbookViewId="0">
      <selection activeCell="G8" sqref="G8:G12"/>
    </sheetView>
  </sheetViews>
  <sheetFormatPr defaultColWidth="0" defaultRowHeight="12.75" x14ac:dyDescent="0.2"/>
  <cols>
    <col min="1" max="3" width="9.140625" style="113" customWidth="1"/>
    <col min="4" max="4" width="17.85546875" style="113" customWidth="1"/>
    <col min="5" max="5" width="14.5703125" style="113" customWidth="1"/>
    <col min="6" max="6" width="15" style="113" customWidth="1"/>
    <col min="7" max="7" width="15.85546875" style="113" customWidth="1"/>
    <col min="8" max="9" width="17.140625" style="113" customWidth="1"/>
    <col min="10" max="10" width="16.28515625" style="113" customWidth="1"/>
    <col min="11" max="13" width="17.5703125" style="113" customWidth="1"/>
    <col min="14" max="14" width="16.7109375" style="113" customWidth="1"/>
    <col min="15" max="15" width="18.85546875" style="113" customWidth="1"/>
    <col min="16" max="16" width="20.42578125" style="113" customWidth="1"/>
    <col min="17" max="17" width="17" style="113" customWidth="1"/>
    <col min="18" max="18" width="18" style="113" customWidth="1"/>
    <col min="19" max="19" width="16.85546875" style="113" customWidth="1"/>
    <col min="20" max="20" width="16.42578125" style="113" customWidth="1"/>
    <col min="21" max="21" width="10.28515625" style="113" hidden="1" customWidth="1"/>
    <col min="22" max="22" width="11.28515625" style="113" hidden="1" customWidth="1"/>
    <col min="23" max="23" width="19" style="113" customWidth="1"/>
    <col min="24" max="24" width="17.140625" style="113" customWidth="1"/>
    <col min="25" max="26" width="15.28515625" style="113" customWidth="1"/>
    <col min="27" max="27" width="16" style="113" customWidth="1"/>
    <col min="28" max="28" width="16.140625" style="113" customWidth="1"/>
    <col min="29" max="29" width="16" style="113" customWidth="1"/>
    <col min="30" max="30" width="16.28515625" style="113" customWidth="1"/>
    <col min="31" max="31" width="15" style="113" customWidth="1"/>
    <col min="32" max="32" width="16" style="113" customWidth="1"/>
    <col min="33" max="33" width="16.28515625" style="113" customWidth="1"/>
    <col min="34" max="34" width="17.140625" style="113" customWidth="1"/>
    <col min="35" max="35" width="17.42578125" style="113" customWidth="1"/>
    <col min="36" max="36" width="16.42578125" style="113" customWidth="1"/>
    <col min="37" max="38" width="9.140625" style="117" customWidth="1"/>
    <col min="39" max="16384" width="9.140625" style="113" hidden="1"/>
  </cols>
  <sheetData>
    <row r="1" spans="1:36" s="117" customFormat="1" x14ac:dyDescent="0.2"/>
    <row r="2" spans="1:36" s="117" customFormat="1" x14ac:dyDescent="0.2"/>
    <row r="3" spans="1:36" s="117" customFormat="1" x14ac:dyDescent="0.2"/>
    <row r="4" spans="1:36" ht="15" customHeight="1" x14ac:dyDescent="0.25">
      <c r="A4" s="38" t="s">
        <v>1231</v>
      </c>
      <c r="B4" s="3384" t="s">
        <v>1232</v>
      </c>
      <c r="C4" s="3384"/>
      <c r="D4" s="3384"/>
      <c r="E4" s="3384"/>
      <c r="F4" s="3384"/>
      <c r="G4" s="3384"/>
      <c r="H4" s="3384"/>
      <c r="I4" s="3384"/>
      <c r="J4" s="3384"/>
      <c r="K4" s="3384"/>
      <c r="L4" s="3384"/>
      <c r="M4" s="3384"/>
      <c r="N4" s="3384"/>
      <c r="O4" s="3384"/>
      <c r="P4" s="3384"/>
      <c r="Q4" s="3384"/>
      <c r="R4" s="3384"/>
      <c r="S4" s="3384"/>
      <c r="T4" s="3384"/>
      <c r="U4" s="3384"/>
      <c r="V4" s="3384"/>
      <c r="W4" s="3384"/>
      <c r="X4" s="3384"/>
      <c r="Y4" s="3384"/>
      <c r="Z4" s="3384"/>
      <c r="AA4" s="3384"/>
      <c r="AB4" s="3384"/>
      <c r="AC4" s="3384"/>
      <c r="AD4" s="3384"/>
      <c r="AE4" s="3384"/>
      <c r="AF4" s="3384"/>
      <c r="AG4" s="3384"/>
      <c r="AH4" s="3384"/>
      <c r="AI4" s="3384"/>
      <c r="AJ4" s="3384"/>
    </row>
    <row r="5" spans="1:36" ht="15" customHeight="1" x14ac:dyDescent="0.25">
      <c r="A5" s="32"/>
      <c r="B5" s="12"/>
      <c r="C5" s="3240" t="s">
        <v>1233</v>
      </c>
      <c r="D5" s="3384"/>
      <c r="E5" s="3384"/>
      <c r="F5" s="3384"/>
      <c r="G5" s="3384"/>
      <c r="H5" s="3384"/>
      <c r="I5" s="3384"/>
      <c r="J5" s="3384"/>
      <c r="K5" s="3384"/>
      <c r="L5" s="3384"/>
      <c r="M5" s="3384"/>
      <c r="N5" s="3384"/>
      <c r="O5" s="3384"/>
      <c r="P5" s="3384"/>
      <c r="Q5" s="3384"/>
      <c r="R5" s="3384"/>
      <c r="S5" s="3384"/>
      <c r="T5" s="3384"/>
      <c r="U5" s="3384"/>
      <c r="V5" s="3384"/>
      <c r="W5" s="3384"/>
      <c r="X5" s="3384"/>
      <c r="Y5" s="3384"/>
      <c r="Z5" s="3384"/>
      <c r="AA5" s="3384"/>
      <c r="AB5" s="3384"/>
      <c r="AC5" s="3384"/>
      <c r="AD5" s="3384"/>
      <c r="AE5" s="3384"/>
      <c r="AF5" s="3384"/>
      <c r="AG5" s="3384"/>
      <c r="AH5" s="3384"/>
      <c r="AI5" s="3384"/>
      <c r="AJ5" s="3384"/>
    </row>
    <row r="6" spans="1:36" ht="15" x14ac:dyDescent="0.25">
      <c r="A6" s="50"/>
      <c r="B6" s="3384"/>
      <c r="C6" s="3384" t="s">
        <v>1234</v>
      </c>
      <c r="D6" s="3384" t="s">
        <v>1235</v>
      </c>
      <c r="E6" s="3384" t="s">
        <v>1236</v>
      </c>
      <c r="F6" s="3384" t="s">
        <v>767</v>
      </c>
      <c r="G6" s="3384"/>
      <c r="H6" s="3384"/>
      <c r="I6" s="3384"/>
      <c r="J6" s="3384"/>
      <c r="K6" s="3384" t="s">
        <v>1237</v>
      </c>
      <c r="L6" s="3384"/>
      <c r="M6" s="3384"/>
      <c r="N6" s="3384"/>
      <c r="O6" s="3384"/>
      <c r="P6" s="3384" t="s">
        <v>1238</v>
      </c>
      <c r="Q6" s="3384"/>
      <c r="R6" s="3384"/>
      <c r="S6" s="3384"/>
      <c r="T6" s="3384"/>
      <c r="U6" s="3384" t="s">
        <v>1239</v>
      </c>
      <c r="V6" s="3384"/>
      <c r="W6" s="3384" t="s">
        <v>1240</v>
      </c>
      <c r="X6" s="3384"/>
      <c r="Y6" s="3384"/>
      <c r="Z6" s="3384"/>
      <c r="AA6" s="3384"/>
      <c r="AB6" s="3384" t="s">
        <v>1241</v>
      </c>
      <c r="AC6" s="3384"/>
      <c r="AD6" s="3384"/>
      <c r="AE6" s="3384"/>
      <c r="AF6" s="3384"/>
      <c r="AG6" s="3384" t="s">
        <v>1242</v>
      </c>
      <c r="AH6" s="3384"/>
      <c r="AI6" s="3384"/>
      <c r="AJ6" s="3384"/>
    </row>
    <row r="7" spans="1:36" ht="66.75" customHeight="1" x14ac:dyDescent="0.2">
      <c r="A7" s="59"/>
      <c r="B7" s="3384"/>
      <c r="C7" s="3384"/>
      <c r="D7" s="3384"/>
      <c r="E7" s="3384"/>
      <c r="F7" s="18" t="s">
        <v>1243</v>
      </c>
      <c r="G7" s="18" t="s">
        <v>1244</v>
      </c>
      <c r="H7" s="18" t="s">
        <v>1245</v>
      </c>
      <c r="I7" s="18" t="s">
        <v>1246</v>
      </c>
      <c r="J7" s="18" t="s">
        <v>1247</v>
      </c>
      <c r="K7" s="18" t="s">
        <v>1248</v>
      </c>
      <c r="L7" s="18" t="s">
        <v>1249</v>
      </c>
      <c r="M7" s="18" t="s">
        <v>1250</v>
      </c>
      <c r="N7" s="18" t="s">
        <v>1251</v>
      </c>
      <c r="O7" s="18" t="s">
        <v>1252</v>
      </c>
      <c r="P7" s="18" t="s">
        <v>1253</v>
      </c>
      <c r="Q7" s="18" t="s">
        <v>1254</v>
      </c>
      <c r="R7" s="18" t="s">
        <v>1255</v>
      </c>
      <c r="S7" s="18" t="s">
        <v>1256</v>
      </c>
      <c r="T7" s="18" t="s">
        <v>1257</v>
      </c>
      <c r="U7" s="18" t="s">
        <v>1258</v>
      </c>
      <c r="V7" s="18" t="s">
        <v>1249</v>
      </c>
      <c r="W7" s="18" t="s">
        <v>1259</v>
      </c>
      <c r="X7" s="18" t="s">
        <v>1260</v>
      </c>
      <c r="Y7" s="18" t="s">
        <v>1261</v>
      </c>
      <c r="Z7" s="18" t="s">
        <v>1262</v>
      </c>
      <c r="AA7" s="18" t="s">
        <v>1263</v>
      </c>
      <c r="AB7" s="18" t="s">
        <v>1264</v>
      </c>
      <c r="AC7" s="18" t="s">
        <v>1265</v>
      </c>
      <c r="AD7" s="18" t="s">
        <v>1266</v>
      </c>
      <c r="AE7" s="18" t="s">
        <v>1267</v>
      </c>
      <c r="AF7" s="18" t="s">
        <v>1268</v>
      </c>
      <c r="AG7" s="18" t="s">
        <v>1269</v>
      </c>
      <c r="AH7" s="18" t="s">
        <v>1270</v>
      </c>
      <c r="AI7" s="18" t="s">
        <v>1271</v>
      </c>
      <c r="AJ7" s="18" t="s">
        <v>1272</v>
      </c>
    </row>
    <row r="8" spans="1:36" x14ac:dyDescent="0.2">
      <c r="A8" s="59"/>
      <c r="B8" s="50"/>
      <c r="C8" s="39">
        <v>1</v>
      </c>
      <c r="D8" s="33" t="s">
        <v>12</v>
      </c>
      <c r="E8" s="40"/>
      <c r="F8" s="4"/>
      <c r="G8" s="4"/>
      <c r="H8" s="4"/>
      <c r="I8" s="816">
        <f>MIN(G8,H8)</f>
        <v>0</v>
      </c>
      <c r="J8" s="71"/>
      <c r="K8" s="4"/>
      <c r="L8" s="4"/>
      <c r="M8" s="4"/>
      <c r="N8" s="816">
        <f>MIN(L8,M8)</f>
        <v>0</v>
      </c>
      <c r="O8" s="71"/>
      <c r="P8" s="4"/>
      <c r="Q8" s="4"/>
      <c r="R8" s="4"/>
      <c r="S8" s="816">
        <f>MIN(Q8,R8)</f>
        <v>0</v>
      </c>
      <c r="T8" s="71"/>
      <c r="U8" s="41">
        <v>0</v>
      </c>
      <c r="V8" s="41"/>
      <c r="W8" s="4"/>
      <c r="X8" s="4"/>
      <c r="Y8" s="4"/>
      <c r="Z8" s="816">
        <f>MIN(X8,Y8)</f>
        <v>0</v>
      </c>
      <c r="AA8" s="71"/>
      <c r="AB8" s="4"/>
      <c r="AC8" s="4"/>
      <c r="AD8" s="4"/>
      <c r="AE8" s="816">
        <f>MIN(AC8,AD8)</f>
        <v>0</v>
      </c>
      <c r="AF8" s="71"/>
      <c r="AG8" s="435">
        <f t="shared" ref="AG8:AJ9" si="0">F8+K8+P8+W8+AB8</f>
        <v>0</v>
      </c>
      <c r="AH8" s="435">
        <f t="shared" si="0"/>
        <v>0</v>
      </c>
      <c r="AI8" s="435">
        <f t="shared" si="0"/>
        <v>0</v>
      </c>
      <c r="AJ8" s="435">
        <f t="shared" si="0"/>
        <v>0</v>
      </c>
    </row>
    <row r="9" spans="1:36" x14ac:dyDescent="0.2">
      <c r="A9" s="59"/>
      <c r="B9" s="59"/>
      <c r="C9" s="39">
        <v>2</v>
      </c>
      <c r="D9" s="33" t="s">
        <v>12</v>
      </c>
      <c r="E9" s="40"/>
      <c r="F9" s="4"/>
      <c r="G9" s="4"/>
      <c r="H9" s="4"/>
      <c r="I9" s="816">
        <f>MIN(G9,H9)</f>
        <v>0</v>
      </c>
      <c r="J9" s="71"/>
      <c r="K9" s="17"/>
      <c r="L9" s="4"/>
      <c r="M9" s="4"/>
      <c r="N9" s="816">
        <f>MIN(L9,M9)</f>
        <v>0</v>
      </c>
      <c r="O9" s="71"/>
      <c r="P9" s="17"/>
      <c r="Q9" s="4"/>
      <c r="R9" s="4"/>
      <c r="S9" s="816">
        <f>MIN(Q9,R9)</f>
        <v>0</v>
      </c>
      <c r="T9" s="71"/>
      <c r="U9" s="41"/>
      <c r="V9" s="41"/>
      <c r="W9" s="17"/>
      <c r="X9" s="4"/>
      <c r="Y9" s="4"/>
      <c r="Z9" s="816">
        <f>MIN(X9,Y9)</f>
        <v>0</v>
      </c>
      <c r="AA9" s="71"/>
      <c r="AB9" s="17"/>
      <c r="AC9" s="4"/>
      <c r="AD9" s="4"/>
      <c r="AE9" s="816">
        <f>MIN(AC9,AD9)</f>
        <v>0</v>
      </c>
      <c r="AF9" s="71"/>
      <c r="AG9" s="435">
        <f t="shared" si="0"/>
        <v>0</v>
      </c>
      <c r="AH9" s="435">
        <f t="shared" si="0"/>
        <v>0</v>
      </c>
      <c r="AI9" s="435">
        <f t="shared" si="0"/>
        <v>0</v>
      </c>
      <c r="AJ9" s="435">
        <f t="shared" si="0"/>
        <v>0</v>
      </c>
    </row>
    <row r="10" spans="1:36" x14ac:dyDescent="0.2">
      <c r="A10" s="59"/>
      <c r="B10" s="59"/>
      <c r="C10" s="39">
        <v>3</v>
      </c>
      <c r="D10" s="33" t="s">
        <v>12</v>
      </c>
      <c r="E10" s="40"/>
      <c r="F10" s="4"/>
      <c r="G10" s="4"/>
      <c r="H10" s="4"/>
      <c r="I10" s="816">
        <f>MIN(G10,H10)</f>
        <v>0</v>
      </c>
      <c r="J10" s="71"/>
      <c r="K10" s="17"/>
      <c r="L10" s="4"/>
      <c r="M10" s="4"/>
      <c r="N10" s="816">
        <f>MIN(L10,M10)</f>
        <v>0</v>
      </c>
      <c r="O10" s="71"/>
      <c r="P10" s="17"/>
      <c r="Q10" s="4"/>
      <c r="R10" s="4"/>
      <c r="S10" s="816">
        <f>MIN(Q10,R10)</f>
        <v>0</v>
      </c>
      <c r="T10" s="71"/>
      <c r="U10" s="41">
        <v>0</v>
      </c>
      <c r="V10" s="41"/>
      <c r="W10" s="17"/>
      <c r="X10" s="4"/>
      <c r="Y10" s="4"/>
      <c r="Z10" s="816">
        <f>MIN(X10,Y10)</f>
        <v>0</v>
      </c>
      <c r="AA10" s="71"/>
      <c r="AB10" s="17"/>
      <c r="AC10" s="4"/>
      <c r="AD10" s="4"/>
      <c r="AE10" s="816">
        <f>MIN(AC10,AD10)</f>
        <v>0</v>
      </c>
      <c r="AF10" s="71"/>
      <c r="AG10" s="435">
        <f t="shared" ref="AG10:AJ12" si="1">F10+K10+P10+W10+AB10</f>
        <v>0</v>
      </c>
      <c r="AH10" s="435">
        <f t="shared" si="1"/>
        <v>0</v>
      </c>
      <c r="AI10" s="435">
        <f t="shared" si="1"/>
        <v>0</v>
      </c>
      <c r="AJ10" s="435">
        <f t="shared" si="1"/>
        <v>0</v>
      </c>
    </row>
    <row r="11" spans="1:36" x14ac:dyDescent="0.2">
      <c r="A11" s="59"/>
      <c r="B11" s="59"/>
      <c r="C11" s="39">
        <v>4</v>
      </c>
      <c r="D11" s="33" t="s">
        <v>12</v>
      </c>
      <c r="E11" s="40"/>
      <c r="F11" s="4"/>
      <c r="G11" s="4"/>
      <c r="H11" s="4"/>
      <c r="I11" s="816">
        <f>MIN(G11,H11)</f>
        <v>0</v>
      </c>
      <c r="J11" s="71"/>
      <c r="K11" s="17"/>
      <c r="L11" s="4"/>
      <c r="M11" s="4"/>
      <c r="N11" s="816">
        <f>MIN(L11,M11)</f>
        <v>0</v>
      </c>
      <c r="O11" s="71"/>
      <c r="P11" s="17"/>
      <c r="Q11" s="4"/>
      <c r="R11" s="4"/>
      <c r="S11" s="816">
        <f>MIN(Q11,R11)</f>
        <v>0</v>
      </c>
      <c r="T11" s="71"/>
      <c r="U11" s="41">
        <v>1</v>
      </c>
      <c r="V11" s="41"/>
      <c r="W11" s="17"/>
      <c r="X11" s="4"/>
      <c r="Y11" s="4"/>
      <c r="Z11" s="816">
        <f>MIN(X11,Y11)</f>
        <v>0</v>
      </c>
      <c r="AA11" s="71"/>
      <c r="AB11" s="17"/>
      <c r="AC11" s="4"/>
      <c r="AD11" s="4"/>
      <c r="AE11" s="816">
        <f>MIN(AC11,AD11)</f>
        <v>0</v>
      </c>
      <c r="AF11" s="71"/>
      <c r="AG11" s="435">
        <f t="shared" si="1"/>
        <v>0</v>
      </c>
      <c r="AH11" s="435">
        <f t="shared" si="1"/>
        <v>0</v>
      </c>
      <c r="AI11" s="435">
        <f t="shared" si="1"/>
        <v>0</v>
      </c>
      <c r="AJ11" s="435">
        <f t="shared" si="1"/>
        <v>0</v>
      </c>
    </row>
    <row r="12" spans="1:36" x14ac:dyDescent="0.2">
      <c r="A12" s="59"/>
      <c r="B12" s="59"/>
      <c r="C12" s="39">
        <v>5</v>
      </c>
      <c r="D12" s="33" t="s">
        <v>12</v>
      </c>
      <c r="E12" s="40"/>
      <c r="F12" s="4"/>
      <c r="G12" s="4"/>
      <c r="H12" s="4"/>
      <c r="I12" s="816">
        <f>MIN(G12,H12)</f>
        <v>0</v>
      </c>
      <c r="J12" s="71"/>
      <c r="K12" s="17"/>
      <c r="L12" s="4"/>
      <c r="M12" s="4"/>
      <c r="N12" s="816">
        <f>MIN(L12,M12)</f>
        <v>0</v>
      </c>
      <c r="O12" s="71"/>
      <c r="P12" s="17"/>
      <c r="Q12" s="4"/>
      <c r="R12" s="4"/>
      <c r="S12" s="816">
        <f>MIN(Q12,R12)</f>
        <v>0</v>
      </c>
      <c r="T12" s="71"/>
      <c r="U12" s="41">
        <v>2</v>
      </c>
      <c r="V12" s="41"/>
      <c r="W12" s="17"/>
      <c r="X12" s="4"/>
      <c r="Y12" s="4"/>
      <c r="Z12" s="816">
        <f>MIN(X12,Y12)</f>
        <v>0</v>
      </c>
      <c r="AA12" s="71"/>
      <c r="AB12" s="17"/>
      <c r="AC12" s="4"/>
      <c r="AD12" s="4"/>
      <c r="AE12" s="816">
        <f>MIN(AC12,AD12)</f>
        <v>0</v>
      </c>
      <c r="AF12" s="71"/>
      <c r="AG12" s="435">
        <f t="shared" si="1"/>
        <v>0</v>
      </c>
      <c r="AH12" s="435">
        <f t="shared" si="1"/>
        <v>0</v>
      </c>
      <c r="AI12" s="435">
        <f t="shared" si="1"/>
        <v>0</v>
      </c>
      <c r="AJ12" s="435">
        <f t="shared" si="1"/>
        <v>0</v>
      </c>
    </row>
    <row r="13" spans="1:36" x14ac:dyDescent="0.2">
      <c r="A13" s="60"/>
      <c r="B13" s="60"/>
      <c r="C13" s="5"/>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row>
    <row r="14" spans="1:36" s="117" customFormat="1" x14ac:dyDescent="0.2"/>
    <row r="15" spans="1:36" s="117" customFormat="1" x14ac:dyDescent="0.2">
      <c r="F15" s="3277"/>
      <c r="G15" s="3277"/>
      <c r="H15" s="3277"/>
      <c r="I15" s="3277"/>
      <c r="J15" s="3277"/>
      <c r="K15" s="3277"/>
      <c r="L15" s="3277"/>
      <c r="M15" s="3277"/>
      <c r="N15" s="3277"/>
      <c r="O15" s="3277"/>
      <c r="P15" s="3277"/>
      <c r="Q15" s="3277"/>
      <c r="R15" s="3277"/>
      <c r="S15" s="3277"/>
    </row>
    <row r="16" spans="1:36" s="117" customFormat="1" x14ac:dyDescent="0.2">
      <c r="F16" s="3277"/>
      <c r="G16" s="3277"/>
      <c r="H16" s="3277"/>
      <c r="I16" s="3277"/>
      <c r="J16" s="3277"/>
      <c r="K16" s="3277"/>
      <c r="L16" s="3277"/>
      <c r="M16" s="3277"/>
      <c r="N16" s="3277"/>
      <c r="O16" s="3277"/>
      <c r="P16" s="3277"/>
      <c r="Q16" s="3277"/>
      <c r="R16" s="3277"/>
      <c r="S16" s="3277"/>
    </row>
    <row r="17" spans="6:19" s="117" customFormat="1" x14ac:dyDescent="0.2">
      <c r="F17" s="3277"/>
      <c r="G17" s="3277"/>
      <c r="H17" s="3277"/>
      <c r="I17" s="3277"/>
      <c r="J17" s="3277"/>
      <c r="K17" s="3277"/>
      <c r="L17" s="3277"/>
      <c r="M17" s="3277"/>
      <c r="N17" s="3277"/>
      <c r="O17" s="3277"/>
      <c r="P17" s="3277"/>
      <c r="Q17" s="3277"/>
      <c r="R17" s="3277"/>
      <c r="S17" s="3277"/>
    </row>
    <row r="18" spans="6:19" s="117" customFormat="1" hidden="1" x14ac:dyDescent="0.2"/>
    <row r="19" spans="6:19" hidden="1" x14ac:dyDescent="0.2"/>
    <row r="20" spans="6:19" hidden="1" x14ac:dyDescent="0.2"/>
    <row r="21" spans="6:19" hidden="1" x14ac:dyDescent="0.2"/>
    <row r="22" spans="6:19" hidden="1" x14ac:dyDescent="0.2"/>
    <row r="23" spans="6:19" hidden="1" x14ac:dyDescent="0.2"/>
    <row r="24" spans="6:19" hidden="1" x14ac:dyDescent="0.2"/>
    <row r="25" spans="6:19" hidden="1" x14ac:dyDescent="0.2"/>
    <row r="26" spans="6:19" hidden="1" x14ac:dyDescent="0.2"/>
    <row r="27" spans="6:19" hidden="1" x14ac:dyDescent="0.2"/>
    <row r="28" spans="6:19" hidden="1" x14ac:dyDescent="0.2"/>
    <row r="29" spans="6:19" hidden="1" x14ac:dyDescent="0.2"/>
    <row r="30" spans="6:19" hidden="1" x14ac:dyDescent="0.2"/>
    <row r="31" spans="6:19" hidden="1" x14ac:dyDescent="0.2"/>
    <row r="32" spans="6:19" hidden="1" x14ac:dyDescent="0.2"/>
    <row r="33" spans="2:2" hidden="1" x14ac:dyDescent="0.2"/>
    <row r="34" spans="2:2" hidden="1" x14ac:dyDescent="0.2"/>
    <row r="35" spans="2:2" hidden="1" x14ac:dyDescent="0.2"/>
    <row r="36" spans="2:2" hidden="1" x14ac:dyDescent="0.2"/>
    <row r="37" spans="2:2" hidden="1" x14ac:dyDescent="0.2">
      <c r="B37" s="113" t="s">
        <v>12</v>
      </c>
    </row>
    <row r="38" spans="2:2" hidden="1" x14ac:dyDescent="0.2">
      <c r="B38" s="113" t="s">
        <v>1353</v>
      </c>
    </row>
    <row r="39" spans="2:2" hidden="1" x14ac:dyDescent="0.2">
      <c r="B39" s="113" t="s">
        <v>7955</v>
      </c>
    </row>
    <row r="40" spans="2:2" hidden="1" x14ac:dyDescent="0.2">
      <c r="B40" s="113" t="s">
        <v>1354</v>
      </c>
    </row>
    <row r="41" spans="2:2" hidden="1" x14ac:dyDescent="0.2">
      <c r="B41" s="113" t="s">
        <v>1355</v>
      </c>
    </row>
    <row r="42" spans="2:2" hidden="1" x14ac:dyDescent="0.2">
      <c r="B42" s="113" t="s">
        <v>7837</v>
      </c>
    </row>
    <row r="43" spans="2:2" hidden="1" x14ac:dyDescent="0.2">
      <c r="B43" s="113" t="s">
        <v>1356</v>
      </c>
    </row>
    <row r="44" spans="2:2" hidden="1" x14ac:dyDescent="0.2">
      <c r="B44" s="113" t="s">
        <v>1357</v>
      </c>
    </row>
    <row r="45" spans="2:2" hidden="1" x14ac:dyDescent="0.2">
      <c r="B45" s="113" t="s">
        <v>7838</v>
      </c>
    </row>
    <row r="46" spans="2:2" hidden="1" x14ac:dyDescent="0.2">
      <c r="B46" s="113" t="s">
        <v>7839</v>
      </c>
    </row>
    <row r="47" spans="2:2" hidden="1" x14ac:dyDescent="0.2">
      <c r="B47" s="113" t="s">
        <v>1358</v>
      </c>
    </row>
    <row r="48" spans="2:2" hidden="1" x14ac:dyDescent="0.2">
      <c r="B48" s="113" t="s">
        <v>1359</v>
      </c>
    </row>
    <row r="49" spans="2:2" hidden="1" x14ac:dyDescent="0.2">
      <c r="B49" s="113" t="s">
        <v>1360</v>
      </c>
    </row>
    <row r="50" spans="2:2" hidden="1" x14ac:dyDescent="0.2">
      <c r="B50" s="113" t="s">
        <v>7840</v>
      </c>
    </row>
    <row r="51" spans="2:2" hidden="1" x14ac:dyDescent="0.2">
      <c r="B51" s="113" t="s">
        <v>1361</v>
      </c>
    </row>
    <row r="52" spans="2:2" hidden="1" x14ac:dyDescent="0.2">
      <c r="B52" s="113" t="s">
        <v>1362</v>
      </c>
    </row>
    <row r="53" spans="2:2" hidden="1" x14ac:dyDescent="0.2">
      <c r="B53" s="113" t="s">
        <v>1363</v>
      </c>
    </row>
    <row r="54" spans="2:2" hidden="1" x14ac:dyDescent="0.2">
      <c r="B54" s="113" t="s">
        <v>1364</v>
      </c>
    </row>
    <row r="55" spans="2:2" hidden="1" x14ac:dyDescent="0.2">
      <c r="B55" s="113" t="s">
        <v>1365</v>
      </c>
    </row>
    <row r="56" spans="2:2" hidden="1" x14ac:dyDescent="0.2">
      <c r="B56" s="113" t="s">
        <v>1366</v>
      </c>
    </row>
    <row r="57" spans="2:2" hidden="1" x14ac:dyDescent="0.2">
      <c r="B57" s="113" t="s">
        <v>1367</v>
      </c>
    </row>
    <row r="58" spans="2:2" hidden="1" x14ac:dyDescent="0.2">
      <c r="B58" s="113" t="s">
        <v>1368</v>
      </c>
    </row>
    <row r="59" spans="2:2" hidden="1" x14ac:dyDescent="0.2">
      <c r="B59" s="113" t="s">
        <v>1369</v>
      </c>
    </row>
    <row r="60" spans="2:2" hidden="1" x14ac:dyDescent="0.2">
      <c r="B60" s="113" t="s">
        <v>1370</v>
      </c>
    </row>
    <row r="61" spans="2:2" hidden="1" x14ac:dyDescent="0.2">
      <c r="B61" s="113" t="s">
        <v>1371</v>
      </c>
    </row>
    <row r="62" spans="2:2" hidden="1" x14ac:dyDescent="0.2">
      <c r="B62" s="113" t="s">
        <v>7841</v>
      </c>
    </row>
    <row r="63" spans="2:2" hidden="1" x14ac:dyDescent="0.2">
      <c r="B63" s="113" t="s">
        <v>1372</v>
      </c>
    </row>
    <row r="64" spans="2:2" hidden="1" x14ac:dyDescent="0.2">
      <c r="B64" s="113" t="s">
        <v>7842</v>
      </c>
    </row>
    <row r="65" spans="2:2" hidden="1" x14ac:dyDescent="0.2">
      <c r="B65" s="113" t="s">
        <v>7843</v>
      </c>
    </row>
    <row r="66" spans="2:2" hidden="1" x14ac:dyDescent="0.2">
      <c r="B66" s="113" t="s">
        <v>1373</v>
      </c>
    </row>
    <row r="67" spans="2:2" hidden="1" x14ac:dyDescent="0.2">
      <c r="B67" s="113" t="s">
        <v>1374</v>
      </c>
    </row>
    <row r="68" spans="2:2" hidden="1" x14ac:dyDescent="0.2">
      <c r="B68" s="113" t="s">
        <v>7844</v>
      </c>
    </row>
    <row r="69" spans="2:2" hidden="1" x14ac:dyDescent="0.2">
      <c r="B69" s="113" t="s">
        <v>1375</v>
      </c>
    </row>
    <row r="70" spans="2:2" hidden="1" x14ac:dyDescent="0.2">
      <c r="B70" s="113" t="s">
        <v>7845</v>
      </c>
    </row>
    <row r="71" spans="2:2" hidden="1" x14ac:dyDescent="0.2">
      <c r="B71" s="113" t="s">
        <v>1376</v>
      </c>
    </row>
    <row r="72" spans="2:2" hidden="1" x14ac:dyDescent="0.2">
      <c r="B72" s="113" t="s">
        <v>1377</v>
      </c>
    </row>
    <row r="73" spans="2:2" hidden="1" x14ac:dyDescent="0.2">
      <c r="B73" s="113" t="s">
        <v>1378</v>
      </c>
    </row>
    <row r="74" spans="2:2" hidden="1" x14ac:dyDescent="0.2">
      <c r="B74" s="113" t="s">
        <v>1379</v>
      </c>
    </row>
    <row r="75" spans="2:2" hidden="1" x14ac:dyDescent="0.2">
      <c r="B75" s="113" t="s">
        <v>7846</v>
      </c>
    </row>
    <row r="76" spans="2:2" hidden="1" x14ac:dyDescent="0.2">
      <c r="B76" s="113" t="s">
        <v>1380</v>
      </c>
    </row>
    <row r="77" spans="2:2" hidden="1" x14ac:dyDescent="0.2">
      <c r="B77" s="113" t="s">
        <v>1381</v>
      </c>
    </row>
    <row r="78" spans="2:2" hidden="1" x14ac:dyDescent="0.2">
      <c r="B78" s="113" t="s">
        <v>1382</v>
      </c>
    </row>
    <row r="79" spans="2:2" hidden="1" x14ac:dyDescent="0.2">
      <c r="B79" s="113" t="s">
        <v>7847</v>
      </c>
    </row>
    <row r="80" spans="2:2" hidden="1" x14ac:dyDescent="0.2">
      <c r="B80" s="113" t="s">
        <v>1383</v>
      </c>
    </row>
    <row r="81" spans="2:2" hidden="1" x14ac:dyDescent="0.2">
      <c r="B81" s="113" t="s">
        <v>1384</v>
      </c>
    </row>
    <row r="82" spans="2:2" hidden="1" x14ac:dyDescent="0.2">
      <c r="B82" s="113" t="s">
        <v>1385</v>
      </c>
    </row>
    <row r="83" spans="2:2" hidden="1" x14ac:dyDescent="0.2">
      <c r="B83" s="113" t="s">
        <v>1386</v>
      </c>
    </row>
    <row r="84" spans="2:2" hidden="1" x14ac:dyDescent="0.2">
      <c r="B84" s="113" t="s">
        <v>7848</v>
      </c>
    </row>
    <row r="85" spans="2:2" hidden="1" x14ac:dyDescent="0.2">
      <c r="B85" s="113" t="s">
        <v>7849</v>
      </c>
    </row>
    <row r="86" spans="2:2" hidden="1" x14ac:dyDescent="0.2">
      <c r="B86" s="113" t="s">
        <v>1387</v>
      </c>
    </row>
    <row r="87" spans="2:2" hidden="1" x14ac:dyDescent="0.2">
      <c r="B87" s="113" t="s">
        <v>1388</v>
      </c>
    </row>
    <row r="88" spans="2:2" hidden="1" x14ac:dyDescent="0.2">
      <c r="B88" s="113" t="s">
        <v>7850</v>
      </c>
    </row>
    <row r="89" spans="2:2" hidden="1" x14ac:dyDescent="0.2">
      <c r="B89" s="113" t="s">
        <v>7851</v>
      </c>
    </row>
    <row r="90" spans="2:2" hidden="1" x14ac:dyDescent="0.2">
      <c r="B90" s="113" t="s">
        <v>7852</v>
      </c>
    </row>
    <row r="91" spans="2:2" hidden="1" x14ac:dyDescent="0.2">
      <c r="B91" s="113" t="s">
        <v>1389</v>
      </c>
    </row>
    <row r="92" spans="2:2" hidden="1" x14ac:dyDescent="0.2">
      <c r="B92" s="113" t="s">
        <v>7956</v>
      </c>
    </row>
    <row r="93" spans="2:2" hidden="1" x14ac:dyDescent="0.2">
      <c r="B93" s="113" t="s">
        <v>1390</v>
      </c>
    </row>
    <row r="94" spans="2:2" hidden="1" x14ac:dyDescent="0.2">
      <c r="B94" s="113" t="s">
        <v>1391</v>
      </c>
    </row>
    <row r="95" spans="2:2" hidden="1" x14ac:dyDescent="0.2">
      <c r="B95" s="113" t="s">
        <v>7957</v>
      </c>
    </row>
    <row r="96" spans="2:2" hidden="1" x14ac:dyDescent="0.2">
      <c r="B96" s="113" t="s">
        <v>1392</v>
      </c>
    </row>
    <row r="97" spans="2:2" hidden="1" x14ac:dyDescent="0.2">
      <c r="B97" s="113" t="s">
        <v>7853</v>
      </c>
    </row>
    <row r="98" spans="2:2" hidden="1" x14ac:dyDescent="0.2">
      <c r="B98" s="113" t="s">
        <v>1393</v>
      </c>
    </row>
    <row r="99" spans="2:2" hidden="1" x14ac:dyDescent="0.2">
      <c r="B99" s="113" t="s">
        <v>1394</v>
      </c>
    </row>
    <row r="100" spans="2:2" hidden="1" x14ac:dyDescent="0.2">
      <c r="B100" s="113" t="s">
        <v>1395</v>
      </c>
    </row>
    <row r="101" spans="2:2" hidden="1" x14ac:dyDescent="0.2">
      <c r="B101" s="113" t="s">
        <v>1396</v>
      </c>
    </row>
    <row r="102" spans="2:2" hidden="1" x14ac:dyDescent="0.2">
      <c r="B102" s="113" t="s">
        <v>1397</v>
      </c>
    </row>
    <row r="103" spans="2:2" hidden="1" x14ac:dyDescent="0.2">
      <c r="B103" s="113" t="s">
        <v>1398</v>
      </c>
    </row>
    <row r="104" spans="2:2" hidden="1" x14ac:dyDescent="0.2">
      <c r="B104" s="113" t="s">
        <v>1399</v>
      </c>
    </row>
    <row r="105" spans="2:2" hidden="1" x14ac:dyDescent="0.2">
      <c r="B105" s="113" t="s">
        <v>1400</v>
      </c>
    </row>
    <row r="106" spans="2:2" hidden="1" x14ac:dyDescent="0.2">
      <c r="B106" s="113" t="s">
        <v>1401</v>
      </c>
    </row>
    <row r="107" spans="2:2" hidden="1" x14ac:dyDescent="0.2">
      <c r="B107" s="113" t="s">
        <v>1402</v>
      </c>
    </row>
    <row r="108" spans="2:2" hidden="1" x14ac:dyDescent="0.2">
      <c r="B108" s="113" t="s">
        <v>1403</v>
      </c>
    </row>
    <row r="109" spans="2:2" hidden="1" x14ac:dyDescent="0.2">
      <c r="B109" s="113" t="s">
        <v>7854</v>
      </c>
    </row>
    <row r="110" spans="2:2" hidden="1" x14ac:dyDescent="0.2">
      <c r="B110" s="113" t="s">
        <v>7855</v>
      </c>
    </row>
    <row r="111" spans="2:2" hidden="1" x14ac:dyDescent="0.2">
      <c r="B111" s="113" t="s">
        <v>7856</v>
      </c>
    </row>
    <row r="112" spans="2:2" hidden="1" x14ac:dyDescent="0.2">
      <c r="B112" s="113" t="s">
        <v>1404</v>
      </c>
    </row>
    <row r="113" spans="2:2" hidden="1" x14ac:dyDescent="0.2">
      <c r="B113" s="113" t="s">
        <v>1405</v>
      </c>
    </row>
    <row r="114" spans="2:2" hidden="1" x14ac:dyDescent="0.2">
      <c r="B114" s="113" t="s">
        <v>7857</v>
      </c>
    </row>
    <row r="115" spans="2:2" hidden="1" x14ac:dyDescent="0.2">
      <c r="B115" s="113" t="s">
        <v>7858</v>
      </c>
    </row>
    <row r="116" spans="2:2" hidden="1" x14ac:dyDescent="0.2">
      <c r="B116" s="113" t="s">
        <v>7859</v>
      </c>
    </row>
    <row r="117" spans="2:2" hidden="1" x14ac:dyDescent="0.2">
      <c r="B117" s="113" t="s">
        <v>1406</v>
      </c>
    </row>
    <row r="118" spans="2:2" hidden="1" x14ac:dyDescent="0.2">
      <c r="B118" s="113" t="s">
        <v>1407</v>
      </c>
    </row>
    <row r="119" spans="2:2" hidden="1" x14ac:dyDescent="0.2">
      <c r="B119" s="113" t="s">
        <v>1408</v>
      </c>
    </row>
    <row r="120" spans="2:2" hidden="1" x14ac:dyDescent="0.2">
      <c r="B120" s="113" t="s">
        <v>1409</v>
      </c>
    </row>
    <row r="121" spans="2:2" hidden="1" x14ac:dyDescent="0.2">
      <c r="B121" s="113" t="s">
        <v>1410</v>
      </c>
    </row>
    <row r="122" spans="2:2" hidden="1" x14ac:dyDescent="0.2">
      <c r="B122" s="113" t="s">
        <v>7860</v>
      </c>
    </row>
    <row r="123" spans="2:2" hidden="1" x14ac:dyDescent="0.2">
      <c r="B123" s="113" t="s">
        <v>1411</v>
      </c>
    </row>
    <row r="124" spans="2:2" hidden="1" x14ac:dyDescent="0.2">
      <c r="B124" s="113" t="s">
        <v>7861</v>
      </c>
    </row>
    <row r="125" spans="2:2" hidden="1" x14ac:dyDescent="0.2">
      <c r="B125" s="113" t="s">
        <v>1412</v>
      </c>
    </row>
    <row r="126" spans="2:2" hidden="1" x14ac:dyDescent="0.2">
      <c r="B126" s="113" t="s">
        <v>7862</v>
      </c>
    </row>
    <row r="127" spans="2:2" hidden="1" x14ac:dyDescent="0.2">
      <c r="B127" s="113" t="s">
        <v>7863</v>
      </c>
    </row>
    <row r="128" spans="2:2" hidden="1" x14ac:dyDescent="0.2">
      <c r="B128" s="113" t="s">
        <v>1413</v>
      </c>
    </row>
    <row r="129" spans="2:2" hidden="1" x14ac:dyDescent="0.2">
      <c r="B129" s="113" t="s">
        <v>7864</v>
      </c>
    </row>
    <row r="130" spans="2:2" hidden="1" x14ac:dyDescent="0.2">
      <c r="B130" s="113" t="s">
        <v>1414</v>
      </c>
    </row>
    <row r="131" spans="2:2" hidden="1" x14ac:dyDescent="0.2">
      <c r="B131" s="113" t="s">
        <v>1415</v>
      </c>
    </row>
    <row r="132" spans="2:2" hidden="1" x14ac:dyDescent="0.2">
      <c r="B132" s="113" t="s">
        <v>1416</v>
      </c>
    </row>
    <row r="133" spans="2:2" hidden="1" x14ac:dyDescent="0.2">
      <c r="B133" s="113" t="s">
        <v>1417</v>
      </c>
    </row>
    <row r="134" spans="2:2" hidden="1" x14ac:dyDescent="0.2">
      <c r="B134" s="113" t="s">
        <v>7865</v>
      </c>
    </row>
    <row r="135" spans="2:2" hidden="1" x14ac:dyDescent="0.2">
      <c r="B135" s="113" t="s">
        <v>7866</v>
      </c>
    </row>
    <row r="136" spans="2:2" hidden="1" x14ac:dyDescent="0.2">
      <c r="B136" s="113" t="s">
        <v>1418</v>
      </c>
    </row>
    <row r="137" spans="2:2" hidden="1" x14ac:dyDescent="0.2">
      <c r="B137" s="113" t="s">
        <v>7867</v>
      </c>
    </row>
    <row r="138" spans="2:2" hidden="1" x14ac:dyDescent="0.2">
      <c r="B138" s="113" t="s">
        <v>1419</v>
      </c>
    </row>
    <row r="139" spans="2:2" hidden="1" x14ac:dyDescent="0.2">
      <c r="B139" s="113" t="s">
        <v>1420</v>
      </c>
    </row>
    <row r="140" spans="2:2" hidden="1" x14ac:dyDescent="0.2">
      <c r="B140" s="113" t="s">
        <v>1421</v>
      </c>
    </row>
    <row r="141" spans="2:2" hidden="1" x14ac:dyDescent="0.2">
      <c r="B141" s="113" t="s">
        <v>7868</v>
      </c>
    </row>
    <row r="142" spans="2:2" hidden="1" x14ac:dyDescent="0.2">
      <c r="B142" s="113" t="s">
        <v>1422</v>
      </c>
    </row>
    <row r="143" spans="2:2" hidden="1" x14ac:dyDescent="0.2">
      <c r="B143" s="113" t="s">
        <v>1423</v>
      </c>
    </row>
    <row r="144" spans="2:2" hidden="1" x14ac:dyDescent="0.2">
      <c r="B144" s="113" t="s">
        <v>7869</v>
      </c>
    </row>
    <row r="145" spans="2:2" hidden="1" x14ac:dyDescent="0.2">
      <c r="B145" s="113" t="s">
        <v>1424</v>
      </c>
    </row>
    <row r="146" spans="2:2" hidden="1" x14ac:dyDescent="0.2">
      <c r="B146" s="113" t="s">
        <v>1425</v>
      </c>
    </row>
    <row r="147" spans="2:2" hidden="1" x14ac:dyDescent="0.2">
      <c r="B147" s="113" t="s">
        <v>1426</v>
      </c>
    </row>
    <row r="148" spans="2:2" hidden="1" x14ac:dyDescent="0.2">
      <c r="B148" s="113" t="s">
        <v>1427</v>
      </c>
    </row>
    <row r="149" spans="2:2" hidden="1" x14ac:dyDescent="0.2">
      <c r="B149" s="113" t="s">
        <v>7870</v>
      </c>
    </row>
    <row r="150" spans="2:2" hidden="1" x14ac:dyDescent="0.2">
      <c r="B150" s="113" t="s">
        <v>1428</v>
      </c>
    </row>
    <row r="151" spans="2:2" hidden="1" x14ac:dyDescent="0.2">
      <c r="B151" s="113" t="s">
        <v>1429</v>
      </c>
    </row>
    <row r="152" spans="2:2" hidden="1" x14ac:dyDescent="0.2">
      <c r="B152" s="113" t="s">
        <v>1430</v>
      </c>
    </row>
    <row r="153" spans="2:2" hidden="1" x14ac:dyDescent="0.2">
      <c r="B153" s="113" t="s">
        <v>1431</v>
      </c>
    </row>
    <row r="154" spans="2:2" hidden="1" x14ac:dyDescent="0.2">
      <c r="B154" s="113" t="s">
        <v>7958</v>
      </c>
    </row>
    <row r="155" spans="2:2" hidden="1" x14ac:dyDescent="0.2">
      <c r="B155" s="113" t="s">
        <v>7871</v>
      </c>
    </row>
    <row r="156" spans="2:2" hidden="1" x14ac:dyDescent="0.2">
      <c r="B156" s="113" t="s">
        <v>1432</v>
      </c>
    </row>
    <row r="157" spans="2:2" hidden="1" x14ac:dyDescent="0.2">
      <c r="B157" s="113" t="s">
        <v>1433</v>
      </c>
    </row>
    <row r="158" spans="2:2" hidden="1" x14ac:dyDescent="0.2">
      <c r="B158" s="113" t="s">
        <v>7959</v>
      </c>
    </row>
    <row r="159" spans="2:2" hidden="1" x14ac:dyDescent="0.2">
      <c r="B159" s="113" t="s">
        <v>1434</v>
      </c>
    </row>
    <row r="160" spans="2:2" hidden="1" x14ac:dyDescent="0.2">
      <c r="B160" s="113" t="s">
        <v>1435</v>
      </c>
    </row>
    <row r="161" spans="2:2" hidden="1" x14ac:dyDescent="0.2">
      <c r="B161" s="113" t="s">
        <v>1436</v>
      </c>
    </row>
    <row r="162" spans="2:2" hidden="1" x14ac:dyDescent="0.2">
      <c r="B162" s="113" t="s">
        <v>1437</v>
      </c>
    </row>
    <row r="163" spans="2:2" hidden="1" x14ac:dyDescent="0.2">
      <c r="B163" s="113" t="s">
        <v>1438</v>
      </c>
    </row>
    <row r="164" spans="2:2" hidden="1" x14ac:dyDescent="0.2">
      <c r="B164" s="113" t="s">
        <v>1439</v>
      </c>
    </row>
    <row r="165" spans="2:2" hidden="1" x14ac:dyDescent="0.2">
      <c r="B165" s="113" t="s">
        <v>1440</v>
      </c>
    </row>
    <row r="166" spans="2:2" hidden="1" x14ac:dyDescent="0.2">
      <c r="B166" s="113" t="s">
        <v>1441</v>
      </c>
    </row>
    <row r="167" spans="2:2" hidden="1" x14ac:dyDescent="0.2">
      <c r="B167" s="113" t="s">
        <v>7872</v>
      </c>
    </row>
    <row r="168" spans="2:2" hidden="1" x14ac:dyDescent="0.2">
      <c r="B168" s="113" t="s">
        <v>7873</v>
      </c>
    </row>
    <row r="169" spans="2:2" hidden="1" x14ac:dyDescent="0.2">
      <c r="B169" s="113" t="s">
        <v>1442</v>
      </c>
    </row>
    <row r="170" spans="2:2" hidden="1" x14ac:dyDescent="0.2">
      <c r="B170" s="113" t="s">
        <v>1443</v>
      </c>
    </row>
    <row r="171" spans="2:2" hidden="1" x14ac:dyDescent="0.2">
      <c r="B171" s="113" t="s">
        <v>1444</v>
      </c>
    </row>
    <row r="172" spans="2:2" hidden="1" x14ac:dyDescent="0.2">
      <c r="B172" s="113" t="s">
        <v>1445</v>
      </c>
    </row>
    <row r="173" spans="2:2" hidden="1" x14ac:dyDescent="0.2">
      <c r="B173" s="113" t="s">
        <v>1446</v>
      </c>
    </row>
    <row r="174" spans="2:2" hidden="1" x14ac:dyDescent="0.2">
      <c r="B174" s="113" t="s">
        <v>1447</v>
      </c>
    </row>
    <row r="175" spans="2:2" hidden="1" x14ac:dyDescent="0.2">
      <c r="B175" s="113" t="s">
        <v>1448</v>
      </c>
    </row>
    <row r="176" spans="2:2" hidden="1" x14ac:dyDescent="0.2">
      <c r="B176" s="113" t="s">
        <v>7874</v>
      </c>
    </row>
    <row r="177" spans="2:2" hidden="1" x14ac:dyDescent="0.2">
      <c r="B177" s="113" t="s">
        <v>1449</v>
      </c>
    </row>
    <row r="178" spans="2:2" hidden="1" x14ac:dyDescent="0.2">
      <c r="B178" s="113" t="s">
        <v>1450</v>
      </c>
    </row>
    <row r="179" spans="2:2" hidden="1" x14ac:dyDescent="0.2">
      <c r="B179" s="113" t="s">
        <v>7875</v>
      </c>
    </row>
    <row r="180" spans="2:2" hidden="1" x14ac:dyDescent="0.2">
      <c r="B180" s="113" t="s">
        <v>1451</v>
      </c>
    </row>
    <row r="181" spans="2:2" hidden="1" x14ac:dyDescent="0.2">
      <c r="B181" s="113" t="s">
        <v>7876</v>
      </c>
    </row>
    <row r="182" spans="2:2" hidden="1" x14ac:dyDescent="0.2">
      <c r="B182" s="113" t="s">
        <v>7877</v>
      </c>
    </row>
    <row r="183" spans="2:2" hidden="1" x14ac:dyDescent="0.2">
      <c r="B183" s="113" t="s">
        <v>1452</v>
      </c>
    </row>
    <row r="184" spans="2:2" hidden="1" x14ac:dyDescent="0.2">
      <c r="B184" s="113" t="s">
        <v>1453</v>
      </c>
    </row>
    <row r="185" spans="2:2" hidden="1" x14ac:dyDescent="0.2">
      <c r="B185" s="113" t="s">
        <v>1454</v>
      </c>
    </row>
    <row r="186" spans="2:2" hidden="1" x14ac:dyDescent="0.2">
      <c r="B186" s="113" t="s">
        <v>7878</v>
      </c>
    </row>
    <row r="187" spans="2:2" hidden="1" x14ac:dyDescent="0.2">
      <c r="B187" s="113" t="s">
        <v>1455</v>
      </c>
    </row>
    <row r="188" spans="2:2" hidden="1" x14ac:dyDescent="0.2">
      <c r="B188" s="113" t="s">
        <v>1456</v>
      </c>
    </row>
    <row r="189" spans="2:2" hidden="1" x14ac:dyDescent="0.2">
      <c r="B189" s="113" t="s">
        <v>1457</v>
      </c>
    </row>
    <row r="190" spans="2:2" hidden="1" x14ac:dyDescent="0.2">
      <c r="B190" s="113" t="s">
        <v>1458</v>
      </c>
    </row>
    <row r="191" spans="2:2" hidden="1" x14ac:dyDescent="0.2">
      <c r="B191" s="113" t="s">
        <v>1459</v>
      </c>
    </row>
    <row r="192" spans="2:2" hidden="1" x14ac:dyDescent="0.2">
      <c r="B192" s="113" t="s">
        <v>1460</v>
      </c>
    </row>
    <row r="193" spans="2:2" hidden="1" x14ac:dyDescent="0.2">
      <c r="B193" s="113" t="s">
        <v>1461</v>
      </c>
    </row>
    <row r="194" spans="2:2" hidden="1" x14ac:dyDescent="0.2">
      <c r="B194" s="113" t="s">
        <v>7879</v>
      </c>
    </row>
    <row r="195" spans="2:2" hidden="1" x14ac:dyDescent="0.2">
      <c r="B195" s="113" t="s">
        <v>1462</v>
      </c>
    </row>
    <row r="196" spans="2:2" hidden="1" x14ac:dyDescent="0.2">
      <c r="B196" s="113" t="s">
        <v>1463</v>
      </c>
    </row>
    <row r="197" spans="2:2" hidden="1" x14ac:dyDescent="0.2">
      <c r="B197" s="113" t="s">
        <v>1464</v>
      </c>
    </row>
    <row r="198" spans="2:2" hidden="1" x14ac:dyDescent="0.2">
      <c r="B198" s="113" t="s">
        <v>1465</v>
      </c>
    </row>
    <row r="199" spans="2:2" hidden="1" x14ac:dyDescent="0.2">
      <c r="B199" s="113" t="s">
        <v>7880</v>
      </c>
    </row>
    <row r="200" spans="2:2" hidden="1" x14ac:dyDescent="0.2">
      <c r="B200" s="113" t="s">
        <v>7881</v>
      </c>
    </row>
    <row r="201" spans="2:2" hidden="1" x14ac:dyDescent="0.2">
      <c r="B201" s="113" t="s">
        <v>7882</v>
      </c>
    </row>
    <row r="202" spans="2:2" hidden="1" x14ac:dyDescent="0.2">
      <c r="B202" s="113" t="s">
        <v>1466</v>
      </c>
    </row>
    <row r="203" spans="2:2" hidden="1" x14ac:dyDescent="0.2">
      <c r="B203" s="113" t="s">
        <v>1467</v>
      </c>
    </row>
    <row r="204" spans="2:2" hidden="1" x14ac:dyDescent="0.2">
      <c r="B204" s="113" t="s">
        <v>1468</v>
      </c>
    </row>
    <row r="205" spans="2:2" hidden="1" x14ac:dyDescent="0.2">
      <c r="B205" s="113" t="s">
        <v>1469</v>
      </c>
    </row>
    <row r="206" spans="2:2" hidden="1" x14ac:dyDescent="0.2">
      <c r="B206" s="113" t="s">
        <v>7883</v>
      </c>
    </row>
    <row r="207" spans="2:2" hidden="1" x14ac:dyDescent="0.2">
      <c r="B207" s="113" t="s">
        <v>1470</v>
      </c>
    </row>
    <row r="208" spans="2:2" hidden="1" x14ac:dyDescent="0.2">
      <c r="B208" s="113" t="s">
        <v>1471</v>
      </c>
    </row>
    <row r="209" spans="2:2" hidden="1" x14ac:dyDescent="0.2">
      <c r="B209" s="113" t="s">
        <v>1472</v>
      </c>
    </row>
    <row r="210" spans="2:2" hidden="1" x14ac:dyDescent="0.2">
      <c r="B210" s="113" t="s">
        <v>1473</v>
      </c>
    </row>
    <row r="211" spans="2:2" hidden="1" x14ac:dyDescent="0.2">
      <c r="B211" s="113" t="s">
        <v>1474</v>
      </c>
    </row>
    <row r="212" spans="2:2" hidden="1" x14ac:dyDescent="0.2">
      <c r="B212" s="113" t="s">
        <v>7884</v>
      </c>
    </row>
    <row r="213" spans="2:2" hidden="1" x14ac:dyDescent="0.2">
      <c r="B213" s="113" t="s">
        <v>1475</v>
      </c>
    </row>
    <row r="214" spans="2:2" hidden="1" x14ac:dyDescent="0.2">
      <c r="B214" s="113" t="s">
        <v>1476</v>
      </c>
    </row>
    <row r="215" spans="2:2" hidden="1" x14ac:dyDescent="0.2">
      <c r="B215" s="113" t="s">
        <v>7885</v>
      </c>
    </row>
    <row r="216" spans="2:2" hidden="1" x14ac:dyDescent="0.2">
      <c r="B216" s="113" t="s">
        <v>1477</v>
      </c>
    </row>
    <row r="217" spans="2:2" hidden="1" x14ac:dyDescent="0.2">
      <c r="B217" s="113" t="s">
        <v>7960</v>
      </c>
    </row>
    <row r="218" spans="2:2" hidden="1" x14ac:dyDescent="0.2">
      <c r="B218" s="113" t="s">
        <v>1478</v>
      </c>
    </row>
    <row r="219" spans="2:2" hidden="1" x14ac:dyDescent="0.2">
      <c r="B219" s="113" t="s">
        <v>1479</v>
      </c>
    </row>
    <row r="220" spans="2:2" hidden="1" x14ac:dyDescent="0.2">
      <c r="B220" s="113" t="s">
        <v>1480</v>
      </c>
    </row>
    <row r="221" spans="2:2" hidden="1" x14ac:dyDescent="0.2">
      <c r="B221" s="113" t="s">
        <v>7961</v>
      </c>
    </row>
    <row r="222" spans="2:2" hidden="1" x14ac:dyDescent="0.2">
      <c r="B222" s="113" t="s">
        <v>7886</v>
      </c>
    </row>
    <row r="223" spans="2:2" hidden="1" x14ac:dyDescent="0.2">
      <c r="B223" s="113" t="s">
        <v>1481</v>
      </c>
    </row>
    <row r="224" spans="2:2" hidden="1" x14ac:dyDescent="0.2">
      <c r="B224" s="113" t="s">
        <v>1482</v>
      </c>
    </row>
    <row r="225" spans="2:2" hidden="1" x14ac:dyDescent="0.2">
      <c r="B225" s="113" t="s">
        <v>7887</v>
      </c>
    </row>
    <row r="226" spans="2:2" hidden="1" x14ac:dyDescent="0.2">
      <c r="B226" s="113" t="s">
        <v>7888</v>
      </c>
    </row>
    <row r="227" spans="2:2" hidden="1" x14ac:dyDescent="0.2">
      <c r="B227" s="113" t="s">
        <v>1483</v>
      </c>
    </row>
    <row r="228" spans="2:2" hidden="1" x14ac:dyDescent="0.2">
      <c r="B228" s="113" t="s">
        <v>1484</v>
      </c>
    </row>
    <row r="229" spans="2:2" hidden="1" x14ac:dyDescent="0.2">
      <c r="B229" s="113" t="s">
        <v>1485</v>
      </c>
    </row>
    <row r="230" spans="2:2" hidden="1" x14ac:dyDescent="0.2">
      <c r="B230" s="113" t="s">
        <v>1486</v>
      </c>
    </row>
    <row r="231" spans="2:2" hidden="1" x14ac:dyDescent="0.2">
      <c r="B231" s="113" t="s">
        <v>1487</v>
      </c>
    </row>
    <row r="232" spans="2:2" hidden="1" x14ac:dyDescent="0.2">
      <c r="B232" s="113" t="s">
        <v>1488</v>
      </c>
    </row>
    <row r="233" spans="2:2" hidden="1" x14ac:dyDescent="0.2">
      <c r="B233" s="113" t="s">
        <v>1489</v>
      </c>
    </row>
    <row r="234" spans="2:2" hidden="1" x14ac:dyDescent="0.2">
      <c r="B234" s="113" t="s">
        <v>1490</v>
      </c>
    </row>
    <row r="235" spans="2:2" hidden="1" x14ac:dyDescent="0.2">
      <c r="B235" s="113" t="s">
        <v>1491</v>
      </c>
    </row>
    <row r="236" spans="2:2" hidden="1" x14ac:dyDescent="0.2">
      <c r="B236" s="113" t="s">
        <v>1492</v>
      </c>
    </row>
    <row r="237" spans="2:2" hidden="1" x14ac:dyDescent="0.2">
      <c r="B237" s="113" t="s">
        <v>7889</v>
      </c>
    </row>
    <row r="238" spans="2:2" hidden="1" x14ac:dyDescent="0.2">
      <c r="B238" s="113" t="s">
        <v>1493</v>
      </c>
    </row>
    <row r="239" spans="2:2" hidden="1" x14ac:dyDescent="0.2">
      <c r="B239" s="113" t="s">
        <v>1494</v>
      </c>
    </row>
    <row r="240" spans="2:2" hidden="1" x14ac:dyDescent="0.2">
      <c r="B240" s="113" t="s">
        <v>1495</v>
      </c>
    </row>
    <row r="241" spans="2:2" hidden="1" x14ac:dyDescent="0.2">
      <c r="B241" s="113" t="s">
        <v>1496</v>
      </c>
    </row>
    <row r="242" spans="2:2" hidden="1" x14ac:dyDescent="0.2">
      <c r="B242" s="113" t="s">
        <v>1497</v>
      </c>
    </row>
    <row r="243" spans="2:2" hidden="1" x14ac:dyDescent="0.2">
      <c r="B243" s="113" t="s">
        <v>7890</v>
      </c>
    </row>
    <row r="244" spans="2:2" hidden="1" x14ac:dyDescent="0.2">
      <c r="B244" s="113" t="s">
        <v>1498</v>
      </c>
    </row>
    <row r="245" spans="2:2" hidden="1" x14ac:dyDescent="0.2">
      <c r="B245" s="113" t="s">
        <v>1499</v>
      </c>
    </row>
    <row r="246" spans="2:2" hidden="1" x14ac:dyDescent="0.2">
      <c r="B246" s="113" t="s">
        <v>1500</v>
      </c>
    </row>
    <row r="247" spans="2:2" hidden="1" x14ac:dyDescent="0.2">
      <c r="B247" s="113" t="s">
        <v>1501</v>
      </c>
    </row>
    <row r="248" spans="2:2" hidden="1" x14ac:dyDescent="0.2">
      <c r="B248" s="113" t="s">
        <v>1502</v>
      </c>
    </row>
    <row r="249" spans="2:2" hidden="1" x14ac:dyDescent="0.2">
      <c r="B249" s="113" t="s">
        <v>7891</v>
      </c>
    </row>
    <row r="250" spans="2:2" hidden="1" x14ac:dyDescent="0.2">
      <c r="B250" s="113" t="s">
        <v>1503</v>
      </c>
    </row>
    <row r="251" spans="2:2" hidden="1" x14ac:dyDescent="0.2">
      <c r="B251" s="113" t="s">
        <v>1504</v>
      </c>
    </row>
    <row r="252" spans="2:2" hidden="1" x14ac:dyDescent="0.2">
      <c r="B252" s="113" t="s">
        <v>1505</v>
      </c>
    </row>
    <row r="253" spans="2:2" hidden="1" x14ac:dyDescent="0.2">
      <c r="B253" s="113" t="s">
        <v>1506</v>
      </c>
    </row>
    <row r="254" spans="2:2" hidden="1" x14ac:dyDescent="0.2">
      <c r="B254" s="113" t="s">
        <v>7892</v>
      </c>
    </row>
    <row r="255" spans="2:2" hidden="1" x14ac:dyDescent="0.2">
      <c r="B255" s="113" t="s">
        <v>1507</v>
      </c>
    </row>
    <row r="256" spans="2:2" hidden="1" x14ac:dyDescent="0.2">
      <c r="B256" s="113" t="s">
        <v>7893</v>
      </c>
    </row>
    <row r="257" spans="2:2" hidden="1" x14ac:dyDescent="0.2">
      <c r="B257" s="113" t="s">
        <v>1508</v>
      </c>
    </row>
    <row r="258" spans="2:2" hidden="1" x14ac:dyDescent="0.2">
      <c r="B258" s="113" t="s">
        <v>7894</v>
      </c>
    </row>
    <row r="259" spans="2:2" hidden="1" x14ac:dyDescent="0.2">
      <c r="B259" s="113" t="s">
        <v>1509</v>
      </c>
    </row>
    <row r="260" spans="2:2" hidden="1" x14ac:dyDescent="0.2">
      <c r="B260" s="113" t="s">
        <v>7895</v>
      </c>
    </row>
    <row r="261" spans="2:2" hidden="1" x14ac:dyDescent="0.2">
      <c r="B261" s="113" t="s">
        <v>1510</v>
      </c>
    </row>
    <row r="262" spans="2:2" hidden="1" x14ac:dyDescent="0.2">
      <c r="B262" s="113" t="s">
        <v>1511</v>
      </c>
    </row>
    <row r="263" spans="2:2" hidden="1" x14ac:dyDescent="0.2">
      <c r="B263" s="113" t="s">
        <v>1512</v>
      </c>
    </row>
    <row r="264" spans="2:2" hidden="1" x14ac:dyDescent="0.2">
      <c r="B264" s="113" t="s">
        <v>1513</v>
      </c>
    </row>
    <row r="265" spans="2:2" hidden="1" x14ac:dyDescent="0.2">
      <c r="B265" s="113" t="s">
        <v>1514</v>
      </c>
    </row>
    <row r="266" spans="2:2" hidden="1" x14ac:dyDescent="0.2">
      <c r="B266" s="113" t="s">
        <v>7896</v>
      </c>
    </row>
    <row r="267" spans="2:2" hidden="1" x14ac:dyDescent="0.2">
      <c r="B267" s="113" t="s">
        <v>1515</v>
      </c>
    </row>
    <row r="268" spans="2:2" hidden="1" x14ac:dyDescent="0.2">
      <c r="B268" s="113" t="s">
        <v>1516</v>
      </c>
    </row>
    <row r="269" spans="2:2" hidden="1" x14ac:dyDescent="0.2">
      <c r="B269" s="113" t="s">
        <v>1517</v>
      </c>
    </row>
    <row r="270" spans="2:2" hidden="1" x14ac:dyDescent="0.2">
      <c r="B270" s="113" t="s">
        <v>1518</v>
      </c>
    </row>
    <row r="271" spans="2:2" hidden="1" x14ac:dyDescent="0.2">
      <c r="B271" s="113" t="s">
        <v>1519</v>
      </c>
    </row>
    <row r="272" spans="2:2" hidden="1" x14ac:dyDescent="0.2">
      <c r="B272" s="113" t="s">
        <v>1520</v>
      </c>
    </row>
    <row r="273" spans="2:2" hidden="1" x14ac:dyDescent="0.2">
      <c r="B273" s="113" t="s">
        <v>7897</v>
      </c>
    </row>
    <row r="274" spans="2:2" hidden="1" x14ac:dyDescent="0.2">
      <c r="B274" s="113" t="s">
        <v>1521</v>
      </c>
    </row>
    <row r="275" spans="2:2" hidden="1" x14ac:dyDescent="0.2">
      <c r="B275" s="113" t="s">
        <v>1522</v>
      </c>
    </row>
    <row r="276" spans="2:2" hidden="1" x14ac:dyDescent="0.2">
      <c r="B276" s="113" t="s">
        <v>1523</v>
      </c>
    </row>
    <row r="277" spans="2:2" hidden="1" x14ac:dyDescent="0.2">
      <c r="B277" s="113" t="s">
        <v>7898</v>
      </c>
    </row>
    <row r="278" spans="2:2" hidden="1" x14ac:dyDescent="0.2">
      <c r="B278" s="113" t="s">
        <v>7899</v>
      </c>
    </row>
    <row r="279" spans="2:2" hidden="1" x14ac:dyDescent="0.2">
      <c r="B279" s="113" t="s">
        <v>7900</v>
      </c>
    </row>
    <row r="280" spans="2:2" hidden="1" x14ac:dyDescent="0.2">
      <c r="B280" s="113" t="s">
        <v>7901</v>
      </c>
    </row>
    <row r="281" spans="2:2" hidden="1" x14ac:dyDescent="0.2">
      <c r="B281" s="113" t="s">
        <v>7902</v>
      </c>
    </row>
    <row r="282" spans="2:2" hidden="1" x14ac:dyDescent="0.2">
      <c r="B282" s="113" t="s">
        <v>7903</v>
      </c>
    </row>
    <row r="283" spans="2:2" hidden="1" x14ac:dyDescent="0.2">
      <c r="B283" s="113" t="s">
        <v>1524</v>
      </c>
    </row>
    <row r="284" spans="2:2" hidden="1" x14ac:dyDescent="0.2">
      <c r="B284" s="113" t="s">
        <v>1525</v>
      </c>
    </row>
    <row r="285" spans="2:2" hidden="1" x14ac:dyDescent="0.2">
      <c r="B285" s="113" t="s">
        <v>1526</v>
      </c>
    </row>
    <row r="286" spans="2:2" hidden="1" x14ac:dyDescent="0.2">
      <c r="B286" s="113" t="s">
        <v>1527</v>
      </c>
    </row>
  </sheetData>
  <sheetProtection password="8441" sheet="1" objects="1" scenarios="1"/>
  <mergeCells count="14">
    <mergeCell ref="F15:S17"/>
    <mergeCell ref="P6:T6"/>
    <mergeCell ref="B6:B7"/>
    <mergeCell ref="B4:AJ4"/>
    <mergeCell ref="C5:AJ5"/>
    <mergeCell ref="U6:V6"/>
    <mergeCell ref="W6:AA6"/>
    <mergeCell ref="AB6:AF6"/>
    <mergeCell ref="AG6:AJ6"/>
    <mergeCell ref="C6:C7"/>
    <mergeCell ref="D6:D7"/>
    <mergeCell ref="E6:E7"/>
    <mergeCell ref="F6:J6"/>
    <mergeCell ref="K6:O6"/>
  </mergeCells>
  <dataValidations count="10">
    <dataValidation type="whole" allowBlank="1" showErrorMessage="1" errorTitle="Total Tax Relief Claimed" error="Total tax relief claimed (in Rupees) can not be more than 14 digits. Non negatives,No decimals values only allowed." sqref="U8:V12">
      <formula1>0</formula1>
      <formula2>99999999999999</formula2>
    </dataValidation>
    <dataValidation type="textLength" operator="lessThanOrEqual" allowBlank="1" showErrorMessage="1" errorTitle="Tax Identification Number" error="Tax Identification Number can not be more than 16 characters." sqref="E8:E12">
      <formula1>16</formula1>
    </dataValidation>
    <dataValidation type="list" allowBlank="1" showErrorMessage="1" errorTitle="CountryCode" error="  Please select from list" sqref="D8:D12">
      <formula1>FSI_newcountrycod</formula1>
    </dataValidation>
    <dataValidation type="whole" allowBlank="1" showErrorMessage="1" errorTitle="Income from Salary" error="Income (in Rupees) can not be more then 14 digits. Non negatives,No decimals values only allowed." sqref="F8:F12">
      <formula1>0</formula1>
      <formula2>99999999999999</formula2>
    </dataValidation>
    <dataValidation type="whole" allowBlank="1" showErrorMessage="1" errorTitle="Income from HP" error="Income  (in Rupees) can not be more than 14 digits. Non negatives,No decimals values only allowed." sqref="K8:K12 P8:P12">
      <formula1>0</formula1>
      <formula2>99999999999999</formula2>
    </dataValidation>
    <dataValidation type="whole" allowBlank="1" showErrorMessage="1" errorTitle="Capital Gains Icome" error="Income  (in Rupees) can not be more than 14 digits. Non negatives,No decimals values only allowed." sqref="W8:W12">
      <formula1>0</formula1>
      <formula2>99999999999999</formula2>
    </dataValidation>
    <dataValidation type="whole" allowBlank="1" showErrorMessage="1" errorTitle="Other Sources Income" error="Income  (in Rupees) can not be more than 14 digits. Non negatives,No decimals values only allowed." sqref="AB8:AB12">
      <formula1>0</formula1>
      <formula2>99999999999999</formula2>
    </dataValidation>
    <dataValidation type="whole" allowBlank="1" showErrorMessage="1" error="can not be more then 14 digits. Non negatives,No decimals values only allowed." sqref="AG8:AJ12 L8:N12 X8:Z12 AC8:AE12 Q8:S12 G8:I12">
      <formula1>0</formula1>
      <formula2>99999999999999</formula2>
    </dataValidation>
    <dataValidation type="textLength" allowBlank="1" showErrorMessage="1" errorTitle="DTAA Articl" error="Not exceeding 16 characters" sqref="T8:T12 AA8:AA12 O8:O12 AF8:AF12">
      <formula1>0</formula1>
      <formula2>16</formula2>
    </dataValidation>
    <dataValidation type="textLength" allowBlank="1" showErrorMessage="1" errorTitle="DTAA Articl" error="Relevant Article of DTAA should not exceed 16 charachters" sqref="J8:J12">
      <formula1>0</formula1>
      <formula2>16</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35" r:id="rId4" name="Button 47">
              <controlPr defaultSize="0" print="0" autoFill="0" autoPict="0" macro="[0]!Cmd_Validate_FSI_Click">
                <anchor moveWithCells="1" sizeWithCells="1">
                  <from>
                    <xdr:col>7</xdr:col>
                    <xdr:colOff>704850</xdr:colOff>
                    <xdr:row>0</xdr:row>
                    <xdr:rowOff>28575</xdr:rowOff>
                  </from>
                  <to>
                    <xdr:col>8</xdr:col>
                    <xdr:colOff>457200</xdr:colOff>
                    <xdr:row>1</xdr:row>
                    <xdr:rowOff>66675</xdr:rowOff>
                  </to>
                </anchor>
              </controlPr>
            </control>
          </mc:Choice>
        </mc:AlternateContent>
        <mc:AlternateContent xmlns:mc="http://schemas.openxmlformats.org/markup-compatibility/2006">
          <mc:Choice Requires="x14">
            <control shapeId="37936" r:id="rId5" name="Button 48">
              <controlPr defaultSize="0" print="0" autoFill="0" autoPict="0" macro="[0]!Cmd_AddRows_FSI_Click">
                <anchor moveWithCells="1">
                  <from>
                    <xdr:col>5</xdr:col>
                    <xdr:colOff>0</xdr:colOff>
                    <xdr:row>14</xdr:row>
                    <xdr:rowOff>66675</xdr:rowOff>
                  </from>
                  <to>
                    <xdr:col>6</xdr:col>
                    <xdr:colOff>857250</xdr:colOff>
                    <xdr:row>16</xdr:row>
                    <xdr:rowOff>66675</xdr:rowOff>
                  </to>
                </anchor>
              </controlPr>
            </control>
          </mc:Choice>
        </mc:AlternateContent>
        <mc:AlternateContent xmlns:mc="http://schemas.openxmlformats.org/markup-compatibility/2006">
          <mc:Choice Requires="x14">
            <control shapeId="37939" r:id="rId6" name="Button 51">
              <controlPr defaultSize="0" print="0" autoFill="0" autoPict="0" macro="[0]!Img_Home_Click">
                <anchor moveWithCells="1">
                  <from>
                    <xdr:col>4</xdr:col>
                    <xdr:colOff>95250</xdr:colOff>
                    <xdr:row>0</xdr:row>
                    <xdr:rowOff>28575</xdr:rowOff>
                  </from>
                  <to>
                    <xdr:col>5</xdr:col>
                    <xdr:colOff>19050</xdr:colOff>
                    <xdr:row>1</xdr:row>
                    <xdr:rowOff>95250</xdr:rowOff>
                  </to>
                </anchor>
              </controlPr>
            </control>
          </mc:Choice>
        </mc:AlternateContent>
        <mc:AlternateContent xmlns:mc="http://schemas.openxmlformats.org/markup-compatibility/2006">
          <mc:Choice Requires="x14">
            <control shapeId="37940" r:id="rId7" name="Button 52">
              <controlPr defaultSize="0" print="0" autoFill="0" autoPict="0" macro="[0]!Index_Click">
                <anchor moveWithCells="1">
                  <from>
                    <xdr:col>5</xdr:col>
                    <xdr:colOff>19050</xdr:colOff>
                    <xdr:row>0</xdr:row>
                    <xdr:rowOff>28575</xdr:rowOff>
                  </from>
                  <to>
                    <xdr:col>5</xdr:col>
                    <xdr:colOff>914400</xdr:colOff>
                    <xdr:row>1</xdr:row>
                    <xdr:rowOff>95250</xdr:rowOff>
                  </to>
                </anchor>
              </controlPr>
            </control>
          </mc:Choice>
        </mc:AlternateContent>
        <mc:AlternateContent xmlns:mc="http://schemas.openxmlformats.org/markup-compatibility/2006">
          <mc:Choice Requires="x14">
            <control shapeId="37941" r:id="rId8" name="Button 53">
              <controlPr defaultSize="0" print="0" autoFill="0" autoPict="0" macro="[0]!Next_Sheet">
                <anchor moveWithCells="1">
                  <from>
                    <xdr:col>5</xdr:col>
                    <xdr:colOff>933450</xdr:colOff>
                    <xdr:row>0</xdr:row>
                    <xdr:rowOff>28575</xdr:rowOff>
                  </from>
                  <to>
                    <xdr:col>6</xdr:col>
                    <xdr:colOff>828675</xdr:colOff>
                    <xdr:row>1</xdr:row>
                    <xdr:rowOff>95250</xdr:rowOff>
                  </to>
                </anchor>
              </controlPr>
            </control>
          </mc:Choice>
        </mc:AlternateContent>
        <mc:AlternateContent xmlns:mc="http://schemas.openxmlformats.org/markup-compatibility/2006">
          <mc:Choice Requires="x14">
            <control shapeId="37942" r:id="rId9" name="Button 54">
              <controlPr defaultSize="0" print="0" autoFill="0" autoPict="0" macro="[0]!Prev_Sheet">
                <anchor moveWithCells="1">
                  <from>
                    <xdr:col>6</xdr:col>
                    <xdr:colOff>857250</xdr:colOff>
                    <xdr:row>0</xdr:row>
                    <xdr:rowOff>28575</xdr:rowOff>
                  </from>
                  <to>
                    <xdr:col>7</xdr:col>
                    <xdr:colOff>685800</xdr:colOff>
                    <xdr:row>1</xdr:row>
                    <xdr:rowOff>95250</xdr:rowOff>
                  </to>
                </anchor>
              </controlPr>
            </control>
          </mc:Choice>
        </mc:AlternateContent>
        <mc:AlternateContent xmlns:mc="http://schemas.openxmlformats.org/markup-compatibility/2006">
          <mc:Choice Requires="x14">
            <control shapeId="37943" r:id="rId10" name="Button 55">
              <controlPr defaultSize="0" print="0" autoFill="0" autoPict="0" macro="[0]!ValidateAll_XML">
                <anchor moveWithCells="1">
                  <from>
                    <xdr:col>8</xdr:col>
                    <xdr:colOff>476250</xdr:colOff>
                    <xdr:row>0</xdr:row>
                    <xdr:rowOff>28575</xdr:rowOff>
                  </from>
                  <to>
                    <xdr:col>9</xdr:col>
                    <xdr:colOff>228600</xdr:colOff>
                    <xdr:row>1</xdr:row>
                    <xdr:rowOff>95250</xdr:rowOff>
                  </to>
                </anchor>
              </controlPr>
            </control>
          </mc:Choice>
        </mc:AlternateContent>
        <mc:AlternateContent xmlns:mc="http://schemas.openxmlformats.org/markup-compatibility/2006">
          <mc:Choice Requires="x14">
            <control shapeId="37944" r:id="rId11" name="Button 56">
              <controlPr defaultSize="0" print="0" autoFill="0" autoPict="0" macro="[0]!WorksheetsPrint">
                <anchor moveWithCells="1">
                  <from>
                    <xdr:col>9</xdr:col>
                    <xdr:colOff>247650</xdr:colOff>
                    <xdr:row>0</xdr:row>
                    <xdr:rowOff>28575</xdr:rowOff>
                  </from>
                  <to>
                    <xdr:col>10</xdr:col>
                    <xdr:colOff>57150</xdr:colOff>
                    <xdr:row>1</xdr:row>
                    <xdr:rowOff>95250</xdr:rowOff>
                  </to>
                </anchor>
              </controlPr>
            </control>
          </mc:Choice>
        </mc:AlternateContent>
        <mc:AlternateContent xmlns:mc="http://schemas.openxmlformats.org/markup-compatibility/2006">
          <mc:Choice Requires="x14">
            <control shapeId="37945" r:id="rId12" name="Button 57">
              <controlPr defaultSize="0" print="0" autoFill="0" autoPict="0" macro="[0]!Instruction_Sheet">
                <anchor moveWithCells="1">
                  <from>
                    <xdr:col>10</xdr:col>
                    <xdr:colOff>76200</xdr:colOff>
                    <xdr:row>0</xdr:row>
                    <xdr:rowOff>28575</xdr:rowOff>
                  </from>
                  <to>
                    <xdr:col>10</xdr:col>
                    <xdr:colOff>971550</xdr:colOff>
                    <xdr:row>1</xdr:row>
                    <xdr:rowOff>95250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IU54"/>
  <sheetViews>
    <sheetView showGridLines="0" showRowColHeaders="0" zoomScaleNormal="100" workbookViewId="0">
      <selection activeCell="I11" sqref="I11"/>
    </sheetView>
  </sheetViews>
  <sheetFormatPr defaultColWidth="0" defaultRowHeight="12.75" zeroHeight="1" x14ac:dyDescent="0.2"/>
  <cols>
    <col min="1" max="1" width="3.85546875" style="113" customWidth="1"/>
    <col min="2" max="2" width="4.140625" style="113" customWidth="1"/>
    <col min="3" max="3" width="3.7109375" style="113" customWidth="1"/>
    <col min="4" max="4" width="9.7109375" style="113" customWidth="1"/>
    <col min="5" max="5" width="22.42578125" style="113" customWidth="1"/>
    <col min="6" max="6" width="20.28515625" style="113" customWidth="1"/>
    <col min="7" max="7" width="18.5703125" style="113" customWidth="1"/>
    <col min="8" max="8" width="7" style="113" customWidth="1"/>
    <col min="9" max="9" width="9.140625" style="113" customWidth="1"/>
    <col min="10" max="10" width="12" style="113" customWidth="1"/>
    <col min="11" max="11" width="19.28515625" style="113" customWidth="1"/>
    <col min="12" max="14" width="24.140625" style="113" customWidth="1"/>
    <col min="15" max="15" width="26.140625" style="113" customWidth="1"/>
    <col min="16" max="16" width="4.28515625" style="113" customWidth="1"/>
    <col min="17" max="17" width="30.85546875" style="113" customWidth="1"/>
    <col min="18" max="255" width="9.140625" style="113" hidden="1" customWidth="1"/>
    <col min="256" max="16384" width="4.5703125" style="113" hidden="1"/>
  </cols>
  <sheetData>
    <row r="1" spans="2:22" ht="13.5" thickBot="1" x14ac:dyDescent="0.25"/>
    <row r="2" spans="2:22" x14ac:dyDescent="0.2">
      <c r="B2" s="1794"/>
      <c r="C2" s="1795"/>
      <c r="D2" s="1795"/>
      <c r="E2" s="1795"/>
      <c r="F2" s="1795"/>
      <c r="G2" s="1795"/>
      <c r="H2" s="1795"/>
      <c r="I2" s="1795"/>
      <c r="J2" s="1795"/>
      <c r="K2" s="1795"/>
      <c r="L2" s="1795"/>
      <c r="M2" s="1795"/>
      <c r="N2" s="1795"/>
      <c r="O2" s="1795"/>
      <c r="P2" s="1831"/>
    </row>
    <row r="3" spans="2:22" ht="12.75" customHeight="1" x14ac:dyDescent="0.2">
      <c r="B3" s="1797"/>
      <c r="C3" s="3834" t="s">
        <v>7555</v>
      </c>
      <c r="D3" s="3835"/>
      <c r="E3" s="3869"/>
      <c r="F3" s="3017" t="s">
        <v>7556</v>
      </c>
      <c r="G3" s="3015"/>
      <c r="H3" s="3015"/>
      <c r="I3" s="3015"/>
      <c r="J3" s="3015"/>
      <c r="K3" s="3015"/>
      <c r="L3" s="3015"/>
      <c r="M3" s="3015"/>
      <c r="N3" s="3015"/>
      <c r="O3" s="3016"/>
      <c r="P3" s="1809"/>
    </row>
    <row r="4" spans="2:22" ht="42.75" customHeight="1" x14ac:dyDescent="0.2">
      <c r="B4" s="1797"/>
      <c r="C4" s="1884"/>
      <c r="D4" s="2018" t="s">
        <v>11993</v>
      </c>
      <c r="E4" s="2018" t="s">
        <v>11992</v>
      </c>
      <c r="F4" s="2018" t="s">
        <v>11994</v>
      </c>
      <c r="G4" s="2018" t="s">
        <v>11995</v>
      </c>
      <c r="H4" s="2019" t="s">
        <v>11997</v>
      </c>
      <c r="I4" s="3263" t="s">
        <v>11996</v>
      </c>
      <c r="J4" s="3137"/>
      <c r="K4" s="3116"/>
      <c r="L4" s="2019" t="s">
        <v>11998</v>
      </c>
      <c r="M4" s="2019" t="s">
        <v>11991</v>
      </c>
      <c r="N4" s="2019" t="s">
        <v>11999</v>
      </c>
      <c r="O4" s="2019" t="s">
        <v>12000</v>
      </c>
      <c r="P4" s="1809"/>
      <c r="S4" s="113">
        <v>3</v>
      </c>
      <c r="U4" s="1089" t="s">
        <v>12732</v>
      </c>
      <c r="V4" s="1992"/>
    </row>
    <row r="5" spans="2:22" ht="12.75" customHeight="1" x14ac:dyDescent="0.2">
      <c r="B5" s="1797"/>
      <c r="C5" s="839"/>
      <c r="D5" s="2055">
        <v>1</v>
      </c>
      <c r="E5" s="1975" t="s">
        <v>12672</v>
      </c>
      <c r="F5" s="1975"/>
      <c r="G5" s="1986"/>
      <c r="H5" s="2056" t="s">
        <v>287</v>
      </c>
      <c r="I5" s="2025" t="s">
        <v>1064</v>
      </c>
      <c r="J5" s="2023"/>
      <c r="K5" s="2023"/>
      <c r="L5" s="1973"/>
      <c r="M5" s="1973"/>
      <c r="N5" s="210">
        <f>L5-M5</f>
        <v>0</v>
      </c>
      <c r="O5" s="1973"/>
      <c r="P5" s="1809"/>
      <c r="S5" s="113">
        <v>15</v>
      </c>
    </row>
    <row r="6" spans="2:22" ht="12.75" customHeight="1" x14ac:dyDescent="0.2">
      <c r="B6" s="1797"/>
      <c r="C6" s="839"/>
      <c r="D6" s="802"/>
      <c r="E6" s="802"/>
      <c r="F6" s="802"/>
      <c r="G6" s="241"/>
      <c r="H6" s="803" t="s">
        <v>290</v>
      </c>
      <c r="I6" s="2051" t="s">
        <v>770</v>
      </c>
      <c r="J6" s="2052"/>
      <c r="K6" s="2052"/>
      <c r="L6" s="2052"/>
      <c r="M6" s="2052"/>
      <c r="N6" s="2052"/>
      <c r="O6" s="2053"/>
      <c r="P6" s="1809"/>
    </row>
    <row r="7" spans="2:22" ht="12.75" customHeight="1" x14ac:dyDescent="0.2">
      <c r="B7" s="1797"/>
      <c r="C7" s="839"/>
      <c r="D7" s="802"/>
      <c r="E7" s="802"/>
      <c r="F7" s="802"/>
      <c r="G7" s="241"/>
      <c r="H7" s="201"/>
      <c r="I7" s="805" t="s">
        <v>27</v>
      </c>
      <c r="J7" s="2025" t="s">
        <v>679</v>
      </c>
      <c r="K7" s="2024"/>
      <c r="L7" s="210">
        <f>L8+L9</f>
        <v>0</v>
      </c>
      <c r="M7" s="210">
        <f>M8+M9</f>
        <v>0</v>
      </c>
      <c r="N7" s="210">
        <f>N8+N9</f>
        <v>0</v>
      </c>
      <c r="O7" s="1973"/>
      <c r="P7" s="1809"/>
    </row>
    <row r="8" spans="2:22" ht="12.75" customHeight="1" x14ac:dyDescent="0.2">
      <c r="B8" s="1797"/>
      <c r="C8" s="839"/>
      <c r="D8" s="802"/>
      <c r="E8" s="802"/>
      <c r="F8" s="802"/>
      <c r="G8" s="241"/>
      <c r="H8" s="241"/>
      <c r="I8" s="805" t="s">
        <v>307</v>
      </c>
      <c r="J8" s="2025" t="s">
        <v>11988</v>
      </c>
      <c r="K8" s="2024"/>
      <c r="L8" s="806"/>
      <c r="M8" s="806"/>
      <c r="N8" s="210">
        <f t="shared" ref="N8:N34" si="0">L8-M8</f>
        <v>0</v>
      </c>
      <c r="O8" s="1973"/>
      <c r="P8" s="1809"/>
    </row>
    <row r="9" spans="2:22" ht="12.75" customHeight="1" x14ac:dyDescent="0.2">
      <c r="B9" s="1797"/>
      <c r="C9" s="839"/>
      <c r="D9" s="802"/>
      <c r="E9" s="802"/>
      <c r="F9" s="802"/>
      <c r="G9" s="241"/>
      <c r="H9" s="241"/>
      <c r="I9" s="805" t="s">
        <v>339</v>
      </c>
      <c r="J9" s="2025" t="s">
        <v>9459</v>
      </c>
      <c r="K9" s="2024"/>
      <c r="L9" s="806"/>
      <c r="M9" s="806"/>
      <c r="N9" s="210">
        <f t="shared" si="0"/>
        <v>0</v>
      </c>
      <c r="O9" s="1973"/>
      <c r="P9" s="1809"/>
    </row>
    <row r="10" spans="2:22" ht="12.75" customHeight="1" x14ac:dyDescent="0.2">
      <c r="B10" s="1797"/>
      <c r="C10" s="839"/>
      <c r="D10" s="802"/>
      <c r="E10" s="802"/>
      <c r="F10" s="802"/>
      <c r="G10" s="241"/>
      <c r="H10" s="241"/>
      <c r="I10" s="805" t="s">
        <v>28</v>
      </c>
      <c r="J10" s="2025" t="s">
        <v>683</v>
      </c>
      <c r="K10" s="2024"/>
      <c r="L10" s="210">
        <f>L11+L12</f>
        <v>0</v>
      </c>
      <c r="M10" s="210">
        <f>M11+M12</f>
        <v>0</v>
      </c>
      <c r="N10" s="210">
        <f>N11+N12</f>
        <v>0</v>
      </c>
      <c r="O10" s="1973"/>
      <c r="P10" s="1809"/>
    </row>
    <row r="11" spans="2:22" ht="12.75" customHeight="1" x14ac:dyDescent="0.2">
      <c r="B11" s="1797"/>
      <c r="C11" s="839"/>
      <c r="D11" s="802"/>
      <c r="E11" s="802"/>
      <c r="F11" s="802"/>
      <c r="G11" s="241"/>
      <c r="H11" s="241"/>
      <c r="I11" s="805" t="s">
        <v>289</v>
      </c>
      <c r="J11" s="2025" t="s">
        <v>11989</v>
      </c>
      <c r="K11" s="2024"/>
      <c r="L11" s="806"/>
      <c r="M11" s="806"/>
      <c r="N11" s="210">
        <f t="shared" si="0"/>
        <v>0</v>
      </c>
      <c r="O11" s="1973"/>
      <c r="P11" s="1809"/>
    </row>
    <row r="12" spans="2:22" ht="12.75" customHeight="1" x14ac:dyDescent="0.2">
      <c r="B12" s="1797"/>
      <c r="C12" s="839"/>
      <c r="D12" s="802"/>
      <c r="E12" s="802"/>
      <c r="F12" s="802"/>
      <c r="G12" s="241"/>
      <c r="H12" s="257"/>
      <c r="I12" s="805" t="s">
        <v>292</v>
      </c>
      <c r="J12" s="2025" t="s">
        <v>11990</v>
      </c>
      <c r="K12" s="2024"/>
      <c r="L12" s="806"/>
      <c r="M12" s="806"/>
      <c r="N12" s="210">
        <f t="shared" si="0"/>
        <v>0</v>
      </c>
      <c r="O12" s="1973"/>
      <c r="P12" s="1809"/>
    </row>
    <row r="13" spans="2:22" ht="12.75" customHeight="1" x14ac:dyDescent="0.2">
      <c r="B13" s="1797"/>
      <c r="C13" s="839"/>
      <c r="D13" s="802"/>
      <c r="E13" s="802"/>
      <c r="F13" s="802"/>
      <c r="G13" s="241"/>
      <c r="H13" s="805" t="s">
        <v>293</v>
      </c>
      <c r="I13" s="2025" t="s">
        <v>771</v>
      </c>
      <c r="J13" s="2023"/>
      <c r="K13" s="2023"/>
      <c r="L13" s="210">
        <f>L14+L15</f>
        <v>0</v>
      </c>
      <c r="M13" s="1737"/>
      <c r="N13" s="210">
        <f>N14+N15</f>
        <v>0</v>
      </c>
      <c r="O13" s="1973"/>
      <c r="P13" s="1809"/>
    </row>
    <row r="14" spans="2:22" ht="12.75" customHeight="1" x14ac:dyDescent="0.2">
      <c r="B14" s="1797"/>
      <c r="C14" s="839"/>
      <c r="D14" s="802"/>
      <c r="E14" s="802"/>
      <c r="F14" s="802"/>
      <c r="G14" s="241"/>
      <c r="H14" s="803"/>
      <c r="I14" s="805" t="s">
        <v>27</v>
      </c>
      <c r="J14" s="2025" t="s">
        <v>12793</v>
      </c>
      <c r="K14" s="2024"/>
      <c r="L14" s="1973"/>
      <c r="M14" s="1737"/>
      <c r="N14" s="210">
        <f t="shared" si="0"/>
        <v>0</v>
      </c>
      <c r="O14" s="1973"/>
      <c r="P14" s="1809"/>
    </row>
    <row r="15" spans="2:22" ht="12.75" customHeight="1" x14ac:dyDescent="0.2">
      <c r="B15" s="1797"/>
      <c r="C15" s="839"/>
      <c r="D15" s="802"/>
      <c r="E15" s="802"/>
      <c r="F15" s="802"/>
      <c r="G15" s="241"/>
      <c r="H15" s="803"/>
      <c r="I15" s="805" t="s">
        <v>28</v>
      </c>
      <c r="J15" s="2025" t="s">
        <v>9459</v>
      </c>
      <c r="K15" s="2024"/>
      <c r="L15" s="1973"/>
      <c r="M15" s="1737"/>
      <c r="N15" s="210">
        <f t="shared" si="0"/>
        <v>0</v>
      </c>
      <c r="O15" s="1973"/>
      <c r="P15" s="1809"/>
    </row>
    <row r="16" spans="2:22" ht="12.75" customHeight="1" x14ac:dyDescent="0.2">
      <c r="B16" s="1797"/>
      <c r="C16" s="839"/>
      <c r="D16" s="802"/>
      <c r="E16" s="802"/>
      <c r="F16" s="802"/>
      <c r="G16" s="241"/>
      <c r="H16" s="803" t="s">
        <v>296</v>
      </c>
      <c r="I16" s="2025" t="s">
        <v>7557</v>
      </c>
      <c r="J16" s="2023"/>
      <c r="K16" s="2023"/>
      <c r="L16" s="210">
        <f>L17+L18+L19</f>
        <v>0</v>
      </c>
      <c r="M16" s="1737"/>
      <c r="N16" s="210">
        <f>N17+N18+N19</f>
        <v>0</v>
      </c>
      <c r="O16" s="806"/>
      <c r="P16" s="1809"/>
    </row>
    <row r="17" spans="2:16" ht="12.75" customHeight="1" x14ac:dyDescent="0.2">
      <c r="B17" s="1797"/>
      <c r="C17" s="839"/>
      <c r="D17" s="802"/>
      <c r="E17" s="802"/>
      <c r="F17" s="802"/>
      <c r="G17" s="241"/>
      <c r="H17" s="804"/>
      <c r="I17" s="805" t="s">
        <v>27</v>
      </c>
      <c r="J17" s="257" t="s">
        <v>7558</v>
      </c>
      <c r="K17" s="800" t="s">
        <v>7559</v>
      </c>
      <c r="L17" s="806"/>
      <c r="M17" s="1737"/>
      <c r="N17" s="210">
        <f t="shared" si="0"/>
        <v>0</v>
      </c>
      <c r="O17" s="806"/>
      <c r="P17" s="1809"/>
    </row>
    <row r="18" spans="2:16" ht="12.75" customHeight="1" x14ac:dyDescent="0.2">
      <c r="B18" s="1797"/>
      <c r="C18" s="839"/>
      <c r="D18" s="802"/>
      <c r="E18" s="802"/>
      <c r="F18" s="802"/>
      <c r="G18" s="241"/>
      <c r="H18" s="803"/>
      <c r="I18" s="805" t="s">
        <v>28</v>
      </c>
      <c r="J18" s="257" t="s">
        <v>7558</v>
      </c>
      <c r="K18" s="1975"/>
      <c r="L18" s="806"/>
      <c r="M18" s="1737"/>
      <c r="N18" s="210">
        <f t="shared" si="0"/>
        <v>0</v>
      </c>
      <c r="O18" s="806"/>
      <c r="P18" s="1809"/>
    </row>
    <row r="19" spans="2:16" ht="12.75" customHeight="1" x14ac:dyDescent="0.2">
      <c r="B19" s="1797"/>
      <c r="C19" s="839"/>
      <c r="D19" s="807"/>
      <c r="E19" s="807"/>
      <c r="F19" s="807"/>
      <c r="G19" s="257"/>
      <c r="H19" s="805"/>
      <c r="I19" s="805" t="s">
        <v>29</v>
      </c>
      <c r="J19" s="257" t="s">
        <v>7558</v>
      </c>
      <c r="K19" s="808"/>
      <c r="L19" s="806"/>
      <c r="M19" s="1737"/>
      <c r="N19" s="210">
        <f t="shared" si="0"/>
        <v>0</v>
      </c>
      <c r="O19" s="806"/>
      <c r="P19" s="1809"/>
    </row>
    <row r="20" spans="2:16" ht="12.75" customHeight="1" x14ac:dyDescent="0.2">
      <c r="B20" s="1797"/>
      <c r="C20" s="839"/>
      <c r="D20" s="2055">
        <f>D5+1</f>
        <v>2</v>
      </c>
      <c r="E20" s="1975" t="s">
        <v>12672</v>
      </c>
      <c r="F20" s="1975"/>
      <c r="G20" s="1986"/>
      <c r="H20" s="2056" t="s">
        <v>287</v>
      </c>
      <c r="I20" s="2025" t="s">
        <v>1064</v>
      </c>
      <c r="J20" s="2023"/>
      <c r="K20" s="2023"/>
      <c r="L20" s="806"/>
      <c r="M20" s="806"/>
      <c r="N20" s="210">
        <f t="shared" si="0"/>
        <v>0</v>
      </c>
      <c r="O20" s="1973"/>
      <c r="P20" s="1809"/>
    </row>
    <row r="21" spans="2:16" ht="12.75" customHeight="1" x14ac:dyDescent="0.2">
      <c r="B21" s="1797"/>
      <c r="C21" s="839"/>
      <c r="D21" s="802"/>
      <c r="E21" s="802"/>
      <c r="F21" s="802"/>
      <c r="G21" s="241"/>
      <c r="H21" s="803" t="s">
        <v>290</v>
      </c>
      <c r="I21" s="2051" t="s">
        <v>770</v>
      </c>
      <c r="J21" s="2052"/>
      <c r="K21" s="2052"/>
      <c r="L21" s="2052"/>
      <c r="M21" s="2052"/>
      <c r="N21" s="2052"/>
      <c r="O21" s="2053"/>
      <c r="P21" s="1809"/>
    </row>
    <row r="22" spans="2:16" ht="12.75" customHeight="1" x14ac:dyDescent="0.2">
      <c r="B22" s="1797"/>
      <c r="C22" s="839"/>
      <c r="D22" s="802"/>
      <c r="E22" s="802"/>
      <c r="F22" s="802"/>
      <c r="G22" s="241"/>
      <c r="H22" s="201"/>
      <c r="I22" s="805" t="s">
        <v>27</v>
      </c>
      <c r="J22" s="2025" t="s">
        <v>679</v>
      </c>
      <c r="K22" s="2024"/>
      <c r="L22" s="210">
        <f>L23+L24</f>
        <v>0</v>
      </c>
      <c r="M22" s="210">
        <f>M23+M24</f>
        <v>0</v>
      </c>
      <c r="N22" s="210">
        <f>N23+N24</f>
        <v>0</v>
      </c>
      <c r="O22" s="1973"/>
      <c r="P22" s="1809"/>
    </row>
    <row r="23" spans="2:16" ht="12.75" customHeight="1" x14ac:dyDescent="0.2">
      <c r="B23" s="1797"/>
      <c r="C23" s="839"/>
      <c r="D23" s="802"/>
      <c r="E23" s="802"/>
      <c r="F23" s="802"/>
      <c r="G23" s="241"/>
      <c r="H23" s="241"/>
      <c r="I23" s="805" t="s">
        <v>307</v>
      </c>
      <c r="J23" s="2025" t="s">
        <v>11988</v>
      </c>
      <c r="K23" s="2024"/>
      <c r="L23" s="806"/>
      <c r="M23" s="806"/>
      <c r="N23" s="210">
        <f t="shared" si="0"/>
        <v>0</v>
      </c>
      <c r="O23" s="806"/>
      <c r="P23" s="1809"/>
    </row>
    <row r="24" spans="2:16" ht="12.75" customHeight="1" x14ac:dyDescent="0.2">
      <c r="B24" s="1797"/>
      <c r="C24" s="839"/>
      <c r="D24" s="802"/>
      <c r="E24" s="802"/>
      <c r="F24" s="802"/>
      <c r="G24" s="241"/>
      <c r="H24" s="241"/>
      <c r="I24" s="805" t="s">
        <v>339</v>
      </c>
      <c r="J24" s="2025" t="s">
        <v>9459</v>
      </c>
      <c r="K24" s="2024"/>
      <c r="L24" s="806"/>
      <c r="M24" s="806"/>
      <c r="N24" s="210">
        <f t="shared" si="0"/>
        <v>0</v>
      </c>
      <c r="O24" s="806"/>
      <c r="P24" s="1809"/>
    </row>
    <row r="25" spans="2:16" ht="12.75" customHeight="1" x14ac:dyDescent="0.2">
      <c r="B25" s="1797"/>
      <c r="C25" s="839"/>
      <c r="D25" s="802"/>
      <c r="E25" s="802"/>
      <c r="F25" s="802"/>
      <c r="G25" s="241"/>
      <c r="H25" s="241"/>
      <c r="I25" s="805" t="s">
        <v>28</v>
      </c>
      <c r="J25" s="2025" t="s">
        <v>683</v>
      </c>
      <c r="K25" s="2024"/>
      <c r="L25" s="210">
        <f>L26+L27</f>
        <v>0</v>
      </c>
      <c r="M25" s="210">
        <f>M26+M27</f>
        <v>0</v>
      </c>
      <c r="N25" s="210">
        <f>N26+N27</f>
        <v>0</v>
      </c>
      <c r="O25" s="1973"/>
      <c r="P25" s="1809"/>
    </row>
    <row r="26" spans="2:16" ht="12.75" customHeight="1" x14ac:dyDescent="0.2">
      <c r="B26" s="1797"/>
      <c r="C26" s="839"/>
      <c r="D26" s="802"/>
      <c r="E26" s="802"/>
      <c r="F26" s="802"/>
      <c r="G26" s="241"/>
      <c r="H26" s="241"/>
      <c r="I26" s="805" t="s">
        <v>289</v>
      </c>
      <c r="J26" s="2025" t="s">
        <v>11989</v>
      </c>
      <c r="K26" s="2024"/>
      <c r="L26" s="806"/>
      <c r="M26" s="806"/>
      <c r="N26" s="210">
        <f t="shared" si="0"/>
        <v>0</v>
      </c>
      <c r="O26" s="806"/>
      <c r="P26" s="1809"/>
    </row>
    <row r="27" spans="2:16" ht="12.75" customHeight="1" x14ac:dyDescent="0.2">
      <c r="B27" s="1797"/>
      <c r="C27" s="839"/>
      <c r="D27" s="802"/>
      <c r="E27" s="802"/>
      <c r="F27" s="802"/>
      <c r="G27" s="241"/>
      <c r="H27" s="257"/>
      <c r="I27" s="805" t="s">
        <v>292</v>
      </c>
      <c r="J27" s="2025" t="s">
        <v>11990</v>
      </c>
      <c r="K27" s="2024"/>
      <c r="L27" s="806"/>
      <c r="M27" s="806"/>
      <c r="N27" s="210">
        <f t="shared" si="0"/>
        <v>0</v>
      </c>
      <c r="O27" s="806"/>
      <c r="P27" s="1809"/>
    </row>
    <row r="28" spans="2:16" ht="12.75" customHeight="1" x14ac:dyDescent="0.2">
      <c r="B28" s="1797"/>
      <c r="C28" s="839"/>
      <c r="D28" s="802"/>
      <c r="E28" s="802"/>
      <c r="F28" s="802"/>
      <c r="G28" s="241"/>
      <c r="H28" s="805" t="s">
        <v>293</v>
      </c>
      <c r="I28" s="2025" t="s">
        <v>771</v>
      </c>
      <c r="J28" s="2023"/>
      <c r="K28" s="2023"/>
      <c r="L28" s="210">
        <f>L29+L30</f>
        <v>0</v>
      </c>
      <c r="M28" s="1737"/>
      <c r="N28" s="210">
        <f>N29+N30</f>
        <v>0</v>
      </c>
      <c r="O28" s="806"/>
      <c r="P28" s="1809"/>
    </row>
    <row r="29" spans="2:16" ht="12.75" customHeight="1" x14ac:dyDescent="0.2">
      <c r="B29" s="1797"/>
      <c r="C29" s="839"/>
      <c r="D29" s="802"/>
      <c r="E29" s="802"/>
      <c r="F29" s="802"/>
      <c r="G29" s="241"/>
      <c r="H29" s="803"/>
      <c r="I29" s="805" t="s">
        <v>27</v>
      </c>
      <c r="J29" s="2025" t="s">
        <v>12793</v>
      </c>
      <c r="K29" s="2024"/>
      <c r="L29" s="1973"/>
      <c r="M29" s="1737"/>
      <c r="N29" s="210">
        <f t="shared" si="0"/>
        <v>0</v>
      </c>
      <c r="O29" s="1973"/>
      <c r="P29" s="1809"/>
    </row>
    <row r="30" spans="2:16" ht="12.75" customHeight="1" x14ac:dyDescent="0.2">
      <c r="B30" s="1797"/>
      <c r="C30" s="839"/>
      <c r="D30" s="802"/>
      <c r="E30" s="802"/>
      <c r="F30" s="802"/>
      <c r="G30" s="241"/>
      <c r="H30" s="803"/>
      <c r="I30" s="805" t="s">
        <v>28</v>
      </c>
      <c r="J30" s="2025" t="s">
        <v>9459</v>
      </c>
      <c r="K30" s="2024"/>
      <c r="L30" s="1973"/>
      <c r="M30" s="1737"/>
      <c r="N30" s="210">
        <f t="shared" si="0"/>
        <v>0</v>
      </c>
      <c r="O30" s="1973"/>
      <c r="P30" s="1809"/>
    </row>
    <row r="31" spans="2:16" ht="12.75" customHeight="1" x14ac:dyDescent="0.2">
      <c r="B31" s="1797"/>
      <c r="C31" s="839"/>
      <c r="D31" s="802"/>
      <c r="E31" s="802"/>
      <c r="F31" s="802"/>
      <c r="G31" s="241"/>
      <c r="H31" s="803" t="s">
        <v>296</v>
      </c>
      <c r="I31" s="2025" t="s">
        <v>7557</v>
      </c>
      <c r="J31" s="2023"/>
      <c r="K31" s="2023"/>
      <c r="L31" s="210">
        <f>L32+L33+L34</f>
        <v>0</v>
      </c>
      <c r="M31" s="1737"/>
      <c r="N31" s="210">
        <f>N32+N33+N34</f>
        <v>0</v>
      </c>
      <c r="O31" s="1973"/>
      <c r="P31" s="1809"/>
    </row>
    <row r="32" spans="2:16" ht="12.75" customHeight="1" x14ac:dyDescent="0.2">
      <c r="B32" s="1797"/>
      <c r="C32" s="839"/>
      <c r="D32" s="802"/>
      <c r="E32" s="802"/>
      <c r="F32" s="802"/>
      <c r="G32" s="241"/>
      <c r="H32" s="804"/>
      <c r="I32" s="805" t="s">
        <v>27</v>
      </c>
      <c r="J32" s="257" t="s">
        <v>7558</v>
      </c>
      <c r="K32" s="800" t="s">
        <v>7559</v>
      </c>
      <c r="L32" s="806"/>
      <c r="M32" s="1737"/>
      <c r="N32" s="210">
        <f t="shared" si="0"/>
        <v>0</v>
      </c>
      <c r="O32" s="806"/>
      <c r="P32" s="1809"/>
    </row>
    <row r="33" spans="2:16" ht="12.75" customHeight="1" x14ac:dyDescent="0.2">
      <c r="B33" s="1797"/>
      <c r="C33" s="839"/>
      <c r="D33" s="802"/>
      <c r="E33" s="802"/>
      <c r="F33" s="802"/>
      <c r="G33" s="241"/>
      <c r="H33" s="803"/>
      <c r="I33" s="805" t="s">
        <v>28</v>
      </c>
      <c r="J33" s="257" t="s">
        <v>7558</v>
      </c>
      <c r="K33" s="808"/>
      <c r="L33" s="806"/>
      <c r="M33" s="1737"/>
      <c r="N33" s="210">
        <f t="shared" si="0"/>
        <v>0</v>
      </c>
      <c r="O33" s="806"/>
      <c r="P33" s="1809"/>
    </row>
    <row r="34" spans="2:16" ht="12.75" customHeight="1" x14ac:dyDescent="0.2">
      <c r="B34" s="1797"/>
      <c r="C34" s="839"/>
      <c r="D34" s="802"/>
      <c r="E34" s="802"/>
      <c r="F34" s="802"/>
      <c r="G34" s="241"/>
      <c r="H34" s="803"/>
      <c r="I34" s="803" t="s">
        <v>29</v>
      </c>
      <c r="J34" s="241" t="s">
        <v>7558</v>
      </c>
      <c r="K34" s="809"/>
      <c r="L34" s="806"/>
      <c r="M34" s="1737"/>
      <c r="N34" s="210">
        <f t="shared" si="0"/>
        <v>0</v>
      </c>
      <c r="O34" s="806"/>
      <c r="P34" s="1809"/>
    </row>
    <row r="35" spans="2:16" ht="12.75" customHeight="1" x14ac:dyDescent="0.2">
      <c r="B35" s="1797"/>
      <c r="C35" s="839"/>
      <c r="D35" s="2227">
        <f>D20+1</f>
        <v>3</v>
      </c>
      <c r="E35" s="1975" t="s">
        <v>12672</v>
      </c>
      <c r="F35" s="1975"/>
      <c r="G35" s="1986"/>
      <c r="H35" s="2226" t="s">
        <v>287</v>
      </c>
      <c r="I35" s="2220" t="s">
        <v>1064</v>
      </c>
      <c r="J35" s="2218"/>
      <c r="K35" s="2218"/>
      <c r="L35" s="806"/>
      <c r="M35" s="806"/>
      <c r="N35" s="210">
        <f t="shared" ref="N35" si="1">L35-M35</f>
        <v>0</v>
      </c>
      <c r="O35" s="1973"/>
      <c r="P35" s="1809"/>
    </row>
    <row r="36" spans="2:16" ht="12.75" customHeight="1" x14ac:dyDescent="0.2">
      <c r="B36" s="1797"/>
      <c r="C36" s="839"/>
      <c r="D36" s="802"/>
      <c r="E36" s="802"/>
      <c r="F36" s="802"/>
      <c r="G36" s="2231"/>
      <c r="H36" s="803" t="s">
        <v>290</v>
      </c>
      <c r="I36" s="2223" t="s">
        <v>770</v>
      </c>
      <c r="J36" s="2224"/>
      <c r="K36" s="2224"/>
      <c r="L36" s="2224"/>
      <c r="M36" s="2224"/>
      <c r="N36" s="2224"/>
      <c r="O36" s="2225"/>
      <c r="P36" s="1809"/>
    </row>
    <row r="37" spans="2:16" ht="12.75" customHeight="1" x14ac:dyDescent="0.2">
      <c r="B37" s="1797"/>
      <c r="C37" s="839"/>
      <c r="D37" s="802"/>
      <c r="E37" s="802"/>
      <c r="F37" s="802"/>
      <c r="G37" s="2231"/>
      <c r="H37" s="2230"/>
      <c r="I37" s="2233" t="s">
        <v>27</v>
      </c>
      <c r="J37" s="2220" t="s">
        <v>679</v>
      </c>
      <c r="K37" s="2219"/>
      <c r="L37" s="210">
        <f>L38+L39</f>
        <v>0</v>
      </c>
      <c r="M37" s="210">
        <f>M38+M39</f>
        <v>0</v>
      </c>
      <c r="N37" s="210">
        <f>N38+N39</f>
        <v>0</v>
      </c>
      <c r="O37" s="1973"/>
      <c r="P37" s="1809"/>
    </row>
    <row r="38" spans="2:16" ht="12.75" customHeight="1" x14ac:dyDescent="0.2">
      <c r="B38" s="1797"/>
      <c r="C38" s="839"/>
      <c r="D38" s="802"/>
      <c r="E38" s="802"/>
      <c r="F38" s="802"/>
      <c r="G38" s="2231"/>
      <c r="H38" s="2231"/>
      <c r="I38" s="2233" t="s">
        <v>307</v>
      </c>
      <c r="J38" s="2220" t="s">
        <v>11988</v>
      </c>
      <c r="K38" s="2219"/>
      <c r="L38" s="806"/>
      <c r="M38" s="806"/>
      <c r="N38" s="210">
        <f t="shared" ref="N38:N39" si="2">L38-M38</f>
        <v>0</v>
      </c>
      <c r="O38" s="806"/>
      <c r="P38" s="1809"/>
    </row>
    <row r="39" spans="2:16" ht="12.75" customHeight="1" x14ac:dyDescent="0.2">
      <c r="B39" s="1797"/>
      <c r="C39" s="839"/>
      <c r="D39" s="802"/>
      <c r="E39" s="802"/>
      <c r="F39" s="802"/>
      <c r="G39" s="2231"/>
      <c r="H39" s="2231"/>
      <c r="I39" s="2233" t="s">
        <v>339</v>
      </c>
      <c r="J39" s="2220" t="s">
        <v>9459</v>
      </c>
      <c r="K39" s="2219"/>
      <c r="L39" s="806"/>
      <c r="M39" s="806"/>
      <c r="N39" s="210">
        <f t="shared" si="2"/>
        <v>0</v>
      </c>
      <c r="O39" s="806"/>
      <c r="P39" s="1809"/>
    </row>
    <row r="40" spans="2:16" ht="12.75" customHeight="1" x14ac:dyDescent="0.2">
      <c r="B40" s="1797"/>
      <c r="C40" s="839"/>
      <c r="D40" s="802"/>
      <c r="E40" s="802"/>
      <c r="F40" s="802"/>
      <c r="G40" s="2231"/>
      <c r="H40" s="2231"/>
      <c r="I40" s="2233" t="s">
        <v>28</v>
      </c>
      <c r="J40" s="2220" t="s">
        <v>683</v>
      </c>
      <c r="K40" s="2219"/>
      <c r="L40" s="210">
        <f>L41+L42</f>
        <v>0</v>
      </c>
      <c r="M40" s="210">
        <f>M41+M42</f>
        <v>0</v>
      </c>
      <c r="N40" s="210">
        <f>N41+N42</f>
        <v>0</v>
      </c>
      <c r="O40" s="1973"/>
      <c r="P40" s="1809"/>
    </row>
    <row r="41" spans="2:16" ht="12.75" customHeight="1" x14ac:dyDescent="0.2">
      <c r="B41" s="1797"/>
      <c r="C41" s="839"/>
      <c r="D41" s="802"/>
      <c r="E41" s="802"/>
      <c r="F41" s="802"/>
      <c r="G41" s="2231"/>
      <c r="H41" s="2231"/>
      <c r="I41" s="2233" t="s">
        <v>289</v>
      </c>
      <c r="J41" s="2220" t="s">
        <v>11989</v>
      </c>
      <c r="K41" s="2219"/>
      <c r="L41" s="806"/>
      <c r="M41" s="806"/>
      <c r="N41" s="210">
        <f t="shared" ref="N41:N42" si="3">L41-M41</f>
        <v>0</v>
      </c>
      <c r="O41" s="806"/>
      <c r="P41" s="1809"/>
    </row>
    <row r="42" spans="2:16" ht="12.75" customHeight="1" x14ac:dyDescent="0.2">
      <c r="B42" s="1797"/>
      <c r="C42" s="839"/>
      <c r="D42" s="802"/>
      <c r="E42" s="802"/>
      <c r="F42" s="802"/>
      <c r="G42" s="2231"/>
      <c r="H42" s="2232"/>
      <c r="I42" s="2233" t="s">
        <v>292</v>
      </c>
      <c r="J42" s="2220" t="s">
        <v>11990</v>
      </c>
      <c r="K42" s="2219"/>
      <c r="L42" s="806"/>
      <c r="M42" s="806"/>
      <c r="N42" s="210">
        <f t="shared" si="3"/>
        <v>0</v>
      </c>
      <c r="O42" s="806"/>
      <c r="P42" s="1809"/>
    </row>
    <row r="43" spans="2:16" ht="12.75" customHeight="1" x14ac:dyDescent="0.2">
      <c r="B43" s="1797"/>
      <c r="C43" s="839"/>
      <c r="D43" s="802"/>
      <c r="E43" s="802"/>
      <c r="F43" s="802"/>
      <c r="G43" s="2231"/>
      <c r="H43" s="2233" t="s">
        <v>293</v>
      </c>
      <c r="I43" s="2220" t="s">
        <v>771</v>
      </c>
      <c r="J43" s="2218"/>
      <c r="K43" s="2218"/>
      <c r="L43" s="210">
        <f>L44+L45</f>
        <v>0</v>
      </c>
      <c r="M43" s="1737"/>
      <c r="N43" s="210">
        <f>N44+N45</f>
        <v>0</v>
      </c>
      <c r="O43" s="806"/>
      <c r="P43" s="1809"/>
    </row>
    <row r="44" spans="2:16" ht="12.75" customHeight="1" x14ac:dyDescent="0.2">
      <c r="B44" s="1797"/>
      <c r="C44" s="839"/>
      <c r="D44" s="802"/>
      <c r="E44" s="802"/>
      <c r="F44" s="802"/>
      <c r="G44" s="2231"/>
      <c r="H44" s="803"/>
      <c r="I44" s="2233" t="s">
        <v>27</v>
      </c>
      <c r="J44" s="2220" t="s">
        <v>12793</v>
      </c>
      <c r="K44" s="2219"/>
      <c r="L44" s="1973"/>
      <c r="M44" s="1737"/>
      <c r="N44" s="210">
        <f t="shared" ref="N44:N45" si="4">L44-M44</f>
        <v>0</v>
      </c>
      <c r="O44" s="1973"/>
      <c r="P44" s="1809"/>
    </row>
    <row r="45" spans="2:16" ht="12.75" customHeight="1" x14ac:dyDescent="0.2">
      <c r="B45" s="1797"/>
      <c r="C45" s="839"/>
      <c r="D45" s="802"/>
      <c r="E45" s="802"/>
      <c r="F45" s="802"/>
      <c r="G45" s="2231"/>
      <c r="H45" s="803"/>
      <c r="I45" s="2233" t="s">
        <v>28</v>
      </c>
      <c r="J45" s="2220" t="s">
        <v>9459</v>
      </c>
      <c r="K45" s="2219"/>
      <c r="L45" s="1973"/>
      <c r="M45" s="1737"/>
      <c r="N45" s="210">
        <f t="shared" si="4"/>
        <v>0</v>
      </c>
      <c r="O45" s="1973"/>
      <c r="P45" s="1809"/>
    </row>
    <row r="46" spans="2:16" ht="12.75" customHeight="1" x14ac:dyDescent="0.2">
      <c r="B46" s="1797"/>
      <c r="C46" s="839"/>
      <c r="D46" s="802"/>
      <c r="E46" s="802"/>
      <c r="F46" s="802"/>
      <c r="G46" s="2231"/>
      <c r="H46" s="803" t="s">
        <v>296</v>
      </c>
      <c r="I46" s="2220" t="s">
        <v>7557</v>
      </c>
      <c r="J46" s="2218"/>
      <c r="K46" s="2218"/>
      <c r="L46" s="210">
        <f>L47+L48+L49</f>
        <v>0</v>
      </c>
      <c r="M46" s="1737"/>
      <c r="N46" s="210">
        <f>N47+N48+N49</f>
        <v>0</v>
      </c>
      <c r="O46" s="1973"/>
      <c r="P46" s="1809"/>
    </row>
    <row r="47" spans="2:16" ht="12.75" customHeight="1" x14ac:dyDescent="0.2">
      <c r="B47" s="1797"/>
      <c r="C47" s="839"/>
      <c r="D47" s="802"/>
      <c r="E47" s="802"/>
      <c r="F47" s="802"/>
      <c r="G47" s="2231"/>
      <c r="H47" s="804"/>
      <c r="I47" s="2233" t="s">
        <v>27</v>
      </c>
      <c r="J47" s="2232" t="s">
        <v>7558</v>
      </c>
      <c r="K47" s="800" t="s">
        <v>7559</v>
      </c>
      <c r="L47" s="806"/>
      <c r="M47" s="1737"/>
      <c r="N47" s="210">
        <f t="shared" ref="N47:N49" si="5">L47-M47</f>
        <v>0</v>
      </c>
      <c r="O47" s="806"/>
      <c r="P47" s="1809"/>
    </row>
    <row r="48" spans="2:16" ht="12.75" customHeight="1" x14ac:dyDescent="0.2">
      <c r="B48" s="1797"/>
      <c r="C48" s="839"/>
      <c r="D48" s="802"/>
      <c r="E48" s="802"/>
      <c r="F48" s="802"/>
      <c r="G48" s="2231"/>
      <c r="H48" s="803"/>
      <c r="I48" s="2233" t="s">
        <v>28</v>
      </c>
      <c r="J48" s="2232" t="s">
        <v>7558</v>
      </c>
      <c r="K48" s="808"/>
      <c r="L48" s="806"/>
      <c r="M48" s="1737"/>
      <c r="N48" s="210">
        <f t="shared" si="5"/>
        <v>0</v>
      </c>
      <c r="O48" s="806"/>
      <c r="P48" s="1809"/>
    </row>
    <row r="49" spans="2:16" ht="12.75" customHeight="1" x14ac:dyDescent="0.2">
      <c r="B49" s="1797"/>
      <c r="C49" s="839"/>
      <c r="D49" s="802"/>
      <c r="E49" s="802"/>
      <c r="F49" s="802"/>
      <c r="G49" s="2231"/>
      <c r="H49" s="803"/>
      <c r="I49" s="803" t="s">
        <v>29</v>
      </c>
      <c r="J49" s="2231" t="s">
        <v>7558</v>
      </c>
      <c r="K49" s="809"/>
      <c r="L49" s="806"/>
      <c r="M49" s="1737"/>
      <c r="N49" s="210">
        <f t="shared" si="5"/>
        <v>0</v>
      </c>
      <c r="O49" s="806"/>
      <c r="P49" s="1809"/>
    </row>
    <row r="50" spans="2:16" ht="12.75" customHeight="1" x14ac:dyDescent="0.2">
      <c r="B50" s="1797"/>
      <c r="C50" s="851"/>
      <c r="D50" s="810"/>
      <c r="E50" s="811"/>
      <c r="F50" s="811"/>
      <c r="G50" s="811"/>
      <c r="H50" s="811"/>
      <c r="I50" s="811"/>
      <c r="J50" s="811"/>
      <c r="K50" s="1072"/>
      <c r="L50" s="1073"/>
      <c r="M50" s="1073"/>
      <c r="N50" s="1073"/>
      <c r="O50" s="1074"/>
      <c r="P50" s="1809"/>
    </row>
    <row r="51" spans="2:16" ht="12.75" customHeight="1" thickBot="1" x14ac:dyDescent="0.25">
      <c r="B51" s="1797"/>
      <c r="C51" s="848"/>
      <c r="D51" s="812" t="s">
        <v>6808</v>
      </c>
      <c r="E51" s="1736"/>
      <c r="F51" s="813" t="s">
        <v>7560</v>
      </c>
      <c r="G51" s="814"/>
      <c r="H51" s="814"/>
      <c r="I51" s="814"/>
      <c r="J51" s="814"/>
      <c r="K51" s="1075"/>
      <c r="L51" s="1076"/>
      <c r="M51" s="1076"/>
      <c r="N51" s="1076"/>
      <c r="O51" s="1077"/>
      <c r="P51" s="1809"/>
    </row>
    <row r="52" spans="2:16" ht="12.75" customHeight="1" x14ac:dyDescent="0.2">
      <c r="B52" s="1797"/>
      <c r="C52" s="848"/>
      <c r="D52" s="3867"/>
      <c r="E52" s="3867"/>
      <c r="F52" s="3867"/>
      <c r="G52" s="3867"/>
      <c r="H52" s="3867"/>
      <c r="I52" s="3867"/>
      <c r="J52" s="3867"/>
      <c r="K52" s="3867"/>
      <c r="L52" s="3867"/>
      <c r="M52" s="3867"/>
      <c r="N52" s="3867"/>
      <c r="O52" s="3867"/>
      <c r="P52" s="1809"/>
    </row>
    <row r="53" spans="2:16" ht="21.75" customHeight="1" thickBot="1" x14ac:dyDescent="0.25">
      <c r="B53" s="1824"/>
      <c r="C53" s="1825"/>
      <c r="D53" s="3868"/>
      <c r="E53" s="3868"/>
      <c r="F53" s="3868"/>
      <c r="G53" s="3868"/>
      <c r="H53" s="3868"/>
      <c r="I53" s="3868"/>
      <c r="J53" s="3868"/>
      <c r="K53" s="3868"/>
      <c r="L53" s="3868"/>
      <c r="M53" s="3868"/>
      <c r="N53" s="3868"/>
      <c r="O53" s="3868"/>
      <c r="P53" s="1842"/>
    </row>
    <row r="54" spans="2:16" x14ac:dyDescent="0.2"/>
  </sheetData>
  <sheetProtection algorithmName="SHA-512" hashValue="7ZGsKJRIhI6BtFe/op1Z+21nfK5Uc+6PqEADtm7tASNLP7xniu0FeoGx0qOZzaVy0+oIsUR/ImI2E66tOzCAzg==" saltValue="WhBdLMesZ+wPP5UXtTUdpw==" spinCount="100000" sheet="1" objects="1" scenarios="1"/>
  <mergeCells count="4">
    <mergeCell ref="D52:O53"/>
    <mergeCell ref="F3:O3"/>
    <mergeCell ref="I4:K4"/>
    <mergeCell ref="C3:E3"/>
  </mergeCells>
  <dataValidations count="7">
    <dataValidation type="textLength" operator="lessThanOrEqual" allowBlank="1" showInputMessage="1" showErrorMessage="1" errorTitle="U/s" error="u/s cannot be more than 10 characters" sqref="K18:K19 K33:K34 K48:K49">
      <formula1>10</formula1>
    </dataValidation>
    <dataValidation type="textLength" operator="equal" allowBlank="1" showErrorMessage="1" errorTitle="PAN" error="PAN  is invalid. First 5 alphabets, next 4 digits, then alphabet" sqref="G5 G20 G35">
      <formula1>10</formula1>
    </dataValidation>
    <dataValidation type="textLength" operator="lessThanOrEqual" allowBlank="1" showInputMessage="1" showErrorMessage="1" errorTitle="Name of business trust" error="Name of business trust/ investment fund cannot be more than 125 characters" sqref="F5 F20 F35">
      <formula1>125</formula1>
    </dataValidation>
    <dataValidation type="whole" allowBlank="1" showInputMessage="1" showErrorMessage="1" error="Amount should be numeric, no decimal, upto 14 digits." sqref="L28 M31:N31 M16:N16 N5 L13 N17:N20 N7:N15 L7:M7 L10:M10 M13:M15 L22:M22 N22:N30 M28:M30 M32:M34 L25:M25 M17:M19 L37:M37 N37:N45 L43 M46:N49 N32:N35 L40:M40 M43:M45 O7 O10 O13">
      <formula1>-99999999999999</formula1>
      <formula2>99999999999999</formula2>
    </dataValidation>
    <dataValidation type="whole" allowBlank="1" showInputMessage="1" showErrorMessage="1" error="Amount should be numeric, non negative, no decimal, upto 14 digits." sqref="O37:O49 O5 O22:O35 O8:O9 O11:O12 O14:O15 O17:O20">
      <formula1>0</formula1>
      <formula2>99999999999999</formula2>
    </dataValidation>
    <dataValidation type="list" allowBlank="1" showInputMessage="1" showErrorMessage="1" sqref="E5 E20 E35">
      <formula1>"(Select),Section 115UA,Section 115UB"</formula1>
    </dataValidation>
    <dataValidation type="whole" allowBlank="1" showInputMessage="1" showErrorMessage="1" error="Amount should be numeric, no decimal, Non Negative and upto 14 digits." sqref="L5:M5 L8:M9 L11:M12 L14:L15 L17:L20 M20 L23:M24 L26:M27 L29:L30 M35 L32:L35 L38:M39 L41:M42 L44:L45 L47:L49">
      <formula1>0</formula1>
      <formula2>99999999999999</formula2>
    </dataValidation>
  </dataValidations>
  <printOptions horizontalCentered="1"/>
  <pageMargins left="5.5555555555555558E-3" right="5.5555555555555558E-3" top="0.75" bottom="0.75" header="0.3" footer="0.3"/>
  <pageSetup paperSize="9" orientation="landscape" blackAndWhite="1" r:id="rId1"/>
  <ignoredErrors>
    <ignoredError sqref="N10 N13 N16 N25 N28 N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Button 1">
              <controlPr defaultSize="0" print="0" autoFill="0" autoPict="0" macro="[0]!ValidatePTI">
                <anchor>
                  <from>
                    <xdr:col>16</xdr:col>
                    <xdr:colOff>219075</xdr:colOff>
                    <xdr:row>3</xdr:row>
                    <xdr:rowOff>133350</xdr:rowOff>
                  </from>
                  <to>
                    <xdr:col>16</xdr:col>
                    <xdr:colOff>1590675</xdr:colOff>
                    <xdr:row>3</xdr:row>
                    <xdr:rowOff>400050</xdr:rowOff>
                  </to>
                </anchor>
              </controlPr>
            </control>
          </mc:Choice>
        </mc:AlternateContent>
        <mc:AlternateContent xmlns:mc="http://schemas.openxmlformats.org/markup-compatibility/2006">
          <mc:Choice Requires="x14">
            <control shapeId="165890" r:id="rId5" name="Button 2">
              <controlPr defaultSize="0" print="0" autoFill="0" autoPict="0" macro="[0]!Prev_Sheet">
                <anchor>
                  <from>
                    <xdr:col>16</xdr:col>
                    <xdr:colOff>219075</xdr:colOff>
                    <xdr:row>5</xdr:row>
                    <xdr:rowOff>0</xdr:rowOff>
                  </from>
                  <to>
                    <xdr:col>16</xdr:col>
                    <xdr:colOff>1590675</xdr:colOff>
                    <xdr:row>6</xdr:row>
                    <xdr:rowOff>114300</xdr:rowOff>
                  </to>
                </anchor>
              </controlPr>
            </control>
          </mc:Choice>
        </mc:AlternateContent>
        <mc:AlternateContent xmlns:mc="http://schemas.openxmlformats.org/markup-compatibility/2006">
          <mc:Choice Requires="x14">
            <control shapeId="165891" r:id="rId6" name="Button 3">
              <controlPr defaultSize="0" print="0" autoFill="0" autoPict="0" macro="[0]!Img_Home_Click">
                <anchor>
                  <from>
                    <xdr:col>16</xdr:col>
                    <xdr:colOff>219075</xdr:colOff>
                    <xdr:row>1</xdr:row>
                    <xdr:rowOff>152400</xdr:rowOff>
                  </from>
                  <to>
                    <xdr:col>16</xdr:col>
                    <xdr:colOff>1590675</xdr:colOff>
                    <xdr:row>3</xdr:row>
                    <xdr:rowOff>104775</xdr:rowOff>
                  </to>
                </anchor>
              </controlPr>
            </control>
          </mc:Choice>
        </mc:AlternateContent>
        <mc:AlternateContent xmlns:mc="http://schemas.openxmlformats.org/markup-compatibility/2006">
          <mc:Choice Requires="x14">
            <control shapeId="165892" r:id="rId7" name="Button 4">
              <controlPr defaultSize="0" print="0" autoFill="0" autoPict="0" macro="[0]!Next_Sheet">
                <anchor>
                  <from>
                    <xdr:col>16</xdr:col>
                    <xdr:colOff>219075</xdr:colOff>
                    <xdr:row>3</xdr:row>
                    <xdr:rowOff>409575</xdr:rowOff>
                  </from>
                  <to>
                    <xdr:col>16</xdr:col>
                    <xdr:colOff>1590675</xdr:colOff>
                    <xdr:row>4</xdr:row>
                    <xdr:rowOff>142875</xdr:rowOff>
                  </to>
                </anchor>
              </controlPr>
            </control>
          </mc:Choice>
        </mc:AlternateContent>
        <mc:AlternateContent xmlns:mc="http://schemas.openxmlformats.org/markup-compatibility/2006">
          <mc:Choice Requires="x14">
            <control shapeId="165893" r:id="rId8" name="Button 5">
              <controlPr defaultSize="0" print="0" autoFill="0" autoPict="0" macro="[0]!Instruction_Sheet">
                <anchor>
                  <from>
                    <xdr:col>16</xdr:col>
                    <xdr:colOff>219075</xdr:colOff>
                    <xdr:row>10</xdr:row>
                    <xdr:rowOff>66675</xdr:rowOff>
                  </from>
                  <to>
                    <xdr:col>16</xdr:col>
                    <xdr:colOff>1590675</xdr:colOff>
                    <xdr:row>12</xdr:row>
                    <xdr:rowOff>19050</xdr:rowOff>
                  </to>
                </anchor>
              </controlPr>
            </control>
          </mc:Choice>
        </mc:AlternateContent>
        <mc:AlternateContent xmlns:mc="http://schemas.openxmlformats.org/markup-compatibility/2006">
          <mc:Choice Requires="x14">
            <control shapeId="165894" r:id="rId9" name="Button 6">
              <controlPr defaultSize="0" print="0" autoFill="0" autoPict="0" macro="[0]!WorksheetsPrint">
                <anchor>
                  <from>
                    <xdr:col>16</xdr:col>
                    <xdr:colOff>219075</xdr:colOff>
                    <xdr:row>8</xdr:row>
                    <xdr:rowOff>95250</xdr:rowOff>
                  </from>
                  <to>
                    <xdr:col>16</xdr:col>
                    <xdr:colOff>1590675</xdr:colOff>
                    <xdr:row>10</xdr:row>
                    <xdr:rowOff>57150</xdr:rowOff>
                  </to>
                </anchor>
              </controlPr>
            </control>
          </mc:Choice>
        </mc:AlternateContent>
        <mc:AlternateContent xmlns:mc="http://schemas.openxmlformats.org/markup-compatibility/2006">
          <mc:Choice Requires="x14">
            <control shapeId="165895" r:id="rId10" name="Button 7">
              <controlPr defaultSize="0" print="0" autoFill="0" autoPict="0" macro="[0]!GenerateJSON.GenerateJSON">
                <anchor>
                  <from>
                    <xdr:col>16</xdr:col>
                    <xdr:colOff>228600</xdr:colOff>
                    <xdr:row>6</xdr:row>
                    <xdr:rowOff>142875</xdr:rowOff>
                  </from>
                  <to>
                    <xdr:col>16</xdr:col>
                    <xdr:colOff>1600200</xdr:colOff>
                    <xdr:row>8</xdr:row>
                    <xdr:rowOff>95250</xdr:rowOff>
                  </to>
                </anchor>
              </controlPr>
            </control>
          </mc:Choice>
        </mc:AlternateContent>
        <mc:AlternateContent xmlns:mc="http://schemas.openxmlformats.org/markup-compatibility/2006">
          <mc:Choice Requires="x14">
            <control shapeId="165896" r:id="rId11" name="Button 8">
              <controlPr defaultSize="0" print="0" autoFill="0" autoPict="0" macro="[0]!AddRows_PTI">
                <anchor moveWithCells="1">
                  <from>
                    <xdr:col>3</xdr:col>
                    <xdr:colOff>28575</xdr:colOff>
                    <xdr:row>51</xdr:row>
                    <xdr:rowOff>28575</xdr:rowOff>
                  </from>
                  <to>
                    <xdr:col>4</xdr:col>
                    <xdr:colOff>752475</xdr:colOff>
                    <xdr:row>52</xdr:row>
                    <xdr:rowOff>142875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7"/>
  <dimension ref="B1:Q36"/>
  <sheetViews>
    <sheetView showGridLines="0" showRowColHeaders="0" zoomScaleNormal="100" workbookViewId="0"/>
  </sheetViews>
  <sheetFormatPr defaultColWidth="0" defaultRowHeight="15" zeroHeight="1" x14ac:dyDescent="0.25"/>
  <cols>
    <col min="1" max="1" width="2" customWidth="1"/>
    <col min="2" max="2" width="2.42578125" customWidth="1"/>
    <col min="3" max="3" width="9.140625" customWidth="1"/>
    <col min="4" max="4" width="18.5703125" customWidth="1"/>
    <col min="5" max="5" width="21.7109375" customWidth="1"/>
    <col min="6" max="6" width="15.140625" customWidth="1"/>
    <col min="7" max="7" width="20.85546875" customWidth="1"/>
    <col min="8" max="8" width="19.5703125" customWidth="1"/>
    <col min="9" max="9" width="15.5703125" customWidth="1"/>
    <col min="10" max="14" width="9.140625" customWidth="1"/>
    <col min="15" max="15" width="3.85546875" customWidth="1"/>
    <col min="16" max="16" width="15.85546875" customWidth="1"/>
    <col min="17" max="17" width="2.85546875" customWidth="1"/>
    <col min="18" max="20" width="9.140625" customWidth="1"/>
  </cols>
  <sheetData>
    <row r="1" spans="2:17" ht="15.75" thickBot="1" x14ac:dyDescent="0.3"/>
    <row r="2" spans="2:17" x14ac:dyDescent="0.25">
      <c r="B2" s="1251"/>
      <c r="C2" s="1250"/>
      <c r="D2" s="1250"/>
      <c r="E2" s="1250"/>
      <c r="F2" s="1250"/>
      <c r="G2" s="1250"/>
      <c r="H2" s="1250"/>
      <c r="I2" s="1250"/>
      <c r="J2" s="1250"/>
      <c r="K2" s="1250"/>
      <c r="L2" s="1250"/>
      <c r="M2" s="1250"/>
      <c r="N2" s="1250"/>
      <c r="O2" s="1250"/>
      <c r="P2" s="1250"/>
      <c r="Q2" s="1249"/>
    </row>
    <row r="3" spans="2:17" ht="13.5" customHeight="1" x14ac:dyDescent="0.25">
      <c r="B3" s="1248"/>
      <c r="C3" s="815" t="s">
        <v>11944</v>
      </c>
      <c r="D3" s="846"/>
      <c r="E3" s="846"/>
      <c r="F3" s="846"/>
      <c r="G3" s="846"/>
      <c r="H3" s="846"/>
      <c r="I3" s="846"/>
      <c r="J3" s="846"/>
      <c r="K3" s="846"/>
      <c r="L3" s="846"/>
      <c r="M3" s="846"/>
      <c r="N3" s="846"/>
      <c r="O3" s="846"/>
      <c r="P3" s="847"/>
      <c r="Q3" s="1247"/>
    </row>
    <row r="4" spans="2:17" ht="27" customHeight="1" x14ac:dyDescent="0.25">
      <c r="B4" s="1248"/>
      <c r="C4" s="26">
        <v>1</v>
      </c>
      <c r="D4" s="3047" t="s">
        <v>13058</v>
      </c>
      <c r="E4" s="3335"/>
      <c r="F4" s="3335"/>
      <c r="G4" s="3335"/>
      <c r="H4" s="3335"/>
      <c r="I4" s="3335"/>
      <c r="J4" s="3335"/>
      <c r="K4" s="3335"/>
      <c r="L4" s="3335"/>
      <c r="M4" s="3335"/>
      <c r="N4" s="3335"/>
      <c r="O4" s="3336"/>
      <c r="P4" s="2646"/>
      <c r="Q4" s="1247"/>
    </row>
    <row r="5" spans="2:17" s="2245" customFormat="1" ht="17.25" hidden="1" customHeight="1" x14ac:dyDescent="0.25">
      <c r="B5" s="1248"/>
      <c r="C5" s="2241"/>
      <c r="D5" s="2242" t="s">
        <v>12800</v>
      </c>
      <c r="E5" s="2247" t="s">
        <v>415</v>
      </c>
      <c r="F5" s="2243"/>
      <c r="G5" s="2243"/>
      <c r="H5" s="2243"/>
      <c r="I5" s="2243"/>
      <c r="J5" s="2457"/>
      <c r="K5" s="2243"/>
      <c r="L5" s="2243"/>
      <c r="M5" s="2243"/>
      <c r="N5" s="2243"/>
      <c r="O5" s="2244"/>
      <c r="P5" s="1974"/>
      <c r="Q5" s="1247"/>
    </row>
    <row r="6" spans="2:17" s="2245" customFormat="1" ht="17.25" hidden="1" customHeight="1" x14ac:dyDescent="0.25">
      <c r="B6" s="1248"/>
      <c r="C6" s="2241" t="s">
        <v>328</v>
      </c>
      <c r="D6" s="2248" t="s">
        <v>8904</v>
      </c>
      <c r="E6" s="2646"/>
      <c r="F6" s="2243"/>
      <c r="G6" s="2243"/>
      <c r="H6" s="2243"/>
      <c r="I6" s="2243"/>
      <c r="J6" s="2243"/>
      <c r="K6" s="2243"/>
      <c r="L6" s="2243"/>
      <c r="M6" s="2243"/>
      <c r="N6" s="2243"/>
      <c r="O6" s="2244"/>
      <c r="P6" s="1974"/>
      <c r="Q6" s="1247"/>
    </row>
    <row r="7" spans="2:17" s="2251" customFormat="1" ht="17.25" hidden="1" customHeight="1" x14ac:dyDescent="0.25">
      <c r="B7" s="1248"/>
      <c r="C7" s="2246" t="s">
        <v>330</v>
      </c>
      <c r="D7" s="2248" t="s">
        <v>11986</v>
      </c>
      <c r="E7" s="2646"/>
      <c r="F7" s="2249"/>
      <c r="G7" s="2249"/>
      <c r="H7" s="2249"/>
      <c r="I7" s="2249"/>
      <c r="J7" s="2249"/>
      <c r="K7" s="2249"/>
      <c r="L7" s="2249"/>
      <c r="M7" s="2249"/>
      <c r="N7" s="2249"/>
      <c r="O7" s="2250"/>
      <c r="P7" s="1974"/>
      <c r="Q7" s="1247"/>
    </row>
    <row r="8" spans="2:17" ht="18" customHeight="1" x14ac:dyDescent="0.25">
      <c r="B8" s="1248"/>
      <c r="C8" s="26" t="s">
        <v>697</v>
      </c>
      <c r="D8" s="3047" t="s">
        <v>11945</v>
      </c>
      <c r="E8" s="3335"/>
      <c r="F8" s="3335"/>
      <c r="G8" s="3335"/>
      <c r="H8" s="3335"/>
      <c r="I8" s="3335"/>
      <c r="J8" s="3335"/>
      <c r="K8" s="3335"/>
      <c r="L8" s="3335"/>
      <c r="M8" s="3335"/>
      <c r="N8" s="3335"/>
      <c r="O8" s="3336"/>
      <c r="P8" s="210">
        <f>TPSA_92CE_Amount*0.18</f>
        <v>0</v>
      </c>
      <c r="Q8" s="1247"/>
    </row>
    <row r="9" spans="2:17" ht="16.5" customHeight="1" x14ac:dyDescent="0.25">
      <c r="B9" s="1248"/>
      <c r="C9" s="26" t="s">
        <v>699</v>
      </c>
      <c r="D9" s="3047" t="s">
        <v>11946</v>
      </c>
      <c r="E9" s="3335"/>
      <c r="F9" s="3335"/>
      <c r="G9" s="3335"/>
      <c r="H9" s="3335"/>
      <c r="I9" s="3335"/>
      <c r="J9" s="3335"/>
      <c r="K9" s="3335"/>
      <c r="L9" s="3335"/>
      <c r="M9" s="3335"/>
      <c r="N9" s="3335"/>
      <c r="O9" s="3336"/>
      <c r="P9" s="210">
        <f>TPSA_Additional_Income*0.12</f>
        <v>0</v>
      </c>
      <c r="Q9" s="1247"/>
    </row>
    <row r="10" spans="2:17" ht="15" customHeight="1" x14ac:dyDescent="0.25">
      <c r="B10" s="1248"/>
      <c r="C10" s="26" t="s">
        <v>322</v>
      </c>
      <c r="D10" s="3047" t="s">
        <v>11947</v>
      </c>
      <c r="E10" s="3335"/>
      <c r="F10" s="3335"/>
      <c r="G10" s="3335"/>
      <c r="H10" s="3335"/>
      <c r="I10" s="3335"/>
      <c r="J10" s="3335"/>
      <c r="K10" s="3335"/>
      <c r="L10" s="3335"/>
      <c r="M10" s="3335"/>
      <c r="N10" s="3335"/>
      <c r="O10" s="3336"/>
      <c r="P10" s="210">
        <f>(TPSA_Additional_Income+TPSA_Surcharge)*0.04</f>
        <v>0</v>
      </c>
      <c r="Q10" s="1247"/>
    </row>
    <row r="11" spans="2:17" ht="15" customHeight="1" x14ac:dyDescent="0.25">
      <c r="B11" s="1248"/>
      <c r="C11" s="26" t="s">
        <v>702</v>
      </c>
      <c r="D11" s="3047" t="s">
        <v>11948</v>
      </c>
      <c r="E11" s="3335"/>
      <c r="F11" s="3335"/>
      <c r="G11" s="3335"/>
      <c r="H11" s="3335"/>
      <c r="I11" s="3335"/>
      <c r="J11" s="3335"/>
      <c r="K11" s="3335"/>
      <c r="L11" s="3335"/>
      <c r="M11" s="3335"/>
      <c r="N11" s="3335"/>
      <c r="O11" s="3336"/>
      <c r="P11" s="210">
        <f>TPSA_Additional_Income+TPSA_Surcharge+TPSA_Education_Cess</f>
        <v>0</v>
      </c>
      <c r="Q11" s="1247"/>
    </row>
    <row r="12" spans="2:17" x14ac:dyDescent="0.25">
      <c r="B12" s="1248"/>
      <c r="C12" s="26">
        <v>3</v>
      </c>
      <c r="D12" s="3047" t="s">
        <v>11949</v>
      </c>
      <c r="E12" s="3335"/>
      <c r="F12" s="3335"/>
      <c r="G12" s="3335"/>
      <c r="H12" s="3335"/>
      <c r="I12" s="3335"/>
      <c r="J12" s="3335"/>
      <c r="K12" s="3335"/>
      <c r="L12" s="3335"/>
      <c r="M12" s="3335"/>
      <c r="N12" s="3335"/>
      <c r="O12" s="3336"/>
      <c r="P12" s="210">
        <f>TPSC_Amount_Deposited</f>
        <v>0</v>
      </c>
      <c r="Q12" s="1247"/>
    </row>
    <row r="13" spans="2:17" x14ac:dyDescent="0.25">
      <c r="B13" s="1248"/>
      <c r="C13" s="26">
        <v>4</v>
      </c>
      <c r="D13" s="3047" t="s">
        <v>11950</v>
      </c>
      <c r="E13" s="3335"/>
      <c r="F13" s="3335"/>
      <c r="G13" s="3335"/>
      <c r="H13" s="3335"/>
      <c r="I13" s="3335"/>
      <c r="J13" s="3335"/>
      <c r="K13" s="3335"/>
      <c r="L13" s="3335"/>
      <c r="M13" s="3335"/>
      <c r="N13" s="3335"/>
      <c r="O13" s="3336"/>
      <c r="P13" s="210">
        <f>MAX(TPSA_AddtionalTax_Total-TPSA_Taxpaid,0)</f>
        <v>0</v>
      </c>
      <c r="Q13" s="1247"/>
    </row>
    <row r="14" spans="2:17" x14ac:dyDescent="0.25">
      <c r="B14" s="1248"/>
      <c r="C14" s="1885"/>
      <c r="D14" s="1886"/>
      <c r="E14" s="848"/>
      <c r="F14" s="848"/>
      <c r="G14" s="848"/>
      <c r="H14" s="848"/>
      <c r="I14" s="848"/>
      <c r="J14" s="848"/>
      <c r="K14" s="848"/>
      <c r="L14" s="848"/>
      <c r="M14" s="848"/>
      <c r="N14" s="848"/>
      <c r="O14" s="848"/>
      <c r="P14" s="848"/>
      <c r="Q14" s="1247"/>
    </row>
    <row r="15" spans="2:17" x14ac:dyDescent="0.25">
      <c r="B15" s="1248"/>
      <c r="C15" s="1771" t="s">
        <v>11951</v>
      </c>
      <c r="D15" s="1770"/>
      <c r="E15" s="982"/>
      <c r="F15" s="982"/>
      <c r="G15" s="982"/>
      <c r="H15" s="982"/>
      <c r="I15" s="1887"/>
      <c r="J15" s="848"/>
      <c r="K15" s="848"/>
      <c r="L15" s="848"/>
      <c r="M15" s="848"/>
      <c r="N15" s="848"/>
      <c r="O15" s="848"/>
      <c r="P15" s="848"/>
      <c r="Q15" s="1247"/>
    </row>
    <row r="16" spans="2:17" ht="25.5" x14ac:dyDescent="0.25">
      <c r="B16" s="1248"/>
      <c r="C16" s="26" t="s">
        <v>1056</v>
      </c>
      <c r="D16" s="1345" t="s">
        <v>11952</v>
      </c>
      <c r="E16" s="1200" t="s">
        <v>11953</v>
      </c>
      <c r="F16" s="1200" t="s">
        <v>11954</v>
      </c>
      <c r="G16" s="1200" t="s">
        <v>11955</v>
      </c>
      <c r="H16" s="1346" t="s">
        <v>415</v>
      </c>
      <c r="I16" s="1888"/>
      <c r="J16" s="848"/>
      <c r="K16" s="848"/>
      <c r="L16" s="848"/>
      <c r="M16" s="848"/>
      <c r="N16" s="848"/>
      <c r="O16" s="848"/>
      <c r="P16" s="848"/>
      <c r="Q16" s="1247"/>
    </row>
    <row r="17" spans="2:17" x14ac:dyDescent="0.25">
      <c r="B17" s="1248"/>
      <c r="C17" s="26">
        <v>1</v>
      </c>
      <c r="D17" s="2623" t="s">
        <v>23</v>
      </c>
      <c r="E17" s="2469"/>
      <c r="F17" s="2623" t="s">
        <v>23</v>
      </c>
      <c r="G17" s="2469"/>
      <c r="H17" s="2469"/>
      <c r="I17" s="1731"/>
      <c r="J17" s="848"/>
      <c r="K17" s="848"/>
      <c r="L17" s="848"/>
      <c r="M17" s="848"/>
      <c r="N17" s="848"/>
      <c r="O17" s="848"/>
      <c r="P17" s="848"/>
      <c r="Q17" s="1247"/>
    </row>
    <row r="18" spans="2:17" x14ac:dyDescent="0.25">
      <c r="B18" s="1248"/>
      <c r="C18" s="26">
        <f>C17+1</f>
        <v>2</v>
      </c>
      <c r="D18" s="2623" t="s">
        <v>23</v>
      </c>
      <c r="E18" s="2469"/>
      <c r="F18" s="2623" t="s">
        <v>23</v>
      </c>
      <c r="G18" s="2469"/>
      <c r="H18" s="2469"/>
      <c r="I18" s="1731"/>
      <c r="J18" s="848"/>
      <c r="K18" s="848"/>
      <c r="L18" s="848"/>
      <c r="M18" s="848"/>
      <c r="N18" s="848"/>
      <c r="O18" s="848"/>
      <c r="P18" s="848"/>
      <c r="Q18" s="1247"/>
    </row>
    <row r="19" spans="2:17" ht="19.5" customHeight="1" x14ac:dyDescent="0.25">
      <c r="B19" s="1248"/>
      <c r="C19" s="3063" t="s">
        <v>11956</v>
      </c>
      <c r="D19" s="3091"/>
      <c r="E19" s="3091"/>
      <c r="F19" s="3091"/>
      <c r="G19" s="3091"/>
      <c r="H19" s="210">
        <f>SUM(TPSC_Amt)</f>
        <v>0</v>
      </c>
      <c r="I19" s="1889"/>
      <c r="J19" s="848"/>
      <c r="K19" s="848"/>
      <c r="L19" s="848"/>
      <c r="M19" s="848"/>
      <c r="N19" s="848"/>
      <c r="O19" s="848"/>
      <c r="P19" s="848"/>
      <c r="Q19" s="1247"/>
    </row>
    <row r="20" spans="2:17" ht="34.5" customHeight="1" x14ac:dyDescent="0.25">
      <c r="B20" s="1248"/>
      <c r="C20" s="3384"/>
      <c r="D20" s="3384"/>
      <c r="E20" s="3384"/>
      <c r="F20" s="3384"/>
      <c r="G20" s="3384"/>
      <c r="H20" s="3384"/>
      <c r="I20" s="1885"/>
      <c r="J20" s="848"/>
      <c r="K20" s="848"/>
      <c r="L20" s="848"/>
      <c r="M20" s="848"/>
      <c r="N20" s="848"/>
      <c r="O20" s="848"/>
      <c r="P20" s="848"/>
      <c r="Q20" s="1247"/>
    </row>
    <row r="21" spans="2:17" ht="15.75" thickBot="1" x14ac:dyDescent="0.3">
      <c r="B21" s="1246"/>
      <c r="C21" s="1890"/>
      <c r="D21" s="1891"/>
      <c r="E21" s="1825"/>
      <c r="F21" s="1825"/>
      <c r="G21" s="1825"/>
      <c r="H21" s="1825"/>
      <c r="I21" s="1825"/>
      <c r="J21" s="1825"/>
      <c r="K21" s="1825"/>
      <c r="L21" s="1825"/>
      <c r="M21" s="1825"/>
      <c r="N21" s="1825"/>
      <c r="O21" s="1825"/>
      <c r="P21" s="1825"/>
      <c r="Q21" s="1244"/>
    </row>
    <row r="22" spans="2:17" x14ac:dyDescent="0.25">
      <c r="C22" s="1728"/>
      <c r="D22" s="1729"/>
      <c r="E22" s="1730"/>
      <c r="F22" s="1730"/>
      <c r="G22" s="1730"/>
      <c r="H22" s="1730"/>
      <c r="I22" s="1730"/>
      <c r="J22" s="1730"/>
      <c r="K22" s="1730"/>
      <c r="L22" s="1730"/>
      <c r="M22" s="1730"/>
      <c r="N22" s="1730"/>
      <c r="O22" s="1730"/>
      <c r="P22" s="1730"/>
    </row>
    <row r="23" spans="2:17" hidden="1" x14ac:dyDescent="0.25">
      <c r="C23" s="1728"/>
      <c r="D23" s="1729"/>
      <c r="E23" s="1730"/>
      <c r="F23" s="1730"/>
      <c r="G23" s="1730"/>
      <c r="H23" s="1730"/>
      <c r="I23" s="1730"/>
      <c r="J23" s="1730"/>
      <c r="K23" s="1730"/>
      <c r="L23" s="1730"/>
      <c r="M23" s="1730"/>
      <c r="N23" s="1730"/>
      <c r="O23" s="1730"/>
      <c r="P23" s="1730"/>
    </row>
    <row r="24" spans="2:17" hidden="1" x14ac:dyDescent="0.25">
      <c r="C24" s="1728"/>
      <c r="D24" s="1729"/>
      <c r="E24" s="1730"/>
      <c r="F24" s="1730"/>
      <c r="G24" s="1730"/>
      <c r="H24" s="1730"/>
      <c r="I24" s="1730"/>
      <c r="J24" s="1730"/>
      <c r="K24" s="1730"/>
      <c r="L24" s="1730"/>
      <c r="M24" s="1730"/>
      <c r="N24" s="1730"/>
      <c r="O24" s="1730"/>
      <c r="P24" s="1730"/>
    </row>
    <row r="25" spans="2:17" hidden="1" x14ac:dyDescent="0.25">
      <c r="C25" s="1728"/>
      <c r="D25" s="1729"/>
      <c r="E25" s="1730"/>
      <c r="F25" s="1730"/>
      <c r="G25" s="1730"/>
      <c r="H25" s="1730"/>
      <c r="I25" s="1730"/>
      <c r="J25" s="1730"/>
      <c r="K25" s="1730"/>
      <c r="L25" s="1730"/>
      <c r="M25" s="1730"/>
      <c r="N25" s="1730"/>
      <c r="O25" s="1730"/>
      <c r="P25" s="1730"/>
    </row>
    <row r="26" spans="2:17" hidden="1" x14ac:dyDescent="0.25">
      <c r="C26" s="1728"/>
      <c r="D26" s="1729"/>
      <c r="E26" s="1730"/>
      <c r="F26" s="1730"/>
      <c r="G26" s="1730"/>
      <c r="H26" s="1730"/>
      <c r="I26" s="1730"/>
      <c r="J26" s="1730"/>
      <c r="K26" s="1730"/>
      <c r="L26" s="1730"/>
      <c r="M26" s="1730"/>
      <c r="N26" s="1730"/>
      <c r="O26" s="1730"/>
      <c r="P26" s="1730"/>
    </row>
    <row r="27" spans="2:17" hidden="1" x14ac:dyDescent="0.25">
      <c r="C27" s="1728"/>
      <c r="D27" s="1729"/>
      <c r="E27" s="1730"/>
      <c r="F27" s="1730"/>
      <c r="G27" s="1730"/>
      <c r="H27" s="1730"/>
      <c r="I27" s="1730"/>
      <c r="J27" s="1730"/>
      <c r="K27" s="1730"/>
      <c r="L27" s="1730"/>
      <c r="M27" s="1730"/>
      <c r="N27" s="1730"/>
      <c r="O27" s="1730"/>
      <c r="P27" s="1730"/>
    </row>
    <row r="28" spans="2:17" hidden="1" x14ac:dyDescent="0.25">
      <c r="C28" s="1728"/>
      <c r="D28" s="1729"/>
      <c r="E28" s="1730"/>
      <c r="F28" s="1730"/>
      <c r="G28" s="1730"/>
      <c r="H28" s="1730"/>
      <c r="I28" s="1730"/>
      <c r="J28" s="1730"/>
      <c r="K28" s="1730"/>
      <c r="L28" s="1730"/>
      <c r="M28" s="1730"/>
      <c r="N28" s="1730"/>
      <c r="O28" s="1730"/>
      <c r="P28" s="1730"/>
    </row>
    <row r="29" spans="2:17" hidden="1" x14ac:dyDescent="0.25">
      <c r="C29" s="1728"/>
      <c r="D29" s="1729"/>
      <c r="E29" s="1730"/>
      <c r="F29" s="1730"/>
      <c r="G29" s="1730"/>
      <c r="H29" s="1730"/>
      <c r="I29" s="1730"/>
      <c r="J29" s="1730"/>
      <c r="K29" s="1730"/>
      <c r="L29" s="1730"/>
      <c r="M29" s="1730"/>
      <c r="N29" s="1730"/>
      <c r="O29" s="1730"/>
      <c r="P29" s="1730"/>
    </row>
    <row r="30" spans="2:17" hidden="1" x14ac:dyDescent="0.25">
      <c r="C30" s="1728"/>
      <c r="D30" s="1729"/>
      <c r="E30" s="1730"/>
      <c r="F30" s="1730"/>
      <c r="G30" s="1730"/>
      <c r="H30" s="1730"/>
      <c r="I30" s="1730"/>
      <c r="J30" s="1730"/>
      <c r="K30" s="1730"/>
      <c r="L30" s="1730"/>
      <c r="M30" s="1730"/>
      <c r="N30" s="1730"/>
      <c r="O30" s="1730"/>
      <c r="P30" s="1730"/>
    </row>
    <row r="31" spans="2:17" hidden="1" x14ac:dyDescent="0.25">
      <c r="C31" s="1728"/>
      <c r="D31" s="1729"/>
      <c r="E31" s="1730"/>
      <c r="F31" s="1730"/>
      <c r="G31" s="1730"/>
      <c r="H31" s="1730"/>
      <c r="I31" s="1730"/>
      <c r="J31" s="1730"/>
      <c r="K31" s="1730"/>
      <c r="L31" s="1730"/>
      <c r="M31" s="1730"/>
      <c r="N31" s="1730"/>
      <c r="O31" s="1730"/>
      <c r="P31" s="1730"/>
    </row>
    <row r="32" spans="2:17" hidden="1" x14ac:dyDescent="0.25">
      <c r="C32" s="1728"/>
      <c r="D32" s="1729"/>
      <c r="E32" s="1730"/>
      <c r="F32" s="1730"/>
      <c r="G32" s="1730"/>
      <c r="H32" s="1730"/>
      <c r="I32" s="1730"/>
      <c r="J32" s="1730"/>
      <c r="K32" s="1730"/>
      <c r="L32" s="1730"/>
      <c r="M32" s="1730"/>
      <c r="N32" s="1730"/>
      <c r="O32" s="1730"/>
      <c r="P32" s="1730"/>
    </row>
    <row r="33" spans="3:16" hidden="1" x14ac:dyDescent="0.25">
      <c r="C33" s="1728"/>
      <c r="D33" s="1729"/>
      <c r="E33" s="1730"/>
      <c r="F33" s="1730"/>
      <c r="G33" s="1730"/>
      <c r="H33" s="1730"/>
      <c r="I33" s="1730"/>
      <c r="J33" s="1730"/>
      <c r="K33" s="1730"/>
      <c r="L33" s="1730"/>
      <c r="M33" s="1730"/>
      <c r="N33" s="1730"/>
      <c r="O33" s="1730"/>
      <c r="P33" s="1730"/>
    </row>
    <row r="34" spans="3:16" hidden="1" x14ac:dyDescent="0.25">
      <c r="C34" s="1730"/>
      <c r="D34" s="1730"/>
      <c r="E34" s="1730"/>
      <c r="F34" s="1730"/>
      <c r="G34" s="1730"/>
      <c r="H34" s="1730"/>
      <c r="I34" s="1730"/>
      <c r="J34" s="1730"/>
      <c r="K34" s="1730"/>
      <c r="L34" s="1730"/>
      <c r="M34" s="1730"/>
      <c r="N34" s="1730"/>
      <c r="O34" s="1730"/>
      <c r="P34" s="1730"/>
    </row>
    <row r="35" spans="3:16" hidden="1" x14ac:dyDescent="0.25">
      <c r="C35" s="1730"/>
      <c r="D35" s="1730"/>
      <c r="E35" s="1730"/>
      <c r="F35" s="1730"/>
      <c r="G35" s="1730"/>
      <c r="H35" s="1730"/>
      <c r="I35" s="1730"/>
      <c r="J35" s="1730"/>
      <c r="K35" s="1730"/>
      <c r="L35" s="1730"/>
      <c r="M35" s="1730"/>
      <c r="N35" s="1730"/>
      <c r="O35" s="1730"/>
      <c r="P35" s="1730"/>
    </row>
    <row r="36" spans="3:16" x14ac:dyDescent="0.25"/>
  </sheetData>
  <sheetProtection algorithmName="SHA-512" hashValue="a9GeH7FEsMSbisE9La48vgRkPSSN/AhBA7S8Oku4jeonEAHU4iBkjU92Q8KbWRvhBLVj1IYxYL4ygKFrpKMlqg==" saltValue="01qZBxegVQUNeuDR+CpjHA==" spinCount="100000" sheet="1" objects="1" scenarios="1"/>
  <dataConsolidate/>
  <mergeCells count="9">
    <mergeCell ref="C20:H20"/>
    <mergeCell ref="D12:O12"/>
    <mergeCell ref="D13:O13"/>
    <mergeCell ref="C19:G19"/>
    <mergeCell ref="D4:O4"/>
    <mergeCell ref="D8:O8"/>
    <mergeCell ref="D9:O9"/>
    <mergeCell ref="D10:O10"/>
    <mergeCell ref="D11:O11"/>
  </mergeCells>
  <dataValidations disablePrompts="1" count="11">
    <dataValidation type="whole" allowBlank="1" showInputMessage="1" showErrorMessage="1" errorTitle="Amount " error="Amount  should be numeric.non negative,and 14 digits" sqref="P4">
      <formula1>0</formula1>
      <formula2>99999999999999</formula2>
    </dataValidation>
    <dataValidation type="decimal" allowBlank="1" showInputMessage="1" showErrorMessage="1" errorTitle="Additional income" error="Additional income should be numeric.non negative,and 14 digits" sqref="P8:P13">
      <formula1>0</formula1>
      <formula2>100000000000</formula2>
    </dataValidation>
    <dataValidation type="textLength" operator="equal" allowBlank="1" showInputMessage="1" showErrorMessage="1" errorTitle="BSR Code" error="Please enter a valid 7 digits BSR Code ._x000a_" sqref="D17:D18">
      <formula1>7</formula1>
    </dataValidation>
    <dataValidation type="textLength" operator="lessThanOrEqual" allowBlank="1" showInputMessage="1" showErrorMessage="1" errorTitle="Serial Number of challan" error="Serial Number of challan  should be atmost 5 digits in Length " sqref="G17:G18">
      <formula1>5</formula1>
    </dataValidation>
    <dataValidation type="textLength" operator="lessThanOrEqual" allowBlank="1" showInputMessage="1" showErrorMessage="1" errorTitle="Name of Bank and Branch" error="Name of Bank and Branch should be 125 characters" sqref="E17:E18">
      <formula1>125</formula1>
    </dataValidation>
    <dataValidation type="textLength" operator="equal" allowBlank="1" showInputMessage="1" showErrorMessage="1" errorTitle="Date of Deposit " error="Date of Deposit  is invalid. Pl enter in dd/mm/yyyy format" sqref="F17:F18">
      <formula1>10</formula1>
    </dataValidation>
    <dataValidation type="whole" allowBlank="1" showInputMessage="1" showErrorMessage="1" errorTitle="Amount deposited" error="Amount deposited should be Non negative, no decimal, upto 99,999,999,999,999" sqref="I17:I18">
      <formula1>0</formula1>
      <formula2>99999999999999</formula2>
    </dataValidation>
    <dataValidation type="whole" allowBlank="1" showInputMessage="1" showErrorMessage="1" errorTitle="Amount" error="Amount should be numeric,non negative,14 digits" sqref="H17:H18">
      <formula1>0</formula1>
      <formula2>99999999999999</formula2>
    </dataValidation>
    <dataValidation allowBlank="1" showInputMessage="1" showErrorMessage="1" errorTitle="Financial Year " error="Please Select From Drop Down" sqref="P5"/>
    <dataValidation type="whole" allowBlank="1" showInputMessage="1" showErrorMessage="1" errorTitle="Amount" sqref="E6 E7">
      <formula1>0</formula1>
      <formula2>99999999999999</formula2>
    </dataValidation>
    <dataValidation type="whole" allowBlank="1" showInputMessage="1" showErrorMessage="1" errorTitle="Amount " error="Numeric,Non negative ; no decimal shall be allowed here." sqref="P6:P7">
      <formula1>0</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Button 1">
              <controlPr defaultSize="0" print="0" autoFill="0" autoPict="0" macro="[0]!AddRows_TPSC">
                <anchor moveWithCells="1" sizeWithCells="1">
                  <from>
                    <xdr:col>2</xdr:col>
                    <xdr:colOff>514350</xdr:colOff>
                    <xdr:row>19</xdr:row>
                    <xdr:rowOff>38100</xdr:rowOff>
                  </from>
                  <to>
                    <xdr:col>4</xdr:col>
                    <xdr:colOff>38100</xdr:colOff>
                    <xdr:row>19</xdr:row>
                    <xdr:rowOff>323850</xdr:rowOff>
                  </to>
                </anchor>
              </controlPr>
            </control>
          </mc:Choice>
        </mc:AlternateContent>
        <mc:AlternateContent xmlns:mc="http://schemas.openxmlformats.org/markup-compatibility/2006">
          <mc:Choice Requires="x14">
            <control shapeId="247810" r:id="rId5" name="Button 2">
              <controlPr defaultSize="0" print="0" autoFill="0" autoPict="0" macro="[0]!ValidateSheetTPSC_Click">
                <anchor>
                  <from>
                    <xdr:col>17</xdr:col>
                    <xdr:colOff>209550</xdr:colOff>
                    <xdr:row>2</xdr:row>
                    <xdr:rowOff>104775</xdr:rowOff>
                  </from>
                  <to>
                    <xdr:col>19</xdr:col>
                    <xdr:colOff>361950</xdr:colOff>
                    <xdr:row>3</xdr:row>
                    <xdr:rowOff>209550</xdr:rowOff>
                  </to>
                </anchor>
              </controlPr>
            </control>
          </mc:Choice>
        </mc:AlternateContent>
        <mc:AlternateContent xmlns:mc="http://schemas.openxmlformats.org/markup-compatibility/2006">
          <mc:Choice Requires="x14">
            <control shapeId="247811" r:id="rId6" name="Button 3">
              <controlPr defaultSize="0" print="0" autoFill="0" autoPict="0" macro="[0]!Prev_Sheet">
                <anchor>
                  <from>
                    <xdr:col>17</xdr:col>
                    <xdr:colOff>209550</xdr:colOff>
                    <xdr:row>7</xdr:row>
                    <xdr:rowOff>171450</xdr:rowOff>
                  </from>
                  <to>
                    <xdr:col>19</xdr:col>
                    <xdr:colOff>361950</xdr:colOff>
                    <xdr:row>9</xdr:row>
                    <xdr:rowOff>19050</xdr:rowOff>
                  </to>
                </anchor>
              </controlPr>
            </control>
          </mc:Choice>
        </mc:AlternateContent>
        <mc:AlternateContent xmlns:mc="http://schemas.openxmlformats.org/markup-compatibility/2006">
          <mc:Choice Requires="x14">
            <control shapeId="247812" r:id="rId7" name="Button 4">
              <controlPr defaultSize="0" print="0" autoFill="0" autoPict="0" macro="[0]!Img_Home_Click">
                <anchor>
                  <from>
                    <xdr:col>17</xdr:col>
                    <xdr:colOff>209550</xdr:colOff>
                    <xdr:row>1</xdr:row>
                    <xdr:rowOff>0</xdr:rowOff>
                  </from>
                  <to>
                    <xdr:col>19</xdr:col>
                    <xdr:colOff>361950</xdr:colOff>
                    <xdr:row>2</xdr:row>
                    <xdr:rowOff>95250</xdr:rowOff>
                  </to>
                </anchor>
              </controlPr>
            </control>
          </mc:Choice>
        </mc:AlternateContent>
        <mc:AlternateContent xmlns:mc="http://schemas.openxmlformats.org/markup-compatibility/2006">
          <mc:Choice Requires="x14">
            <control shapeId="247813" r:id="rId8" name="Button 5">
              <controlPr defaultSize="0" print="0" autoFill="0" autoPict="0" macro="[0]!Next_Sheet">
                <anchor>
                  <from>
                    <xdr:col>17</xdr:col>
                    <xdr:colOff>209550</xdr:colOff>
                    <xdr:row>3</xdr:row>
                    <xdr:rowOff>219075</xdr:rowOff>
                  </from>
                  <to>
                    <xdr:col>19</xdr:col>
                    <xdr:colOff>361950</xdr:colOff>
                    <xdr:row>7</xdr:row>
                    <xdr:rowOff>152400</xdr:rowOff>
                  </to>
                </anchor>
              </controlPr>
            </control>
          </mc:Choice>
        </mc:AlternateContent>
        <mc:AlternateContent xmlns:mc="http://schemas.openxmlformats.org/markup-compatibility/2006">
          <mc:Choice Requires="x14">
            <control shapeId="247814" r:id="rId9" name="Button 6">
              <controlPr defaultSize="0" print="0" autoFill="0" autoPict="0" macro="[0]!Instruction_Sheet">
                <anchor>
                  <from>
                    <xdr:col>17</xdr:col>
                    <xdr:colOff>209550</xdr:colOff>
                    <xdr:row>12</xdr:row>
                    <xdr:rowOff>38100</xdr:rowOff>
                  </from>
                  <to>
                    <xdr:col>19</xdr:col>
                    <xdr:colOff>361950</xdr:colOff>
                    <xdr:row>13</xdr:row>
                    <xdr:rowOff>133350</xdr:rowOff>
                  </to>
                </anchor>
              </controlPr>
            </control>
          </mc:Choice>
        </mc:AlternateContent>
        <mc:AlternateContent xmlns:mc="http://schemas.openxmlformats.org/markup-compatibility/2006">
          <mc:Choice Requires="x14">
            <control shapeId="247815" r:id="rId10" name="Button 7">
              <controlPr defaultSize="0" print="0" autoFill="0" autoPict="0" macro="[0]!WorksheetsPrint">
                <anchor>
                  <from>
                    <xdr:col>17</xdr:col>
                    <xdr:colOff>209550</xdr:colOff>
                    <xdr:row>10</xdr:row>
                    <xdr:rowOff>133350</xdr:rowOff>
                  </from>
                  <to>
                    <xdr:col>19</xdr:col>
                    <xdr:colOff>361950</xdr:colOff>
                    <xdr:row>12</xdr:row>
                    <xdr:rowOff>19050</xdr:rowOff>
                  </to>
                </anchor>
              </controlPr>
            </control>
          </mc:Choice>
        </mc:AlternateContent>
        <mc:AlternateContent xmlns:mc="http://schemas.openxmlformats.org/markup-compatibility/2006">
          <mc:Choice Requires="x14">
            <control shapeId="247816" r:id="rId11" name="Button 8">
              <controlPr defaultSize="0" print="0" autoFill="0" autoPict="0" macro="[0]!GenerateJSON.GenerateJSON">
                <anchor>
                  <from>
                    <xdr:col>17</xdr:col>
                    <xdr:colOff>209550</xdr:colOff>
                    <xdr:row>9</xdr:row>
                    <xdr:rowOff>28575</xdr:rowOff>
                  </from>
                  <to>
                    <xdr:col>19</xdr:col>
                    <xdr:colOff>361950</xdr:colOff>
                    <xdr:row>10</xdr:row>
                    <xdr:rowOff>104775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S33"/>
  <sheetViews>
    <sheetView showGridLines="0" showRowColHeaders="0" zoomScaleNormal="100" workbookViewId="0">
      <selection activeCell="M32" sqref="M32"/>
    </sheetView>
  </sheetViews>
  <sheetFormatPr defaultColWidth="0" defaultRowHeight="12.75" zeroHeight="1" x14ac:dyDescent="0.2"/>
  <cols>
    <col min="1" max="2" width="4.28515625" style="113" customWidth="1"/>
    <col min="3" max="3" width="6.28515625" style="113" customWidth="1"/>
    <col min="4" max="4" width="5.28515625" style="113" customWidth="1"/>
    <col min="5" max="5" width="14.85546875" style="113" customWidth="1"/>
    <col min="6" max="6" width="39.7109375" style="113" customWidth="1"/>
    <col min="7" max="7" width="5.5703125" style="113" customWidth="1"/>
    <col min="8" max="8" width="22.42578125" style="113" customWidth="1"/>
    <col min="9" max="12" width="12.7109375" style="113" customWidth="1"/>
    <col min="13" max="13" width="13.140625" style="113" customWidth="1"/>
    <col min="14" max="14" width="4.28515625" style="113" customWidth="1"/>
    <col min="15" max="15" width="27.7109375" style="113" customWidth="1"/>
    <col min="16" max="17" width="9.140625" style="113" hidden="1" customWidth="1"/>
    <col min="18" max="18" width="12.28515625" style="113" hidden="1" customWidth="1"/>
    <col min="19" max="16384" width="4.7109375" style="113" hidden="1"/>
  </cols>
  <sheetData>
    <row r="1" spans="2:19" ht="13.5" thickBot="1" x14ac:dyDescent="0.25"/>
    <row r="2" spans="2:19" x14ac:dyDescent="0.2">
      <c r="B2" s="1794"/>
      <c r="C2" s="1795"/>
      <c r="D2" s="1795"/>
      <c r="E2" s="1795"/>
      <c r="F2" s="1795"/>
      <c r="G2" s="1795"/>
      <c r="H2" s="1795"/>
      <c r="I2" s="1795"/>
      <c r="J2" s="1795"/>
      <c r="K2" s="1795"/>
      <c r="L2" s="1795"/>
      <c r="M2" s="1795"/>
      <c r="N2" s="1831"/>
    </row>
    <row r="3" spans="2:19" ht="14.25" customHeight="1" x14ac:dyDescent="0.2">
      <c r="B3" s="1797"/>
      <c r="C3" s="815" t="s">
        <v>1231</v>
      </c>
      <c r="D3" s="3841" t="s">
        <v>12001</v>
      </c>
      <c r="E3" s="3842"/>
      <c r="F3" s="3842"/>
      <c r="G3" s="3842"/>
      <c r="H3" s="3842"/>
      <c r="I3" s="3842"/>
      <c r="J3" s="3842"/>
      <c r="K3" s="3842"/>
      <c r="L3" s="3842"/>
      <c r="M3" s="847"/>
      <c r="N3" s="1809"/>
    </row>
    <row r="4" spans="2:19" ht="15" hidden="1" customHeight="1" x14ac:dyDescent="0.2">
      <c r="B4" s="1797"/>
      <c r="C4" s="11"/>
      <c r="D4" s="1946" t="s">
        <v>1233</v>
      </c>
      <c r="E4" s="280"/>
      <c r="F4" s="280"/>
      <c r="G4" s="280"/>
      <c r="H4" s="280"/>
      <c r="I4" s="280"/>
      <c r="J4" s="280"/>
      <c r="K4" s="280"/>
      <c r="L4" s="280"/>
      <c r="M4" s="847"/>
      <c r="N4" s="1809"/>
    </row>
    <row r="5" spans="2:19" ht="91.5" customHeight="1" x14ac:dyDescent="0.2">
      <c r="B5" s="1797"/>
      <c r="C5" s="1884"/>
      <c r="D5" s="3793" t="s">
        <v>879</v>
      </c>
      <c r="E5" s="3780" t="s">
        <v>1235</v>
      </c>
      <c r="F5" s="3780" t="s">
        <v>1236</v>
      </c>
      <c r="G5" s="3780" t="s">
        <v>879</v>
      </c>
      <c r="H5" s="3780" t="s">
        <v>7344</v>
      </c>
      <c r="I5" s="3780" t="s">
        <v>7345</v>
      </c>
      <c r="J5" s="3780" t="s">
        <v>7346</v>
      </c>
      <c r="K5" s="3780" t="s">
        <v>7347</v>
      </c>
      <c r="L5" s="3780" t="s">
        <v>7348</v>
      </c>
      <c r="M5" s="3780" t="s">
        <v>7349</v>
      </c>
      <c r="N5" s="1809"/>
    </row>
    <row r="6" spans="2:19" ht="12.75" customHeight="1" x14ac:dyDescent="0.2">
      <c r="B6" s="1797"/>
      <c r="C6" s="839"/>
      <c r="D6" s="3793"/>
      <c r="E6" s="3780"/>
      <c r="F6" s="3780"/>
      <c r="G6" s="3780"/>
      <c r="H6" s="3780"/>
      <c r="I6" s="3780"/>
      <c r="J6" s="3780"/>
      <c r="K6" s="3780"/>
      <c r="L6" s="3780"/>
      <c r="M6" s="3780"/>
      <c r="N6" s="1809"/>
    </row>
    <row r="7" spans="2:19" x14ac:dyDescent="0.2">
      <c r="B7" s="1797"/>
      <c r="C7" s="839"/>
      <c r="D7" s="2148">
        <v>1</v>
      </c>
      <c r="E7" s="2644"/>
      <c r="F7" s="2645" t="s">
        <v>23</v>
      </c>
      <c r="G7" s="421" t="s">
        <v>287</v>
      </c>
      <c r="H7" s="1424" t="s">
        <v>767</v>
      </c>
      <c r="I7" s="2646"/>
      <c r="J7" s="2646"/>
      <c r="K7" s="2646"/>
      <c r="L7" s="1456">
        <f>MIN(J7,K7)</f>
        <v>0</v>
      </c>
      <c r="M7" s="2469"/>
      <c r="N7" s="1809"/>
      <c r="R7" s="113" t="s">
        <v>7204</v>
      </c>
      <c r="S7" s="113">
        <v>4</v>
      </c>
    </row>
    <row r="8" spans="2:19" ht="12.75" customHeight="1" x14ac:dyDescent="0.2">
      <c r="B8" s="1797"/>
      <c r="C8" s="839"/>
      <c r="D8" s="848"/>
      <c r="E8" s="839"/>
      <c r="F8" s="839"/>
      <c r="G8" s="421" t="s">
        <v>290</v>
      </c>
      <c r="H8" s="1424" t="s">
        <v>1237</v>
      </c>
      <c r="I8" s="2646"/>
      <c r="J8" s="2646"/>
      <c r="K8" s="2646"/>
      <c r="L8" s="1456">
        <f>MIN(J8,K8)</f>
        <v>0</v>
      </c>
      <c r="M8" s="2469"/>
      <c r="N8" s="1809"/>
    </row>
    <row r="9" spans="2:19" ht="12.75" customHeight="1" x14ac:dyDescent="0.2">
      <c r="B9" s="1797"/>
      <c r="C9" s="839"/>
      <c r="D9" s="848"/>
      <c r="E9" s="839"/>
      <c r="F9" s="839"/>
      <c r="G9" s="421" t="s">
        <v>293</v>
      </c>
      <c r="H9" s="1424" t="s">
        <v>7967</v>
      </c>
      <c r="I9" s="2646"/>
      <c r="J9" s="2646"/>
      <c r="K9" s="2646"/>
      <c r="L9" s="1456">
        <f>MIN(J9,K9)</f>
        <v>0</v>
      </c>
      <c r="M9" s="2469"/>
      <c r="N9" s="1809"/>
    </row>
    <row r="10" spans="2:19" ht="12.75" customHeight="1" x14ac:dyDescent="0.2">
      <c r="B10" s="1797"/>
      <c r="C10" s="839"/>
      <c r="D10" s="848"/>
      <c r="E10" s="839"/>
      <c r="F10" s="839"/>
      <c r="G10" s="421" t="s">
        <v>296</v>
      </c>
      <c r="H10" s="1549" t="s">
        <v>1240</v>
      </c>
      <c r="I10" s="2646"/>
      <c r="J10" s="2646"/>
      <c r="K10" s="2646"/>
      <c r="L10" s="1456">
        <f>MIN(J10,K10)</f>
        <v>0</v>
      </c>
      <c r="M10" s="2469"/>
      <c r="N10" s="1809"/>
    </row>
    <row r="11" spans="2:19" ht="12.75" customHeight="1" x14ac:dyDescent="0.2">
      <c r="B11" s="1797"/>
      <c r="C11" s="839"/>
      <c r="D11" s="848"/>
      <c r="E11" s="839"/>
      <c r="F11" s="839"/>
      <c r="G11" s="421" t="s">
        <v>299</v>
      </c>
      <c r="H11" s="1550" t="s">
        <v>1241</v>
      </c>
      <c r="I11" s="2646"/>
      <c r="J11" s="2646"/>
      <c r="K11" s="2646"/>
      <c r="L11" s="1456">
        <f>MIN(J11,K11)</f>
        <v>0</v>
      </c>
      <c r="M11" s="2469"/>
      <c r="N11" s="1809"/>
    </row>
    <row r="12" spans="2:19" ht="12.75" customHeight="1" x14ac:dyDescent="0.2">
      <c r="B12" s="1797"/>
      <c r="C12" s="839"/>
      <c r="D12" s="849"/>
      <c r="E12" s="851"/>
      <c r="F12" s="851"/>
      <c r="G12" s="3017" t="s">
        <v>749</v>
      </c>
      <c r="H12" s="3016"/>
      <c r="I12" s="1456">
        <f>SUM(I7:I11)</f>
        <v>0</v>
      </c>
      <c r="J12" s="1456">
        <f>SUM(J7:J11)</f>
        <v>0</v>
      </c>
      <c r="K12" s="1456">
        <f>SUM(K7:K11)</f>
        <v>0</v>
      </c>
      <c r="L12" s="1456">
        <f>SUM(L7:L11)</f>
        <v>0</v>
      </c>
      <c r="M12" s="1548"/>
      <c r="N12" s="1809"/>
    </row>
    <row r="13" spans="2:19" x14ac:dyDescent="0.2">
      <c r="B13" s="1797"/>
      <c r="C13" s="839"/>
      <c r="D13" s="2148">
        <f>D7+1</f>
        <v>2</v>
      </c>
      <c r="E13" s="2644"/>
      <c r="F13" s="2645" t="s">
        <v>23</v>
      </c>
      <c r="G13" s="421" t="s">
        <v>287</v>
      </c>
      <c r="H13" s="1424" t="s">
        <v>767</v>
      </c>
      <c r="I13" s="2646"/>
      <c r="J13" s="2646"/>
      <c r="K13" s="2646"/>
      <c r="L13" s="1456">
        <f>MIN(J13,K13)</f>
        <v>0</v>
      </c>
      <c r="M13" s="2469"/>
      <c r="N13" s="1809"/>
    </row>
    <row r="14" spans="2:19" ht="12.75" customHeight="1" x14ac:dyDescent="0.2">
      <c r="B14" s="1797"/>
      <c r="C14" s="839"/>
      <c r="D14" s="848"/>
      <c r="E14" s="839"/>
      <c r="F14" s="839"/>
      <c r="G14" s="421" t="s">
        <v>290</v>
      </c>
      <c r="H14" s="1424" t="s">
        <v>1237</v>
      </c>
      <c r="I14" s="2646"/>
      <c r="J14" s="2646"/>
      <c r="K14" s="2646"/>
      <c r="L14" s="1456">
        <f>MIN(J14,K14)</f>
        <v>0</v>
      </c>
      <c r="M14" s="2469"/>
      <c r="N14" s="1809"/>
    </row>
    <row r="15" spans="2:19" ht="12.75" customHeight="1" x14ac:dyDescent="0.2">
      <c r="B15" s="1797"/>
      <c r="C15" s="839"/>
      <c r="D15" s="848"/>
      <c r="E15" s="839"/>
      <c r="F15" s="839"/>
      <c r="G15" s="421" t="s">
        <v>293</v>
      </c>
      <c r="H15" s="1424" t="s">
        <v>7967</v>
      </c>
      <c r="I15" s="2646"/>
      <c r="J15" s="2646"/>
      <c r="K15" s="2646"/>
      <c r="L15" s="1456">
        <f>MIN(J15,K15)</f>
        <v>0</v>
      </c>
      <c r="M15" s="2469"/>
      <c r="N15" s="1809"/>
    </row>
    <row r="16" spans="2:19" ht="12.75" customHeight="1" x14ac:dyDescent="0.2">
      <c r="B16" s="1797"/>
      <c r="C16" s="839"/>
      <c r="D16" s="848"/>
      <c r="E16" s="839"/>
      <c r="F16" s="839"/>
      <c r="G16" s="421" t="s">
        <v>296</v>
      </c>
      <c r="H16" s="1549" t="s">
        <v>1240</v>
      </c>
      <c r="I16" s="2646"/>
      <c r="J16" s="2646"/>
      <c r="K16" s="2646"/>
      <c r="L16" s="1456">
        <f>MIN(J16,K16)</f>
        <v>0</v>
      </c>
      <c r="M16" s="2469"/>
      <c r="N16" s="1809"/>
    </row>
    <row r="17" spans="2:14" ht="12.75" customHeight="1" x14ac:dyDescent="0.2">
      <c r="B17" s="1797"/>
      <c r="C17" s="839"/>
      <c r="D17" s="848"/>
      <c r="E17" s="839"/>
      <c r="F17" s="839"/>
      <c r="G17" s="421" t="s">
        <v>299</v>
      </c>
      <c r="H17" s="1550" t="s">
        <v>1241</v>
      </c>
      <c r="I17" s="2646"/>
      <c r="J17" s="2646"/>
      <c r="K17" s="2646"/>
      <c r="L17" s="1456">
        <f>MIN(J17,K17)</f>
        <v>0</v>
      </c>
      <c r="M17" s="2469"/>
      <c r="N17" s="1809"/>
    </row>
    <row r="18" spans="2:14" ht="12.75" customHeight="1" x14ac:dyDescent="0.2">
      <c r="B18" s="1797"/>
      <c r="C18" s="839"/>
      <c r="D18" s="849"/>
      <c r="E18" s="851"/>
      <c r="F18" s="851"/>
      <c r="G18" s="3017" t="s">
        <v>749</v>
      </c>
      <c r="H18" s="3016"/>
      <c r="I18" s="1456">
        <f>SUM(I13:I17)</f>
        <v>0</v>
      </c>
      <c r="J18" s="1456">
        <f>SUM(J13:J17)</f>
        <v>0</v>
      </c>
      <c r="K18" s="1456">
        <f>SUM(K13:K17)</f>
        <v>0</v>
      </c>
      <c r="L18" s="1456">
        <f>SUM(L13:L17)</f>
        <v>0</v>
      </c>
      <c r="M18" s="1548"/>
      <c r="N18" s="1809"/>
    </row>
    <row r="19" spans="2:14" x14ac:dyDescent="0.2">
      <c r="B19" s="1797"/>
      <c r="C19" s="839"/>
      <c r="D19" s="2148">
        <f>D13+1</f>
        <v>3</v>
      </c>
      <c r="E19" s="2644"/>
      <c r="F19" s="2645" t="s">
        <v>23</v>
      </c>
      <c r="G19" s="421" t="s">
        <v>287</v>
      </c>
      <c r="H19" s="1424" t="s">
        <v>767</v>
      </c>
      <c r="I19" s="2646"/>
      <c r="J19" s="2646"/>
      <c r="K19" s="2646"/>
      <c r="L19" s="1456">
        <f>MIN(J19,K19)</f>
        <v>0</v>
      </c>
      <c r="M19" s="2469"/>
      <c r="N19" s="1809"/>
    </row>
    <row r="20" spans="2:14" ht="12.75" customHeight="1" x14ac:dyDescent="0.2">
      <c r="B20" s="1797"/>
      <c r="C20" s="839"/>
      <c r="D20" s="848"/>
      <c r="E20" s="839"/>
      <c r="F20" s="839"/>
      <c r="G20" s="421" t="s">
        <v>290</v>
      </c>
      <c r="H20" s="1424" t="s">
        <v>1237</v>
      </c>
      <c r="I20" s="2646"/>
      <c r="J20" s="2646"/>
      <c r="K20" s="2646"/>
      <c r="L20" s="1456">
        <f>MIN(J20,K20)</f>
        <v>0</v>
      </c>
      <c r="M20" s="2469"/>
      <c r="N20" s="1809"/>
    </row>
    <row r="21" spans="2:14" ht="12.75" customHeight="1" x14ac:dyDescent="0.2">
      <c r="B21" s="1797"/>
      <c r="C21" s="839"/>
      <c r="D21" s="848"/>
      <c r="E21" s="839"/>
      <c r="F21" s="839"/>
      <c r="G21" s="421" t="s">
        <v>293</v>
      </c>
      <c r="H21" s="1424" t="s">
        <v>7967</v>
      </c>
      <c r="I21" s="2646"/>
      <c r="J21" s="2646"/>
      <c r="K21" s="2646"/>
      <c r="L21" s="1456">
        <f>MIN(J21,K21)</f>
        <v>0</v>
      </c>
      <c r="M21" s="2469"/>
      <c r="N21" s="1809"/>
    </row>
    <row r="22" spans="2:14" ht="12.75" customHeight="1" x14ac:dyDescent="0.2">
      <c r="B22" s="1797"/>
      <c r="C22" s="839"/>
      <c r="D22" s="848"/>
      <c r="E22" s="839"/>
      <c r="F22" s="839"/>
      <c r="G22" s="421" t="s">
        <v>296</v>
      </c>
      <c r="H22" s="1549" t="s">
        <v>1240</v>
      </c>
      <c r="I22" s="2646"/>
      <c r="J22" s="2646"/>
      <c r="K22" s="2646"/>
      <c r="L22" s="1456">
        <f>MIN(J22,K22)</f>
        <v>0</v>
      </c>
      <c r="M22" s="2469"/>
      <c r="N22" s="1809"/>
    </row>
    <row r="23" spans="2:14" ht="12.75" customHeight="1" x14ac:dyDescent="0.2">
      <c r="B23" s="1797"/>
      <c r="C23" s="839"/>
      <c r="D23" s="848"/>
      <c r="E23" s="839"/>
      <c r="F23" s="839"/>
      <c r="G23" s="421" t="s">
        <v>299</v>
      </c>
      <c r="H23" s="1550" t="s">
        <v>1241</v>
      </c>
      <c r="I23" s="2646"/>
      <c r="J23" s="2646"/>
      <c r="K23" s="2646"/>
      <c r="L23" s="1456">
        <f>MIN(J23,K23)</f>
        <v>0</v>
      </c>
      <c r="M23" s="2469"/>
      <c r="N23" s="1809"/>
    </row>
    <row r="24" spans="2:14" ht="12.75" customHeight="1" x14ac:dyDescent="0.2">
      <c r="B24" s="1797"/>
      <c r="C24" s="839"/>
      <c r="D24" s="849"/>
      <c r="E24" s="851"/>
      <c r="F24" s="851"/>
      <c r="G24" s="3017" t="s">
        <v>749</v>
      </c>
      <c r="H24" s="3016"/>
      <c r="I24" s="1456">
        <f>SUM(I19:I23)</f>
        <v>0</v>
      </c>
      <c r="J24" s="1456">
        <f>SUM(J19:J23)</f>
        <v>0</v>
      </c>
      <c r="K24" s="1456">
        <f>SUM(K19:K23)</f>
        <v>0</v>
      </c>
      <c r="L24" s="1456">
        <f>SUM(L19:L23)</f>
        <v>0</v>
      </c>
      <c r="M24" s="740"/>
      <c r="N24" s="1809"/>
    </row>
    <row r="25" spans="2:14" x14ac:dyDescent="0.2">
      <c r="B25" s="1797"/>
      <c r="C25" s="839"/>
      <c r="D25" s="2148">
        <f>D19+1</f>
        <v>4</v>
      </c>
      <c r="E25" s="2644"/>
      <c r="F25" s="2645" t="s">
        <v>23</v>
      </c>
      <c r="G25" s="421" t="s">
        <v>287</v>
      </c>
      <c r="H25" s="1424" t="s">
        <v>767</v>
      </c>
      <c r="I25" s="2646"/>
      <c r="J25" s="2646"/>
      <c r="K25" s="2646"/>
      <c r="L25" s="1456">
        <f>MIN(J25,K25)</f>
        <v>0</v>
      </c>
      <c r="M25" s="2469"/>
      <c r="N25" s="1809"/>
    </row>
    <row r="26" spans="2:14" ht="12.75" customHeight="1" x14ac:dyDescent="0.2">
      <c r="B26" s="1797"/>
      <c r="C26" s="839"/>
      <c r="D26" s="848"/>
      <c r="E26" s="839"/>
      <c r="F26" s="839"/>
      <c r="G26" s="421" t="s">
        <v>290</v>
      </c>
      <c r="H26" s="1424" t="s">
        <v>1237</v>
      </c>
      <c r="I26" s="2646"/>
      <c r="J26" s="2646"/>
      <c r="K26" s="2646"/>
      <c r="L26" s="1456">
        <f>MIN(J26,K26)</f>
        <v>0</v>
      </c>
      <c r="M26" s="2469"/>
      <c r="N26" s="1809"/>
    </row>
    <row r="27" spans="2:14" ht="12.75" customHeight="1" x14ac:dyDescent="0.2">
      <c r="B27" s="1797"/>
      <c r="C27" s="839"/>
      <c r="D27" s="848"/>
      <c r="E27" s="839"/>
      <c r="F27" s="839"/>
      <c r="G27" s="421" t="s">
        <v>293</v>
      </c>
      <c r="H27" s="1424" t="s">
        <v>7967</v>
      </c>
      <c r="I27" s="2646"/>
      <c r="J27" s="2646"/>
      <c r="K27" s="2646"/>
      <c r="L27" s="1456">
        <f>MIN(J27,K27)</f>
        <v>0</v>
      </c>
      <c r="M27" s="2469"/>
      <c r="N27" s="1809"/>
    </row>
    <row r="28" spans="2:14" ht="12.75" customHeight="1" x14ac:dyDescent="0.2">
      <c r="B28" s="1797"/>
      <c r="C28" s="839"/>
      <c r="D28" s="848"/>
      <c r="E28" s="839"/>
      <c r="F28" s="839"/>
      <c r="G28" s="421" t="s">
        <v>296</v>
      </c>
      <c r="H28" s="1549" t="s">
        <v>1240</v>
      </c>
      <c r="I28" s="2646"/>
      <c r="J28" s="2646"/>
      <c r="K28" s="2646"/>
      <c r="L28" s="1456">
        <f>MIN(J28,K28)</f>
        <v>0</v>
      </c>
      <c r="M28" s="2469"/>
      <c r="N28" s="1809"/>
    </row>
    <row r="29" spans="2:14" ht="12.75" customHeight="1" x14ac:dyDescent="0.2">
      <c r="B29" s="1797"/>
      <c r="C29" s="839"/>
      <c r="D29" s="848"/>
      <c r="E29" s="839"/>
      <c r="F29" s="839"/>
      <c r="G29" s="421" t="s">
        <v>299</v>
      </c>
      <c r="H29" s="1550" t="s">
        <v>1241</v>
      </c>
      <c r="I29" s="2646"/>
      <c r="J29" s="2646"/>
      <c r="K29" s="2646"/>
      <c r="L29" s="1456">
        <f>MIN(J29,K29)</f>
        <v>0</v>
      </c>
      <c r="M29" s="2469"/>
      <c r="N29" s="1809"/>
    </row>
    <row r="30" spans="2:14" ht="12.75" customHeight="1" x14ac:dyDescent="0.2">
      <c r="B30" s="1797"/>
      <c r="C30" s="851"/>
      <c r="D30" s="849"/>
      <c r="E30" s="851"/>
      <c r="F30" s="851"/>
      <c r="G30" s="3017" t="s">
        <v>749</v>
      </c>
      <c r="H30" s="3016"/>
      <c r="I30" s="1456">
        <f>SUM(I25:I29)</f>
        <v>0</v>
      </c>
      <c r="J30" s="1456">
        <f>SUM(J25:J29)</f>
        <v>0</v>
      </c>
      <c r="K30" s="1456">
        <f>SUM(K25:K29)</f>
        <v>0</v>
      </c>
      <c r="L30" s="1456">
        <f>SUM(L25:L29)</f>
        <v>0</v>
      </c>
      <c r="M30" s="740"/>
      <c r="N30" s="1809"/>
    </row>
    <row r="31" spans="2:14" x14ac:dyDescent="0.2">
      <c r="B31" s="1797"/>
      <c r="C31" s="848"/>
      <c r="D31" s="848"/>
      <c r="E31" s="848"/>
      <c r="F31" s="848"/>
      <c r="G31" s="848"/>
      <c r="H31" s="848"/>
      <c r="I31" s="848"/>
      <c r="J31" s="848"/>
      <c r="K31" s="848"/>
      <c r="L31" s="848"/>
      <c r="M31" s="848"/>
      <c r="N31" s="1809"/>
    </row>
    <row r="32" spans="2:14" ht="33.75" customHeight="1" thickBot="1" x14ac:dyDescent="0.3">
      <c r="B32" s="1824"/>
      <c r="C32" s="1825"/>
      <c r="D32" s="3868"/>
      <c r="E32" s="3868"/>
      <c r="F32" s="1825"/>
      <c r="G32" s="1825"/>
      <c r="H32" s="1825"/>
      <c r="I32" s="1825"/>
      <c r="J32" s="1825"/>
      <c r="K32" s="1825"/>
      <c r="L32" s="1825"/>
      <c r="M32" s="1825"/>
      <c r="N32" s="1842"/>
    </row>
    <row r="33" x14ac:dyDescent="0.2"/>
  </sheetData>
  <sheetProtection algorithmName="SHA-512" hashValue="YGPklNhHHR+f3xoSQl80AJR/+9Zxwv11QLfqo56GV1vrNotPOgHNT+7eDvmtVhRiFl/DECV+dfKs1nEirdDKIQ==" saltValue="9u4JoV0+OSdnv+dinMp6rg==" spinCount="100000" sheet="1" objects="1" scenarios="1"/>
  <mergeCells count="16">
    <mergeCell ref="D3:L3"/>
    <mergeCell ref="D5:D6"/>
    <mergeCell ref="E5:E6"/>
    <mergeCell ref="F5:F6"/>
    <mergeCell ref="G5:G6"/>
    <mergeCell ref="H5:H6"/>
    <mergeCell ref="I5:I6"/>
    <mergeCell ref="K5:K6"/>
    <mergeCell ref="L5:L6"/>
    <mergeCell ref="M5:M6"/>
    <mergeCell ref="G24:H24"/>
    <mergeCell ref="D32:E32"/>
    <mergeCell ref="G12:H12"/>
    <mergeCell ref="G18:H18"/>
    <mergeCell ref="J5:J6"/>
    <mergeCell ref="G30:H30"/>
  </mergeCells>
  <dataValidations count="9">
    <dataValidation type="whole" allowBlank="1" showErrorMessage="1" errorTitle="Income from Salary" error="Income (in Rupees) can not be more then 14 digits. Non negatives,No decimals values only allowed." sqref="I7 I13 I19 I25">
      <formula1>0</formula1>
      <formula2>99999999999999</formula2>
    </dataValidation>
    <dataValidation type="textLength" allowBlank="1" showErrorMessage="1" errorTitle="DTAA Articl" error="Relevant Article of DTAA should not exceed 16 charachters" sqref="M7 M13 M19 M25">
      <formula1>0</formula1>
      <formula2>16</formula2>
    </dataValidation>
    <dataValidation type="whole" allowBlank="1" showErrorMessage="1" error="can not be more then 14 digits. Non negatives,No decimals values only allowed." sqref="I30:L30 I12:L12 J7:L11 I18:L18 J13:L17 I24:L24 J19:L23 J25:L29">
      <formula1>0</formula1>
      <formula2>99999999999999</formula2>
    </dataValidation>
    <dataValidation type="textLength" allowBlank="1" showErrorMessage="1" errorTitle="DTAA Articl" error="Not exceeding 16 characters" sqref="M8:M11 M14:M17 M20:M23 M26:M29">
      <formula1>0</formula1>
      <formula2>16</formula2>
    </dataValidation>
    <dataValidation type="whole" allowBlank="1" showErrorMessage="1" errorTitle="Other Sources Income" error="Income  (in Rupees) can not be more than 14 digits. Non negatives,No decimals values only allowed." sqref="I11 I17 I23 I29">
      <formula1>0</formula1>
      <formula2>99999999999999</formula2>
    </dataValidation>
    <dataValidation type="whole" allowBlank="1" showErrorMessage="1" errorTitle="Capital Gains Icome" error="Income  (in Rupees) can not be more than 14 digits. Non negatives,No decimals values only allowed." sqref="I10 I16 I22 I28">
      <formula1>0</formula1>
      <formula2>99999999999999</formula2>
    </dataValidation>
    <dataValidation type="whole" allowBlank="1" showErrorMessage="1" errorTitle="Income from HP" error="Income  (in Rupees) can not be more than 14 digits. Non negatives,No decimals values only allowed." sqref="I8:I9 I14:I15 I20:I21 I26:I27">
      <formula1>0</formula1>
      <formula2>99999999999999</formula2>
    </dataValidation>
    <dataValidation type="list" allowBlank="1" showErrorMessage="1" errorTitle="CountryCode" error="  Please select from list" sqref="E7 E13 E19 E25">
      <formula1>FSI_newcountrycod</formula1>
    </dataValidation>
    <dataValidation type="textLength" operator="lessThanOrEqual" allowBlank="1" showErrorMessage="1" errorTitle="Tax Identification Number" error="Tax Identification Number can not be more than 75 characters." sqref="A1 F7 F13 F19 F25">
      <formula1>75</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8557" r:id="rId5" name="Button 13">
              <controlPr defaultSize="0" print="0" autoFill="0" autoPict="0" macro="[0]!AddBlockCall_FSIfrm">
                <anchor moveWithCells="1">
                  <from>
                    <xdr:col>3</xdr:col>
                    <xdr:colOff>0</xdr:colOff>
                    <xdr:row>31</xdr:row>
                    <xdr:rowOff>66675</xdr:rowOff>
                  </from>
                  <to>
                    <xdr:col>5</xdr:col>
                    <xdr:colOff>28575</xdr:colOff>
                    <xdr:row>31</xdr:row>
                    <xdr:rowOff>333375</xdr:rowOff>
                  </to>
                </anchor>
              </controlPr>
            </control>
          </mc:Choice>
        </mc:AlternateContent>
        <mc:AlternateContent xmlns:mc="http://schemas.openxmlformats.org/markup-compatibility/2006">
          <mc:Choice Requires="x14">
            <control shapeId="108570" r:id="rId6" name="Button 26">
              <controlPr defaultSize="0" print="0" autoFill="0" autoPict="0" macro="[0]!Cmd_Validate_FSI_Click">
                <anchor>
                  <from>
                    <xdr:col>14</xdr:col>
                    <xdr:colOff>152400</xdr:colOff>
                    <xdr:row>4</xdr:row>
                    <xdr:rowOff>142875</xdr:rowOff>
                  </from>
                  <to>
                    <xdr:col>14</xdr:col>
                    <xdr:colOff>1524000</xdr:colOff>
                    <xdr:row>4</xdr:row>
                    <xdr:rowOff>419100</xdr:rowOff>
                  </to>
                </anchor>
              </controlPr>
            </control>
          </mc:Choice>
        </mc:AlternateContent>
        <mc:AlternateContent xmlns:mc="http://schemas.openxmlformats.org/markup-compatibility/2006">
          <mc:Choice Requires="x14">
            <control shapeId="108572" r:id="rId7" name="Button 28">
              <controlPr defaultSize="0" print="0" autoFill="0" autoPict="0" macro="[0]!Img_Home_Click">
                <anchor>
                  <from>
                    <xdr:col>14</xdr:col>
                    <xdr:colOff>152400</xdr:colOff>
                    <xdr:row>2</xdr:row>
                    <xdr:rowOff>19050</xdr:rowOff>
                  </from>
                  <to>
                    <xdr:col>14</xdr:col>
                    <xdr:colOff>1524000</xdr:colOff>
                    <xdr:row>4</xdr:row>
                    <xdr:rowOff>114300</xdr:rowOff>
                  </to>
                </anchor>
              </controlPr>
            </control>
          </mc:Choice>
        </mc:AlternateContent>
        <mc:AlternateContent xmlns:mc="http://schemas.openxmlformats.org/markup-compatibility/2006">
          <mc:Choice Requires="x14">
            <control shapeId="108574" r:id="rId8" name="Button 30">
              <controlPr defaultSize="0" print="0" autoFill="0" autoPict="0" macro="[0]!Next_Sheet">
                <anchor>
                  <from>
                    <xdr:col>14</xdr:col>
                    <xdr:colOff>152400</xdr:colOff>
                    <xdr:row>4</xdr:row>
                    <xdr:rowOff>447675</xdr:rowOff>
                  </from>
                  <to>
                    <xdr:col>14</xdr:col>
                    <xdr:colOff>1524000</xdr:colOff>
                    <xdr:row>4</xdr:row>
                    <xdr:rowOff>723900</xdr:rowOff>
                  </to>
                </anchor>
              </controlPr>
            </control>
          </mc:Choice>
        </mc:AlternateContent>
        <mc:AlternateContent xmlns:mc="http://schemas.openxmlformats.org/markup-compatibility/2006">
          <mc:Choice Requires="x14">
            <control shapeId="108575" r:id="rId9" name="Button 31">
              <controlPr defaultSize="0" print="0" autoFill="0" autoPict="0" macro="[0]!Prev_Sheet">
                <anchor>
                  <from>
                    <xdr:col>14</xdr:col>
                    <xdr:colOff>152400</xdr:colOff>
                    <xdr:row>4</xdr:row>
                    <xdr:rowOff>752475</xdr:rowOff>
                  </from>
                  <to>
                    <xdr:col>14</xdr:col>
                    <xdr:colOff>1524000</xdr:colOff>
                    <xdr:row>4</xdr:row>
                    <xdr:rowOff>1028700</xdr:rowOff>
                  </to>
                </anchor>
              </controlPr>
            </control>
          </mc:Choice>
        </mc:AlternateContent>
        <mc:AlternateContent xmlns:mc="http://schemas.openxmlformats.org/markup-compatibility/2006">
          <mc:Choice Requires="x14">
            <control shapeId="108576" r:id="rId10" name="Button 32">
              <controlPr defaultSize="0" print="0" autoFill="0" autoPict="0" macro="[0]!GenerateJSON.GenerateJSON">
                <anchor>
                  <from>
                    <xdr:col>14</xdr:col>
                    <xdr:colOff>152400</xdr:colOff>
                    <xdr:row>4</xdr:row>
                    <xdr:rowOff>1047750</xdr:rowOff>
                  </from>
                  <to>
                    <xdr:col>14</xdr:col>
                    <xdr:colOff>1524000</xdr:colOff>
                    <xdr:row>6</xdr:row>
                    <xdr:rowOff>19050</xdr:rowOff>
                  </to>
                </anchor>
              </controlPr>
            </control>
          </mc:Choice>
        </mc:AlternateContent>
        <mc:AlternateContent xmlns:mc="http://schemas.openxmlformats.org/markup-compatibility/2006">
          <mc:Choice Requires="x14">
            <control shapeId="108577" r:id="rId11" name="Button 33">
              <controlPr defaultSize="0" print="0" autoFill="0" autoPict="0" macro="[0]!WorksheetsPrint">
                <anchor>
                  <from>
                    <xdr:col>14</xdr:col>
                    <xdr:colOff>152400</xdr:colOff>
                    <xdr:row>6</xdr:row>
                    <xdr:rowOff>57150</xdr:rowOff>
                  </from>
                  <to>
                    <xdr:col>14</xdr:col>
                    <xdr:colOff>1524000</xdr:colOff>
                    <xdr:row>8</xdr:row>
                    <xdr:rowOff>38100</xdr:rowOff>
                  </to>
                </anchor>
              </controlPr>
            </control>
          </mc:Choice>
        </mc:AlternateContent>
        <mc:AlternateContent xmlns:mc="http://schemas.openxmlformats.org/markup-compatibility/2006">
          <mc:Choice Requires="x14">
            <control shapeId="108578" r:id="rId12" name="Button 34">
              <controlPr defaultSize="0" print="0" autoFill="0" autoPict="0" macro="[0]!Instruction_Sheet">
                <anchor>
                  <from>
                    <xdr:col>14</xdr:col>
                    <xdr:colOff>142875</xdr:colOff>
                    <xdr:row>8</xdr:row>
                    <xdr:rowOff>57150</xdr:rowOff>
                  </from>
                  <to>
                    <xdr:col>14</xdr:col>
                    <xdr:colOff>1514475</xdr:colOff>
                    <xdr:row>10</xdr:row>
                    <xdr:rowOff>57150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FC65535"/>
  <sheetViews>
    <sheetView showGridLines="0" showRowColHeaders="0" zoomScaleNormal="100" workbookViewId="0"/>
  </sheetViews>
  <sheetFormatPr defaultColWidth="0" defaultRowHeight="12.75" zeroHeight="1" x14ac:dyDescent="0.2"/>
  <cols>
    <col min="1" max="1" width="4.42578125" style="113" customWidth="1"/>
    <col min="2" max="2" width="4.28515625" style="113" customWidth="1"/>
    <col min="3" max="3" width="11.42578125" style="113" customWidth="1"/>
    <col min="4" max="4" width="11.5703125" style="113" customWidth="1"/>
    <col min="5" max="5" width="24.85546875" style="113" customWidth="1"/>
    <col min="6" max="6" width="67.28515625" style="113" bestFit="1" customWidth="1"/>
    <col min="7" max="7" width="17.5703125" style="113" customWidth="1"/>
    <col min="8" max="8" width="20.140625" style="113" customWidth="1"/>
    <col min="9" max="9" width="23.85546875" style="113" customWidth="1"/>
    <col min="10" max="10" width="17.5703125" style="113" customWidth="1"/>
    <col min="11" max="11" width="16.140625" style="113" customWidth="1"/>
    <col min="12" max="12" width="17.5703125" style="113" customWidth="1"/>
    <col min="13" max="13" width="18.42578125" style="113" customWidth="1"/>
    <col min="14" max="14" width="17.85546875" style="113" customWidth="1"/>
    <col min="15" max="15" width="22" style="113" customWidth="1"/>
    <col min="16" max="16" width="17.140625" style="113" customWidth="1"/>
    <col min="17" max="17" width="15.85546875" style="113" customWidth="1"/>
    <col min="18" max="18" width="14.5703125" style="113" customWidth="1"/>
    <col min="19" max="19" width="13.85546875" style="113" customWidth="1"/>
    <col min="20" max="20" width="14.7109375" style="113" customWidth="1"/>
    <col min="21" max="21" width="6.85546875" style="113" customWidth="1"/>
    <col min="22" max="22" width="9.140625" style="113" customWidth="1"/>
    <col min="23" max="16383" width="9.140625" style="113" hidden="1"/>
    <col min="16384" max="16384" width="6.7109375" style="113" hidden="1"/>
  </cols>
  <sheetData>
    <row r="1" spans="2:21" ht="13.5" thickBot="1" x14ac:dyDescent="0.25"/>
    <row r="2" spans="2:21" x14ac:dyDescent="0.2">
      <c r="B2" s="1794"/>
      <c r="C2" s="1795"/>
      <c r="D2" s="1795"/>
      <c r="E2" s="1795"/>
      <c r="F2" s="1795"/>
      <c r="G2" s="1795"/>
      <c r="H2" s="1795"/>
      <c r="I2" s="1795"/>
      <c r="J2" s="1795"/>
      <c r="K2" s="1795"/>
      <c r="L2" s="1795"/>
      <c r="M2" s="1795"/>
      <c r="N2" s="1795"/>
      <c r="O2" s="1795"/>
      <c r="P2" s="1795"/>
      <c r="Q2" s="1795"/>
      <c r="R2" s="1795"/>
      <c r="S2" s="1795"/>
      <c r="T2" s="1795"/>
      <c r="U2" s="1831"/>
    </row>
    <row r="3" spans="2:21" ht="12.75" customHeight="1" x14ac:dyDescent="0.2">
      <c r="B3" s="1797"/>
      <c r="C3" s="1196" t="s">
        <v>1351</v>
      </c>
      <c r="D3" s="848"/>
      <c r="E3" s="848"/>
      <c r="F3" s="848"/>
      <c r="G3" s="848"/>
      <c r="H3" s="1133"/>
      <c r="I3" s="1133"/>
      <c r="J3" s="1133"/>
      <c r="K3" s="1133"/>
      <c r="L3" s="1133"/>
      <c r="M3" s="1133"/>
      <c r="N3" s="1133"/>
      <c r="O3" s="1133"/>
      <c r="P3" s="1133"/>
      <c r="Q3" s="1133"/>
      <c r="R3" s="1133"/>
      <c r="S3" s="1133"/>
      <c r="T3" s="1133"/>
      <c r="U3" s="1836"/>
    </row>
    <row r="4" spans="2:21" ht="12.75" customHeight="1" x14ac:dyDescent="0.2">
      <c r="B4" s="1797"/>
      <c r="C4" s="2012" t="s">
        <v>7276</v>
      </c>
      <c r="D4" s="3097" t="s">
        <v>1352</v>
      </c>
      <c r="E4" s="3097"/>
      <c r="F4" s="3097"/>
      <c r="G4" s="3097"/>
      <c r="H4" s="3097"/>
      <c r="I4" s="3097"/>
      <c r="J4" s="1133"/>
      <c r="K4" s="1133"/>
      <c r="L4" s="1133"/>
      <c r="M4" s="1133"/>
      <c r="N4" s="1133"/>
      <c r="O4" s="1133"/>
      <c r="P4" s="1133"/>
      <c r="Q4" s="1133"/>
      <c r="R4" s="1133"/>
      <c r="S4" s="1133"/>
      <c r="T4" s="1133"/>
      <c r="U4" s="1836"/>
    </row>
    <row r="5" spans="2:21" ht="12.75" customHeight="1" x14ac:dyDescent="0.2">
      <c r="B5" s="1797"/>
      <c r="C5" s="2585">
        <v>1</v>
      </c>
      <c r="D5" s="3097" t="s">
        <v>7350</v>
      </c>
      <c r="E5" s="3097"/>
      <c r="F5" s="3097"/>
      <c r="G5" s="3097"/>
      <c r="H5" s="3097"/>
      <c r="I5" s="3097"/>
      <c r="J5" s="1133"/>
      <c r="K5" s="1133"/>
      <c r="L5" s="1133"/>
      <c r="M5" s="1133"/>
      <c r="N5" s="1133"/>
      <c r="O5" s="1133"/>
      <c r="P5" s="1133"/>
      <c r="Q5" s="1133"/>
      <c r="R5" s="1133"/>
      <c r="S5" s="1133"/>
      <c r="T5" s="1133"/>
      <c r="U5" s="1836"/>
    </row>
    <row r="6" spans="2:21" ht="91.5" customHeight="1" x14ac:dyDescent="0.2">
      <c r="B6" s="1797"/>
      <c r="C6" s="724"/>
      <c r="D6" s="2586" t="s">
        <v>13242</v>
      </c>
      <c r="E6" s="1551" t="s">
        <v>12875</v>
      </c>
      <c r="F6" s="1551" t="s">
        <v>12874</v>
      </c>
      <c r="G6" s="1551" t="s">
        <v>7609</v>
      </c>
      <c r="H6" s="1552" t="s">
        <v>7608</v>
      </c>
      <c r="I6" s="1551" t="s">
        <v>7610</v>
      </c>
      <c r="J6" s="1133"/>
      <c r="K6" s="1133"/>
      <c r="L6" s="1133"/>
      <c r="M6" s="1133"/>
      <c r="N6" s="1133"/>
      <c r="O6" s="1133"/>
      <c r="P6" s="1133"/>
      <c r="Q6" s="1133"/>
      <c r="R6" s="1133"/>
      <c r="S6" s="1133"/>
      <c r="T6" s="1133"/>
      <c r="U6" s="1836"/>
    </row>
    <row r="7" spans="2:21" ht="18" customHeight="1" x14ac:dyDescent="0.2">
      <c r="B7" s="1797"/>
      <c r="C7" s="1597"/>
      <c r="D7" s="1089">
        <v>1</v>
      </c>
      <c r="E7" s="817"/>
      <c r="F7" s="818" t="s">
        <v>23</v>
      </c>
      <c r="G7" s="819">
        <v>0</v>
      </c>
      <c r="H7" s="819">
        <v>0</v>
      </c>
      <c r="I7" s="820" t="s">
        <v>12</v>
      </c>
      <c r="J7" s="1133"/>
      <c r="K7" s="1133"/>
      <c r="L7" s="1133"/>
      <c r="M7" s="1133"/>
      <c r="N7" s="1133"/>
      <c r="O7" s="1133"/>
      <c r="P7" s="1133"/>
      <c r="Q7" s="1133"/>
      <c r="R7" s="1133"/>
      <c r="S7" s="1133"/>
      <c r="T7" s="1133"/>
      <c r="U7" s="1836"/>
    </row>
    <row r="8" spans="2:21" ht="12.75" customHeight="1" x14ac:dyDescent="0.2">
      <c r="B8" s="1797"/>
      <c r="C8" s="1596"/>
      <c r="D8" s="2587">
        <f>D7+1</f>
        <v>2</v>
      </c>
      <c r="E8" s="817"/>
      <c r="F8" s="818" t="s">
        <v>23</v>
      </c>
      <c r="G8" s="819">
        <v>0</v>
      </c>
      <c r="H8" s="819">
        <v>0</v>
      </c>
      <c r="I8" s="820" t="s">
        <v>12</v>
      </c>
      <c r="J8" s="848"/>
      <c r="K8" s="1133"/>
      <c r="L8" s="1133"/>
      <c r="M8" s="1133"/>
      <c r="N8" s="1133"/>
      <c r="O8" s="1133"/>
      <c r="P8" s="1133"/>
      <c r="Q8" s="1133"/>
      <c r="R8" s="1133"/>
      <c r="S8" s="1133"/>
      <c r="T8" s="1133"/>
      <c r="U8" s="1836"/>
    </row>
    <row r="9" spans="2:21" ht="12.75" customHeight="1" x14ac:dyDescent="0.2">
      <c r="B9" s="1797"/>
      <c r="C9" s="1598"/>
      <c r="D9" s="2587">
        <f t="shared" ref="D9:D10" si="0">D8+1</f>
        <v>3</v>
      </c>
      <c r="E9" s="817"/>
      <c r="F9" s="818" t="s">
        <v>23</v>
      </c>
      <c r="G9" s="819">
        <v>0</v>
      </c>
      <c r="H9" s="819">
        <v>0</v>
      </c>
      <c r="I9" s="820" t="s">
        <v>12</v>
      </c>
      <c r="J9" s="848"/>
      <c r="K9" s="1133"/>
      <c r="L9" s="1133"/>
      <c r="M9" s="1133"/>
      <c r="N9" s="1133"/>
      <c r="O9" s="1133"/>
      <c r="P9" s="1133"/>
      <c r="Q9" s="1133"/>
      <c r="R9" s="1133"/>
      <c r="S9" s="1133"/>
      <c r="T9" s="1133"/>
      <c r="U9" s="1836"/>
    </row>
    <row r="10" spans="2:21" ht="12.75" customHeight="1" x14ac:dyDescent="0.2">
      <c r="B10" s="1797"/>
      <c r="C10" s="1598"/>
      <c r="D10" s="2587">
        <f t="shared" si="0"/>
        <v>4</v>
      </c>
      <c r="E10" s="817"/>
      <c r="F10" s="818" t="s">
        <v>23</v>
      </c>
      <c r="G10" s="819">
        <v>0</v>
      </c>
      <c r="H10" s="819">
        <v>0</v>
      </c>
      <c r="I10" s="820" t="s">
        <v>12</v>
      </c>
      <c r="J10" s="848"/>
      <c r="K10" s="1133"/>
      <c r="L10" s="1133"/>
      <c r="M10" s="1133"/>
      <c r="N10" s="1133"/>
      <c r="O10" s="1133"/>
      <c r="P10" s="1133"/>
      <c r="Q10" s="1133"/>
      <c r="R10" s="1133"/>
      <c r="S10" s="1133"/>
      <c r="T10" s="1133"/>
      <c r="U10" s="1836"/>
    </row>
    <row r="11" spans="2:21" ht="29.25" customHeight="1" x14ac:dyDescent="0.2">
      <c r="B11" s="1797"/>
      <c r="C11" s="3889"/>
      <c r="D11" s="2938" t="s">
        <v>749</v>
      </c>
      <c r="E11" s="2939"/>
      <c r="F11" s="2940"/>
      <c r="G11" s="1391">
        <f>SUM(TR_TaxPaidOutsideIndia)</f>
        <v>0</v>
      </c>
      <c r="H11" s="729">
        <f>SUM(TR_TaxReliefOutsideIndia)</f>
        <v>0</v>
      </c>
      <c r="I11" s="1802"/>
      <c r="J11" s="1133"/>
      <c r="K11" s="1133"/>
      <c r="L11" s="1133"/>
      <c r="M11" s="1133"/>
      <c r="N11" s="848"/>
      <c r="O11" s="1133"/>
      <c r="P11" s="1133"/>
      <c r="Q11" s="1133"/>
      <c r="R11" s="1133"/>
      <c r="S11" s="1133"/>
      <c r="T11" s="1133"/>
      <c r="U11" s="1836"/>
    </row>
    <row r="12" spans="2:21" ht="29.25" customHeight="1" x14ac:dyDescent="0.2">
      <c r="B12" s="1797"/>
      <c r="C12" s="3890"/>
      <c r="D12" s="3870"/>
      <c r="E12" s="3870"/>
      <c r="F12" s="3870"/>
      <c r="G12" s="3870"/>
      <c r="H12" s="3870"/>
      <c r="I12" s="3870"/>
      <c r="J12" s="1133"/>
      <c r="K12" s="1133"/>
      <c r="L12" s="1133"/>
      <c r="M12" s="1133"/>
      <c r="N12" s="848"/>
      <c r="O12" s="1133"/>
      <c r="P12" s="1133"/>
      <c r="Q12" s="1133"/>
      <c r="R12" s="1133"/>
      <c r="S12" s="1133"/>
      <c r="T12" s="1133"/>
      <c r="U12" s="1836"/>
    </row>
    <row r="13" spans="2:21" ht="12.75" customHeight="1" x14ac:dyDescent="0.2">
      <c r="B13" s="1797"/>
      <c r="C13" s="3890"/>
      <c r="D13" s="258">
        <v>2</v>
      </c>
      <c r="E13" s="3001" t="s">
        <v>1528</v>
      </c>
      <c r="F13" s="3001"/>
      <c r="G13" s="3001"/>
      <c r="H13" s="3001"/>
      <c r="I13" s="3001"/>
      <c r="J13" s="1391">
        <f>MAX(TR_TotalTaxReliefOutsideIndia-TR_TaxReliefOutsideIndiaNotDTAA,0)</f>
        <v>0</v>
      </c>
      <c r="K13" s="1133"/>
      <c r="L13" s="1133"/>
      <c r="M13" s="1133"/>
      <c r="N13" s="1133"/>
      <c r="O13" s="1133"/>
      <c r="P13" s="1133"/>
      <c r="Q13" s="1133"/>
      <c r="R13" s="1133"/>
      <c r="S13" s="1133"/>
      <c r="T13" s="1133"/>
      <c r="U13" s="1836"/>
    </row>
    <row r="14" spans="2:21" ht="12.75" customHeight="1" x14ac:dyDescent="0.2">
      <c r="B14" s="1797"/>
      <c r="C14" s="3890"/>
      <c r="D14" s="258">
        <v>3</v>
      </c>
      <c r="E14" s="3001" t="s">
        <v>1529</v>
      </c>
      <c r="F14" s="3001"/>
      <c r="G14" s="3001"/>
      <c r="H14" s="3001"/>
      <c r="I14" s="3001"/>
      <c r="J14" s="1391">
        <f>SUMIF(TR_ReliefClaimedUsSection,"91",TR_TaxReliefOutsideIndia)</f>
        <v>0</v>
      </c>
      <c r="K14" s="1133"/>
      <c r="L14" s="1133"/>
      <c r="M14" s="1133"/>
      <c r="N14" s="1133"/>
      <c r="O14" s="1133"/>
      <c r="P14" s="1133"/>
      <c r="Q14" s="1133"/>
      <c r="R14" s="1133"/>
      <c r="S14" s="1133"/>
      <c r="T14" s="1133"/>
      <c r="U14" s="1836"/>
    </row>
    <row r="15" spans="2:21" ht="27" customHeight="1" x14ac:dyDescent="0.2">
      <c r="B15" s="1797"/>
      <c r="C15" s="3890"/>
      <c r="D15" s="2066">
        <v>4</v>
      </c>
      <c r="E15" s="2999" t="s">
        <v>1530</v>
      </c>
      <c r="F15" s="2999"/>
      <c r="G15" s="2999"/>
      <c r="H15" s="2999"/>
      <c r="I15" s="2999"/>
      <c r="J15" s="2469"/>
      <c r="K15" s="1133"/>
      <c r="L15" s="1133"/>
      <c r="M15" s="1133"/>
      <c r="N15" s="1133"/>
      <c r="O15" s="1133"/>
      <c r="P15" s="1133"/>
      <c r="Q15" s="1133"/>
      <c r="R15" s="1133"/>
      <c r="S15" s="1133"/>
      <c r="T15" s="1133"/>
      <c r="U15" s="1836"/>
    </row>
    <row r="16" spans="2:21" ht="12.75" customHeight="1" x14ac:dyDescent="0.2">
      <c r="B16" s="1797"/>
      <c r="C16" s="3891"/>
      <c r="D16" s="2066" t="s">
        <v>27</v>
      </c>
      <c r="E16" s="2045" t="s">
        <v>1531</v>
      </c>
      <c r="F16" s="2095"/>
      <c r="G16" s="2025" t="s">
        <v>1532</v>
      </c>
      <c r="H16" s="742"/>
      <c r="I16" s="847"/>
      <c r="J16" s="2095"/>
      <c r="K16" s="1133"/>
      <c r="L16" s="1133"/>
      <c r="M16" s="1133"/>
      <c r="N16" s="1133"/>
      <c r="O16" s="1133"/>
      <c r="P16" s="1133"/>
      <c r="Q16" s="1133"/>
      <c r="R16" s="1133"/>
      <c r="S16" s="1133"/>
      <c r="T16" s="1133"/>
      <c r="U16" s="1836"/>
    </row>
    <row r="17" spans="2:21" x14ac:dyDescent="0.2">
      <c r="B17" s="1797"/>
      <c r="C17" s="1133"/>
      <c r="D17" s="1133"/>
      <c r="E17" s="1133"/>
      <c r="F17" s="1133"/>
      <c r="G17" s="1133"/>
      <c r="H17" s="1133"/>
      <c r="I17" s="1133"/>
      <c r="J17" s="1133"/>
      <c r="K17" s="1133"/>
      <c r="L17" s="1133"/>
      <c r="M17" s="1133"/>
      <c r="N17" s="1133"/>
      <c r="O17" s="1133"/>
      <c r="P17" s="1133"/>
      <c r="Q17" s="1133"/>
      <c r="R17" s="1133"/>
      <c r="S17" s="1133"/>
      <c r="T17" s="1133"/>
      <c r="U17" s="1836"/>
    </row>
    <row r="18" spans="2:21" x14ac:dyDescent="0.2">
      <c r="B18" s="1797"/>
      <c r="C18" s="848"/>
      <c r="D18" s="1133"/>
      <c r="E18" s="1133"/>
      <c r="F18" s="1133"/>
      <c r="G18" s="1849"/>
      <c r="H18" s="1133"/>
      <c r="I18" s="1133"/>
      <c r="J18" s="1133"/>
      <c r="K18" s="1133"/>
      <c r="L18" s="1133"/>
      <c r="M18" s="1133"/>
      <c r="N18" s="1133"/>
      <c r="O18" s="1133"/>
      <c r="P18" s="1133"/>
      <c r="Q18" s="1133"/>
      <c r="R18" s="1133"/>
      <c r="S18" s="1133"/>
      <c r="T18" s="1133"/>
      <c r="U18" s="1836"/>
    </row>
    <row r="19" spans="2:21" ht="12.75" customHeight="1" x14ac:dyDescent="0.2">
      <c r="B19" s="1797"/>
      <c r="C19" s="2012" t="s">
        <v>7275</v>
      </c>
      <c r="D19" s="1499" t="s">
        <v>7277</v>
      </c>
      <c r="E19" s="1499"/>
      <c r="F19" s="1499"/>
      <c r="G19" s="1892"/>
      <c r="H19" s="1892"/>
      <c r="I19" s="1893"/>
      <c r="J19" s="1133"/>
      <c r="K19" s="1133"/>
      <c r="L19" s="1133"/>
      <c r="M19" s="1133"/>
      <c r="N19" s="1133"/>
      <c r="O19" s="1133"/>
      <c r="P19" s="1133"/>
      <c r="Q19" s="1133"/>
      <c r="R19" s="1133"/>
      <c r="S19" s="1133"/>
      <c r="T19" s="1133"/>
      <c r="U19" s="1836"/>
    </row>
    <row r="20" spans="2:21" ht="12.75" customHeight="1" x14ac:dyDescent="0.2">
      <c r="B20" s="1797"/>
      <c r="C20" s="848"/>
      <c r="D20" s="1553" t="s">
        <v>9663</v>
      </c>
      <c r="E20" s="1553"/>
      <c r="F20" s="1553"/>
      <c r="G20" s="1873"/>
      <c r="H20" s="1873"/>
      <c r="I20" s="1133"/>
      <c r="J20" s="1133"/>
      <c r="K20" s="1133"/>
      <c r="L20" s="1133"/>
      <c r="M20" s="1133"/>
      <c r="N20" s="1133"/>
      <c r="O20" s="1133"/>
      <c r="P20" s="1133"/>
      <c r="Q20" s="1133"/>
      <c r="R20" s="1133"/>
      <c r="S20" s="1133"/>
      <c r="T20" s="1133"/>
      <c r="U20" s="1836"/>
    </row>
    <row r="21" spans="2:21" ht="12.75" customHeight="1" x14ac:dyDescent="0.2">
      <c r="B21" s="1797"/>
      <c r="C21" s="1998" t="s">
        <v>8922</v>
      </c>
      <c r="D21" s="3870" t="s">
        <v>13175</v>
      </c>
      <c r="E21" s="3870"/>
      <c r="F21" s="3870"/>
      <c r="G21" s="3870"/>
      <c r="H21" s="3870"/>
      <c r="I21" s="3870"/>
      <c r="J21" s="3870"/>
      <c r="K21" s="3870"/>
      <c r="L21" s="3870"/>
      <c r="M21" s="3870"/>
      <c r="N21" s="3870"/>
      <c r="O21" s="1133"/>
      <c r="P21" s="1133"/>
      <c r="Q21" s="1133"/>
      <c r="R21" s="1133"/>
      <c r="S21" s="1133"/>
      <c r="T21" s="1133"/>
      <c r="U21" s="1836"/>
    </row>
    <row r="22" spans="2:21" ht="22.5" customHeight="1" x14ac:dyDescent="0.2">
      <c r="B22" s="1797"/>
      <c r="C22" s="1884"/>
      <c r="D22" s="3887" t="s">
        <v>9696</v>
      </c>
      <c r="E22" s="3876" t="s">
        <v>8923</v>
      </c>
      <c r="F22" s="3876" t="s">
        <v>8924</v>
      </c>
      <c r="G22" s="3876" t="s">
        <v>8925</v>
      </c>
      <c r="H22" s="3876" t="s">
        <v>8926</v>
      </c>
      <c r="I22" s="3878" t="s">
        <v>8927</v>
      </c>
      <c r="J22" s="3878" t="s">
        <v>8928</v>
      </c>
      <c r="K22" s="3878" t="s">
        <v>8929</v>
      </c>
      <c r="L22" s="3876" t="s">
        <v>9664</v>
      </c>
      <c r="M22" s="3876" t="s">
        <v>8930</v>
      </c>
      <c r="N22" s="3876" t="s">
        <v>8931</v>
      </c>
      <c r="O22" s="1133"/>
      <c r="P22" s="1133"/>
      <c r="Q22" s="1133"/>
      <c r="R22" s="1133"/>
      <c r="S22" s="1133"/>
      <c r="T22" s="1133"/>
      <c r="U22" s="1836"/>
    </row>
    <row r="23" spans="2:21" ht="54.75" customHeight="1" x14ac:dyDescent="0.2">
      <c r="B23" s="1797"/>
      <c r="C23" s="839"/>
      <c r="D23" s="3888"/>
      <c r="E23" s="3877"/>
      <c r="F23" s="3876"/>
      <c r="G23" s="3876"/>
      <c r="H23" s="3877"/>
      <c r="I23" s="3879"/>
      <c r="J23" s="3879"/>
      <c r="K23" s="3897"/>
      <c r="L23" s="3876"/>
      <c r="M23" s="3876"/>
      <c r="N23" s="3876"/>
      <c r="O23" s="1133"/>
      <c r="P23" s="1133"/>
      <c r="Q23" s="1133"/>
      <c r="R23" s="1133"/>
      <c r="S23" s="1133"/>
      <c r="T23" s="1133"/>
      <c r="U23" s="1836"/>
    </row>
    <row r="24" spans="2:21" x14ac:dyDescent="0.2">
      <c r="B24" s="1797"/>
      <c r="C24" s="839"/>
      <c r="D24" s="1098">
        <v>1</v>
      </c>
      <c r="E24" s="2096"/>
      <c r="F24" s="2675" t="s">
        <v>23</v>
      </c>
      <c r="G24" s="2675" t="s">
        <v>23</v>
      </c>
      <c r="H24" s="2096"/>
      <c r="I24" s="2675" t="s">
        <v>23</v>
      </c>
      <c r="J24" s="2096"/>
      <c r="K24" s="2675" t="s">
        <v>23</v>
      </c>
      <c r="L24" s="2674"/>
      <c r="M24" s="2674"/>
      <c r="N24" s="2674"/>
      <c r="O24" s="1133"/>
      <c r="P24" s="1133"/>
      <c r="Q24" s="1133"/>
      <c r="R24" s="1133"/>
      <c r="S24" s="1133"/>
      <c r="T24" s="1133"/>
      <c r="U24" s="1836"/>
    </row>
    <row r="25" spans="2:21" x14ac:dyDescent="0.2">
      <c r="B25" s="1797"/>
      <c r="C25" s="839"/>
      <c r="D25" s="1098">
        <f>D24+1</f>
        <v>2</v>
      </c>
      <c r="E25" s="2096"/>
      <c r="F25" s="2675" t="s">
        <v>23</v>
      </c>
      <c r="G25" s="2675" t="s">
        <v>23</v>
      </c>
      <c r="H25" s="2096"/>
      <c r="I25" s="2675" t="s">
        <v>23</v>
      </c>
      <c r="J25" s="2096"/>
      <c r="K25" s="2675" t="s">
        <v>23</v>
      </c>
      <c r="L25" s="2674"/>
      <c r="M25" s="2674"/>
      <c r="N25" s="2674"/>
      <c r="O25" s="1133"/>
      <c r="P25" s="1133"/>
      <c r="Q25" s="1133"/>
      <c r="R25" s="1133"/>
      <c r="S25" s="1133"/>
      <c r="T25" s="1133"/>
      <c r="U25" s="1836"/>
    </row>
    <row r="26" spans="2:21" x14ac:dyDescent="0.2">
      <c r="B26" s="1797"/>
      <c r="C26" s="839"/>
      <c r="D26" s="1098">
        <f>D25+1</f>
        <v>3</v>
      </c>
      <c r="E26" s="2096"/>
      <c r="F26" s="2675" t="s">
        <v>23</v>
      </c>
      <c r="G26" s="2675" t="s">
        <v>23</v>
      </c>
      <c r="H26" s="2096"/>
      <c r="I26" s="2675" t="s">
        <v>23</v>
      </c>
      <c r="J26" s="2096"/>
      <c r="K26" s="2675" t="s">
        <v>23</v>
      </c>
      <c r="L26" s="2674"/>
      <c r="M26" s="2674"/>
      <c r="N26" s="2674"/>
      <c r="O26" s="1133"/>
      <c r="P26" s="1133"/>
      <c r="Q26" s="1133"/>
      <c r="R26" s="1133"/>
      <c r="S26" s="1133"/>
      <c r="T26" s="1133"/>
      <c r="U26" s="1836"/>
    </row>
    <row r="27" spans="2:21" x14ac:dyDescent="0.2">
      <c r="B27" s="1797"/>
      <c r="C27" s="839"/>
      <c r="D27" s="1098">
        <f>D26+1</f>
        <v>4</v>
      </c>
      <c r="E27" s="2096"/>
      <c r="F27" s="2675" t="s">
        <v>23</v>
      </c>
      <c r="G27" s="2675" t="s">
        <v>23</v>
      </c>
      <c r="H27" s="2096"/>
      <c r="I27" s="2675" t="s">
        <v>23</v>
      </c>
      <c r="J27" s="2096"/>
      <c r="K27" s="2675" t="s">
        <v>23</v>
      </c>
      <c r="L27" s="2674"/>
      <c r="M27" s="2674"/>
      <c r="N27" s="2674"/>
      <c r="O27" s="1133"/>
      <c r="P27" s="1133"/>
      <c r="Q27" s="1133"/>
      <c r="R27" s="1133"/>
      <c r="S27" s="1133"/>
      <c r="T27" s="1133"/>
      <c r="U27" s="1836"/>
    </row>
    <row r="28" spans="2:21" x14ac:dyDescent="0.2">
      <c r="B28" s="1797"/>
      <c r="C28" s="839"/>
      <c r="D28" s="1098">
        <f>D27+1</f>
        <v>5</v>
      </c>
      <c r="E28" s="2096"/>
      <c r="F28" s="2675" t="s">
        <v>23</v>
      </c>
      <c r="G28" s="2675" t="s">
        <v>23</v>
      </c>
      <c r="H28" s="2096"/>
      <c r="I28" s="2675" t="s">
        <v>23</v>
      </c>
      <c r="J28" s="2096"/>
      <c r="K28" s="2675" t="s">
        <v>23</v>
      </c>
      <c r="L28" s="2674"/>
      <c r="M28" s="2674"/>
      <c r="N28" s="2674"/>
      <c r="O28" s="1133"/>
      <c r="P28" s="1133"/>
      <c r="Q28" s="1133"/>
      <c r="R28" s="1133"/>
      <c r="S28" s="1133"/>
      <c r="T28" s="1133"/>
      <c r="U28" s="1836"/>
    </row>
    <row r="29" spans="2:21" x14ac:dyDescent="0.2">
      <c r="B29" s="1797"/>
      <c r="C29" s="851"/>
      <c r="D29" s="1098">
        <f>D28+1</f>
        <v>6</v>
      </c>
      <c r="E29" s="2096"/>
      <c r="F29" s="2675" t="s">
        <v>23</v>
      </c>
      <c r="G29" s="2675" t="s">
        <v>23</v>
      </c>
      <c r="H29" s="2096"/>
      <c r="I29" s="2675" t="s">
        <v>23</v>
      </c>
      <c r="J29" s="2096"/>
      <c r="K29" s="2675" t="s">
        <v>23</v>
      </c>
      <c r="L29" s="2674"/>
      <c r="M29" s="2674"/>
      <c r="N29" s="2674"/>
      <c r="O29" s="1133"/>
      <c r="P29" s="1133"/>
      <c r="Q29" s="1133"/>
      <c r="R29" s="1133"/>
      <c r="S29" s="1133"/>
      <c r="T29" s="1133"/>
      <c r="U29" s="1836"/>
    </row>
    <row r="30" spans="2:21" ht="14.25" customHeight="1" x14ac:dyDescent="0.2">
      <c r="B30" s="1797"/>
      <c r="C30" s="848"/>
      <c r="D30" s="823"/>
      <c r="E30" s="823"/>
      <c r="F30" s="823"/>
      <c r="G30" s="1133"/>
      <c r="H30" s="1133"/>
      <c r="I30" s="1133"/>
      <c r="J30" s="1133"/>
      <c r="K30" s="1133"/>
      <c r="L30" s="1133"/>
      <c r="M30" s="1133"/>
      <c r="N30" s="1133"/>
      <c r="O30" s="1133"/>
      <c r="P30" s="1133"/>
      <c r="Q30" s="1133"/>
      <c r="R30" s="1133"/>
      <c r="S30" s="1133"/>
      <c r="T30" s="1133"/>
      <c r="U30" s="1836"/>
    </row>
    <row r="31" spans="2:21" ht="12.75" hidden="1" customHeight="1" x14ac:dyDescent="0.2">
      <c r="B31" s="1797"/>
      <c r="C31" s="3788" t="s">
        <v>1535</v>
      </c>
      <c r="D31" s="3789"/>
      <c r="E31" s="3789"/>
      <c r="F31" s="3789"/>
      <c r="G31" s="3789"/>
      <c r="H31" s="3789"/>
      <c r="I31" s="3789"/>
      <c r="J31" s="3789"/>
      <c r="K31" s="3790"/>
      <c r="L31" s="831">
        <f>SUM(FA_A1_PeakBal)</f>
        <v>0</v>
      </c>
      <c r="M31" s="1133"/>
      <c r="N31" s="1133"/>
      <c r="O31" s="1133"/>
      <c r="P31" s="1133"/>
      <c r="Q31" s="1133"/>
      <c r="R31" s="1133"/>
      <c r="S31" s="1133"/>
      <c r="T31" s="1133"/>
      <c r="U31" s="1836"/>
    </row>
    <row r="32" spans="2:21" ht="24" customHeight="1" x14ac:dyDescent="0.2">
      <c r="B32" s="1797"/>
      <c r="C32" s="848"/>
      <c r="D32" s="823"/>
      <c r="E32" s="823"/>
      <c r="F32" s="823"/>
      <c r="G32" s="1133"/>
      <c r="H32" s="1133"/>
      <c r="I32" s="1133"/>
      <c r="J32" s="1133"/>
      <c r="K32" s="1133"/>
      <c r="L32" s="1133"/>
      <c r="M32" s="1133"/>
      <c r="N32" s="1133"/>
      <c r="O32" s="1133"/>
      <c r="P32" s="1133"/>
      <c r="Q32" s="1133"/>
      <c r="R32" s="1133"/>
      <c r="S32" s="1133"/>
      <c r="T32" s="1133"/>
      <c r="U32" s="1836"/>
    </row>
    <row r="33" spans="2:22" ht="12.75" customHeight="1" x14ac:dyDescent="0.2">
      <c r="B33" s="1797"/>
      <c r="C33" s="848"/>
      <c r="D33" s="823"/>
      <c r="E33" s="823"/>
      <c r="F33" s="823"/>
      <c r="G33" s="1133"/>
      <c r="H33" s="1133"/>
      <c r="I33" s="1133"/>
      <c r="J33" s="1133"/>
      <c r="K33" s="1133"/>
      <c r="L33" s="1133"/>
      <c r="M33" s="1133"/>
      <c r="N33" s="1133"/>
      <c r="O33" s="1133"/>
      <c r="P33" s="1133"/>
      <c r="Q33" s="1133"/>
      <c r="R33" s="1133"/>
      <c r="S33" s="1133"/>
      <c r="T33" s="1133"/>
      <c r="U33" s="1836"/>
    </row>
    <row r="34" spans="2:22" ht="12.75" customHeight="1" x14ac:dyDescent="0.2">
      <c r="B34" s="1797"/>
      <c r="C34" s="848"/>
      <c r="D34" s="823"/>
      <c r="E34" s="823"/>
      <c r="F34" s="823"/>
      <c r="G34" s="1133"/>
      <c r="H34" s="1133"/>
      <c r="I34" s="1133"/>
      <c r="J34" s="1133"/>
      <c r="K34" s="1133"/>
      <c r="L34" s="1133"/>
      <c r="M34" s="1133"/>
      <c r="N34" s="1133"/>
      <c r="O34" s="1133"/>
      <c r="P34" s="1133"/>
      <c r="Q34" s="1133"/>
      <c r="R34" s="1133"/>
      <c r="S34" s="1133"/>
      <c r="T34" s="1133"/>
      <c r="U34" s="1836"/>
    </row>
    <row r="35" spans="2:22" ht="12.75" customHeight="1" x14ac:dyDescent="0.2">
      <c r="B35" s="1797"/>
      <c r="C35" s="1998" t="s">
        <v>8932</v>
      </c>
      <c r="D35" s="3882" t="s">
        <v>13176</v>
      </c>
      <c r="E35" s="3882"/>
      <c r="F35" s="3882"/>
      <c r="G35" s="3882"/>
      <c r="H35" s="3882"/>
      <c r="I35" s="3882"/>
      <c r="J35" s="3882"/>
      <c r="K35" s="3882"/>
      <c r="L35" s="3882"/>
      <c r="M35" s="3882"/>
      <c r="N35" s="3882"/>
      <c r="O35" s="3882"/>
      <c r="P35" s="1133"/>
      <c r="Q35" s="1133"/>
      <c r="R35" s="1133"/>
      <c r="S35" s="1133"/>
      <c r="T35" s="1133"/>
      <c r="U35" s="1836"/>
    </row>
    <row r="36" spans="2:22" ht="27.75" customHeight="1" x14ac:dyDescent="0.2">
      <c r="B36" s="1797"/>
      <c r="C36" s="1884"/>
      <c r="D36" s="3885" t="s">
        <v>9696</v>
      </c>
      <c r="E36" s="3871" t="s">
        <v>8923</v>
      </c>
      <c r="F36" s="3871" t="s">
        <v>8924</v>
      </c>
      <c r="G36" s="3871" t="s">
        <v>8925</v>
      </c>
      <c r="H36" s="3871" t="s">
        <v>8926</v>
      </c>
      <c r="I36" s="3872" t="s">
        <v>8927</v>
      </c>
      <c r="J36" s="3872" t="s">
        <v>8928</v>
      </c>
      <c r="K36" s="3872" t="s">
        <v>8929</v>
      </c>
      <c r="L36" s="3871" t="s">
        <v>8950</v>
      </c>
      <c r="M36" s="3871" t="s">
        <v>8930</v>
      </c>
      <c r="N36" s="3898" t="s">
        <v>9666</v>
      </c>
      <c r="O36" s="3899"/>
      <c r="P36" s="1133"/>
      <c r="Q36" s="1133"/>
      <c r="R36" s="1133"/>
      <c r="S36" s="1133"/>
      <c r="T36" s="1133"/>
      <c r="U36" s="1836"/>
      <c r="V36" s="117"/>
    </row>
    <row r="37" spans="2:22" ht="52.5" customHeight="1" x14ac:dyDescent="0.2">
      <c r="B37" s="1797"/>
      <c r="C37" s="839"/>
      <c r="D37" s="3886"/>
      <c r="E37" s="3880"/>
      <c r="F37" s="3871"/>
      <c r="G37" s="3871"/>
      <c r="H37" s="3880"/>
      <c r="I37" s="3873"/>
      <c r="J37" s="3873"/>
      <c r="K37" s="3881"/>
      <c r="L37" s="3871"/>
      <c r="M37" s="3871"/>
      <c r="N37" s="1570" t="s">
        <v>9665</v>
      </c>
      <c r="O37" s="1894" t="s">
        <v>8947</v>
      </c>
      <c r="P37" s="1133"/>
      <c r="Q37" s="1133"/>
      <c r="R37" s="1133"/>
      <c r="S37" s="1133"/>
      <c r="T37" s="1133"/>
      <c r="U37" s="1836"/>
      <c r="V37" s="117"/>
    </row>
    <row r="38" spans="2:22" x14ac:dyDescent="0.2">
      <c r="B38" s="1797"/>
      <c r="C38" s="839"/>
      <c r="D38" s="1098">
        <v>1</v>
      </c>
      <c r="E38" s="2096"/>
      <c r="F38" s="2675" t="s">
        <v>23</v>
      </c>
      <c r="G38" s="2675" t="s">
        <v>23</v>
      </c>
      <c r="H38" s="2096"/>
      <c r="I38" s="2675" t="s">
        <v>23</v>
      </c>
      <c r="J38" s="2096"/>
      <c r="K38" s="2675" t="s">
        <v>23</v>
      </c>
      <c r="L38" s="2674"/>
      <c r="M38" s="2674"/>
      <c r="N38" s="2657"/>
      <c r="O38" s="2095"/>
      <c r="P38" s="1133"/>
      <c r="Q38" s="1133"/>
      <c r="R38" s="1133"/>
      <c r="S38" s="1133"/>
      <c r="T38" s="1133"/>
      <c r="U38" s="1836"/>
      <c r="V38" s="117"/>
    </row>
    <row r="39" spans="2:22" x14ac:dyDescent="0.2">
      <c r="B39" s="1797"/>
      <c r="C39" s="839"/>
      <c r="D39" s="1098">
        <f>D38+1</f>
        <v>2</v>
      </c>
      <c r="E39" s="2096"/>
      <c r="F39" s="2675" t="s">
        <v>23</v>
      </c>
      <c r="G39" s="2675" t="s">
        <v>23</v>
      </c>
      <c r="H39" s="2096"/>
      <c r="I39" s="2675" t="s">
        <v>23</v>
      </c>
      <c r="J39" s="2096"/>
      <c r="K39" s="2675" t="s">
        <v>23</v>
      </c>
      <c r="L39" s="2674"/>
      <c r="M39" s="2674"/>
      <c r="N39" s="2657"/>
      <c r="O39" s="2095"/>
      <c r="P39" s="1133"/>
      <c r="Q39" s="1133"/>
      <c r="R39" s="1133"/>
      <c r="S39" s="1133"/>
      <c r="T39" s="1133"/>
      <c r="U39" s="1836"/>
      <c r="V39" s="117"/>
    </row>
    <row r="40" spans="2:22" x14ac:dyDescent="0.2">
      <c r="B40" s="1797"/>
      <c r="C40" s="839"/>
      <c r="D40" s="1098">
        <f>D39+1</f>
        <v>3</v>
      </c>
      <c r="E40" s="2096"/>
      <c r="F40" s="2675" t="s">
        <v>23</v>
      </c>
      <c r="G40" s="2675" t="s">
        <v>23</v>
      </c>
      <c r="H40" s="2096"/>
      <c r="I40" s="2675" t="s">
        <v>23</v>
      </c>
      <c r="J40" s="2096"/>
      <c r="K40" s="2675" t="s">
        <v>23</v>
      </c>
      <c r="L40" s="2674"/>
      <c r="M40" s="2674"/>
      <c r="N40" s="2657"/>
      <c r="O40" s="2095"/>
      <c r="P40" s="1133"/>
      <c r="Q40" s="1133"/>
      <c r="R40" s="1133"/>
      <c r="S40" s="1133"/>
      <c r="T40" s="1133"/>
      <c r="U40" s="1836"/>
      <c r="V40" s="117"/>
    </row>
    <row r="41" spans="2:22" x14ac:dyDescent="0.2">
      <c r="B41" s="1797"/>
      <c r="C41" s="839"/>
      <c r="D41" s="1098">
        <f>D40+1</f>
        <v>4</v>
      </c>
      <c r="E41" s="2096"/>
      <c r="F41" s="2675" t="s">
        <v>23</v>
      </c>
      <c r="G41" s="2675" t="s">
        <v>23</v>
      </c>
      <c r="H41" s="2096"/>
      <c r="I41" s="2675" t="s">
        <v>23</v>
      </c>
      <c r="J41" s="2096"/>
      <c r="K41" s="2675" t="s">
        <v>23</v>
      </c>
      <c r="L41" s="2674"/>
      <c r="M41" s="2674"/>
      <c r="N41" s="2657"/>
      <c r="O41" s="2095"/>
      <c r="P41" s="1133"/>
      <c r="Q41" s="1133"/>
      <c r="R41" s="1133"/>
      <c r="S41" s="1133"/>
      <c r="T41" s="1133"/>
      <c r="U41" s="1836"/>
      <c r="V41" s="117"/>
    </row>
    <row r="42" spans="2:22" x14ac:dyDescent="0.2">
      <c r="B42" s="1797"/>
      <c r="C42" s="839"/>
      <c r="D42" s="1098">
        <f>D41+1</f>
        <v>5</v>
      </c>
      <c r="E42" s="2096"/>
      <c r="F42" s="2675" t="s">
        <v>23</v>
      </c>
      <c r="G42" s="2675" t="s">
        <v>23</v>
      </c>
      <c r="H42" s="2096"/>
      <c r="I42" s="2675" t="s">
        <v>23</v>
      </c>
      <c r="J42" s="2096"/>
      <c r="K42" s="2675" t="s">
        <v>23</v>
      </c>
      <c r="L42" s="2674"/>
      <c r="M42" s="2674"/>
      <c r="N42" s="2657"/>
      <c r="O42" s="2095"/>
      <c r="P42" s="1133"/>
      <c r="Q42" s="1133"/>
      <c r="R42" s="1133"/>
      <c r="S42" s="1133"/>
      <c r="T42" s="1133"/>
      <c r="U42" s="1836"/>
      <c r="V42" s="117"/>
    </row>
    <row r="43" spans="2:22" x14ac:dyDescent="0.2">
      <c r="B43" s="1797"/>
      <c r="C43" s="851"/>
      <c r="D43" s="1098">
        <f>D42+1</f>
        <v>6</v>
      </c>
      <c r="E43" s="2096"/>
      <c r="F43" s="2675" t="s">
        <v>23</v>
      </c>
      <c r="G43" s="2675" t="s">
        <v>23</v>
      </c>
      <c r="H43" s="2096"/>
      <c r="I43" s="2675" t="s">
        <v>23</v>
      </c>
      <c r="J43" s="2096"/>
      <c r="K43" s="2675" t="s">
        <v>23</v>
      </c>
      <c r="L43" s="2674"/>
      <c r="M43" s="2674"/>
      <c r="N43" s="2657"/>
      <c r="O43" s="2095"/>
      <c r="P43" s="1133"/>
      <c r="Q43" s="1133"/>
      <c r="R43" s="1133"/>
      <c r="S43" s="1133"/>
      <c r="T43" s="1133"/>
      <c r="U43" s="1836"/>
      <c r="V43" s="117"/>
    </row>
    <row r="44" spans="2:22" ht="12.75" customHeight="1" x14ac:dyDescent="0.2">
      <c r="B44" s="1797"/>
      <c r="C44" s="848"/>
      <c r="D44" s="823"/>
      <c r="E44" s="823"/>
      <c r="F44" s="823"/>
      <c r="G44" s="1133"/>
      <c r="H44" s="1133"/>
      <c r="I44" s="1133"/>
      <c r="J44" s="1133"/>
      <c r="K44" s="1133"/>
      <c r="L44" s="1133"/>
      <c r="M44" s="1133"/>
      <c r="N44" s="1133"/>
      <c r="O44" s="1133"/>
      <c r="P44" s="1133"/>
      <c r="Q44" s="1133"/>
      <c r="R44" s="1133"/>
      <c r="S44" s="1133"/>
      <c r="T44" s="1133"/>
      <c r="U44" s="1836"/>
    </row>
    <row r="45" spans="2:22" ht="12.75" hidden="1" customHeight="1" x14ac:dyDescent="0.2">
      <c r="B45" s="1797"/>
      <c r="C45" s="3788" t="s">
        <v>1535</v>
      </c>
      <c r="D45" s="3789"/>
      <c r="E45" s="3789"/>
      <c r="F45" s="3789"/>
      <c r="G45" s="3789"/>
      <c r="H45" s="3789"/>
      <c r="I45" s="3789"/>
      <c r="J45" s="3789"/>
      <c r="K45" s="3790"/>
      <c r="L45" s="831">
        <f>SUM(FA_A2_PeakBal)</f>
        <v>0</v>
      </c>
      <c r="M45" s="1133"/>
      <c r="N45" s="1133"/>
      <c r="O45" s="1133"/>
      <c r="P45" s="1133"/>
      <c r="Q45" s="1133"/>
      <c r="R45" s="1133"/>
      <c r="S45" s="1133"/>
      <c r="T45" s="1133"/>
      <c r="U45" s="1836"/>
    </row>
    <row r="46" spans="2:22" ht="22.5" customHeight="1" x14ac:dyDescent="0.2">
      <c r="B46" s="1797"/>
      <c r="C46" s="848"/>
      <c r="D46" s="823"/>
      <c r="E46" s="823"/>
      <c r="F46" s="823"/>
      <c r="G46" s="1133"/>
      <c r="H46" s="1133"/>
      <c r="I46" s="1133"/>
      <c r="J46" s="1133"/>
      <c r="K46" s="1133"/>
      <c r="L46" s="1133"/>
      <c r="M46" s="1133"/>
      <c r="N46" s="1133"/>
      <c r="O46" s="1133"/>
      <c r="P46" s="1133"/>
      <c r="Q46" s="1133"/>
      <c r="R46" s="1133"/>
      <c r="S46" s="1133"/>
      <c r="T46" s="1133"/>
      <c r="U46" s="1836"/>
    </row>
    <row r="47" spans="2:22" ht="12.75" customHeight="1" x14ac:dyDescent="0.2">
      <c r="B47" s="1797"/>
      <c r="C47" s="848"/>
      <c r="D47" s="823"/>
      <c r="E47" s="823"/>
      <c r="F47" s="823"/>
      <c r="G47" s="1133"/>
      <c r="H47" s="1133"/>
      <c r="I47" s="1133"/>
      <c r="J47" s="1133"/>
      <c r="K47" s="1133"/>
      <c r="L47" s="1133"/>
      <c r="M47" s="1133"/>
      <c r="N47" s="1133"/>
      <c r="O47" s="1133"/>
      <c r="P47" s="1133"/>
      <c r="Q47" s="1133"/>
      <c r="R47" s="1133"/>
      <c r="S47" s="1133"/>
      <c r="T47" s="1133"/>
      <c r="U47" s="1836"/>
    </row>
    <row r="48" spans="2:22" ht="12.75" customHeight="1" x14ac:dyDescent="0.2">
      <c r="B48" s="1797"/>
      <c r="C48" s="848"/>
      <c r="D48" s="823"/>
      <c r="E48" s="823"/>
      <c r="F48" s="823"/>
      <c r="G48" s="1133"/>
      <c r="H48" s="1133"/>
      <c r="I48" s="1133"/>
      <c r="J48" s="1133"/>
      <c r="K48" s="1133"/>
      <c r="L48" s="1133"/>
      <c r="M48" s="1133"/>
      <c r="N48" s="1133"/>
      <c r="O48" s="1133"/>
      <c r="P48" s="1133"/>
      <c r="Q48" s="1133"/>
      <c r="R48" s="1133"/>
      <c r="S48" s="1133"/>
      <c r="T48" s="1133"/>
      <c r="U48" s="1836"/>
    </row>
    <row r="49" spans="2:22" ht="12.75" customHeight="1" x14ac:dyDescent="0.2">
      <c r="B49" s="1797"/>
      <c r="C49" s="1998" t="s">
        <v>8933</v>
      </c>
      <c r="D49" s="3882" t="s">
        <v>13177</v>
      </c>
      <c r="E49" s="3882"/>
      <c r="F49" s="3882"/>
      <c r="G49" s="3882"/>
      <c r="H49" s="3882"/>
      <c r="I49" s="3882"/>
      <c r="J49" s="3882"/>
      <c r="K49" s="3882"/>
      <c r="L49" s="3882"/>
      <c r="M49" s="3882"/>
      <c r="N49" s="3882"/>
      <c r="O49" s="3882"/>
      <c r="P49" s="1133"/>
      <c r="Q49" s="1133"/>
      <c r="R49" s="1133"/>
      <c r="S49" s="1133"/>
      <c r="T49" s="1133"/>
      <c r="U49" s="1836"/>
    </row>
    <row r="50" spans="2:22" ht="18" customHeight="1" x14ac:dyDescent="0.2">
      <c r="B50" s="1797"/>
      <c r="C50" s="1884"/>
      <c r="D50" s="3885" t="s">
        <v>9696</v>
      </c>
      <c r="E50" s="3871" t="s">
        <v>8923</v>
      </c>
      <c r="F50" s="3871" t="s">
        <v>8934</v>
      </c>
      <c r="G50" s="3871" t="s">
        <v>8935</v>
      </c>
      <c r="H50" s="3871" t="s">
        <v>8926</v>
      </c>
      <c r="I50" s="3872" t="s">
        <v>8936</v>
      </c>
      <c r="J50" s="3872" t="s">
        <v>8937</v>
      </c>
      <c r="K50" s="3872" t="s">
        <v>8938</v>
      </c>
      <c r="L50" s="3871" t="s">
        <v>9667</v>
      </c>
      <c r="M50" s="3871" t="s">
        <v>8930</v>
      </c>
      <c r="N50" s="3872" t="s">
        <v>8939</v>
      </c>
      <c r="O50" s="3871" t="s">
        <v>8940</v>
      </c>
      <c r="P50" s="1133"/>
      <c r="Q50" s="1133"/>
      <c r="R50" s="1133"/>
      <c r="S50" s="1133"/>
      <c r="T50" s="1133"/>
      <c r="U50" s="1836"/>
      <c r="V50" s="117"/>
    </row>
    <row r="51" spans="2:22" ht="61.5" customHeight="1" x14ac:dyDescent="0.2">
      <c r="B51" s="1797"/>
      <c r="C51" s="839"/>
      <c r="D51" s="3886"/>
      <c r="E51" s="3880"/>
      <c r="F51" s="3871"/>
      <c r="G51" s="3871"/>
      <c r="H51" s="3880"/>
      <c r="I51" s="3873"/>
      <c r="J51" s="3881"/>
      <c r="K51" s="3881"/>
      <c r="L51" s="3871"/>
      <c r="M51" s="3871"/>
      <c r="N51" s="3881"/>
      <c r="O51" s="3871"/>
      <c r="P51" s="1133"/>
      <c r="Q51" s="1133"/>
      <c r="R51" s="1133"/>
      <c r="S51" s="1133"/>
      <c r="T51" s="1133"/>
      <c r="U51" s="1836"/>
      <c r="V51" s="117"/>
    </row>
    <row r="52" spans="2:22" x14ac:dyDescent="0.2">
      <c r="B52" s="1797"/>
      <c r="C52" s="839"/>
      <c r="D52" s="1098">
        <v>1</v>
      </c>
      <c r="E52" s="2096"/>
      <c r="F52" s="2675" t="s">
        <v>23</v>
      </c>
      <c r="G52" s="2675" t="s">
        <v>23</v>
      </c>
      <c r="H52" s="2096"/>
      <c r="I52" s="2675" t="s">
        <v>23</v>
      </c>
      <c r="J52" s="2675" t="s">
        <v>23</v>
      </c>
      <c r="K52" s="2096"/>
      <c r="L52" s="2674"/>
      <c r="M52" s="2674"/>
      <c r="N52" s="2674"/>
      <c r="O52" s="2674"/>
      <c r="P52" s="1133"/>
      <c r="Q52" s="1133"/>
      <c r="R52" s="1133"/>
      <c r="S52" s="1133"/>
      <c r="T52" s="1133"/>
      <c r="U52" s="1836"/>
      <c r="V52" s="117"/>
    </row>
    <row r="53" spans="2:22" x14ac:dyDescent="0.2">
      <c r="B53" s="1797"/>
      <c r="C53" s="839"/>
      <c r="D53" s="1098">
        <f>D52+1</f>
        <v>2</v>
      </c>
      <c r="E53" s="2096"/>
      <c r="F53" s="2675" t="s">
        <v>23</v>
      </c>
      <c r="G53" s="2675" t="s">
        <v>23</v>
      </c>
      <c r="H53" s="2096"/>
      <c r="I53" s="2675" t="s">
        <v>23</v>
      </c>
      <c r="J53" s="2675" t="s">
        <v>23</v>
      </c>
      <c r="K53" s="2096"/>
      <c r="L53" s="2674"/>
      <c r="M53" s="2674"/>
      <c r="N53" s="2674"/>
      <c r="O53" s="2674"/>
      <c r="P53" s="1133"/>
      <c r="Q53" s="1133"/>
      <c r="R53" s="1133"/>
      <c r="S53" s="1133"/>
      <c r="T53" s="1133"/>
      <c r="U53" s="1836"/>
      <c r="V53" s="117"/>
    </row>
    <row r="54" spans="2:22" x14ac:dyDescent="0.2">
      <c r="B54" s="1797"/>
      <c r="C54" s="839"/>
      <c r="D54" s="1098">
        <f>D53+1</f>
        <v>3</v>
      </c>
      <c r="E54" s="2096"/>
      <c r="F54" s="2675" t="s">
        <v>23</v>
      </c>
      <c r="G54" s="2675" t="s">
        <v>23</v>
      </c>
      <c r="H54" s="2096"/>
      <c r="I54" s="2675" t="s">
        <v>23</v>
      </c>
      <c r="J54" s="2675" t="s">
        <v>23</v>
      </c>
      <c r="K54" s="2096"/>
      <c r="L54" s="2674"/>
      <c r="M54" s="2674"/>
      <c r="N54" s="2674"/>
      <c r="O54" s="2674"/>
      <c r="P54" s="1133"/>
      <c r="Q54" s="1133"/>
      <c r="R54" s="1133"/>
      <c r="S54" s="1133"/>
      <c r="T54" s="1133"/>
      <c r="U54" s="1836"/>
      <c r="V54" s="117"/>
    </row>
    <row r="55" spans="2:22" x14ac:dyDescent="0.2">
      <c r="B55" s="1797"/>
      <c r="C55" s="839"/>
      <c r="D55" s="1098">
        <f>D54+1</f>
        <v>4</v>
      </c>
      <c r="E55" s="2096"/>
      <c r="F55" s="2675" t="s">
        <v>23</v>
      </c>
      <c r="G55" s="2675" t="s">
        <v>23</v>
      </c>
      <c r="H55" s="2096"/>
      <c r="I55" s="2675" t="s">
        <v>23</v>
      </c>
      <c r="J55" s="2675" t="s">
        <v>23</v>
      </c>
      <c r="K55" s="2096"/>
      <c r="L55" s="2674"/>
      <c r="M55" s="2674"/>
      <c r="N55" s="2674"/>
      <c r="O55" s="2674"/>
      <c r="P55" s="1133"/>
      <c r="Q55" s="1133"/>
      <c r="R55" s="1133"/>
      <c r="S55" s="1133"/>
      <c r="T55" s="1133"/>
      <c r="U55" s="1836"/>
      <c r="V55" s="117"/>
    </row>
    <row r="56" spans="2:22" x14ac:dyDescent="0.2">
      <c r="B56" s="1797"/>
      <c r="C56" s="839"/>
      <c r="D56" s="1098">
        <f>D55+1</f>
        <v>5</v>
      </c>
      <c r="E56" s="2096"/>
      <c r="F56" s="2675" t="s">
        <v>23</v>
      </c>
      <c r="G56" s="2675" t="s">
        <v>23</v>
      </c>
      <c r="H56" s="2096"/>
      <c r="I56" s="2675" t="s">
        <v>23</v>
      </c>
      <c r="J56" s="2675" t="s">
        <v>23</v>
      </c>
      <c r="K56" s="2096"/>
      <c r="L56" s="2674"/>
      <c r="M56" s="2674"/>
      <c r="N56" s="2674"/>
      <c r="O56" s="2674"/>
      <c r="P56" s="1133"/>
      <c r="Q56" s="1133"/>
      <c r="R56" s="1133"/>
      <c r="S56" s="1133"/>
      <c r="T56" s="1133"/>
      <c r="U56" s="1836"/>
      <c r="V56" s="117"/>
    </row>
    <row r="57" spans="2:22" x14ac:dyDescent="0.2">
      <c r="B57" s="1797"/>
      <c r="C57" s="851"/>
      <c r="D57" s="1098">
        <f>D56+1</f>
        <v>6</v>
      </c>
      <c r="E57" s="2096"/>
      <c r="F57" s="2675" t="s">
        <v>23</v>
      </c>
      <c r="G57" s="2675" t="s">
        <v>23</v>
      </c>
      <c r="H57" s="2096"/>
      <c r="I57" s="2675" t="s">
        <v>23</v>
      </c>
      <c r="J57" s="2675" t="s">
        <v>23</v>
      </c>
      <c r="K57" s="2096"/>
      <c r="L57" s="2674"/>
      <c r="M57" s="2674"/>
      <c r="N57" s="2674"/>
      <c r="O57" s="2674"/>
      <c r="P57" s="1133"/>
      <c r="Q57" s="1133"/>
      <c r="R57" s="1133"/>
      <c r="S57" s="1133"/>
      <c r="T57" s="1133"/>
      <c r="U57" s="1836"/>
      <c r="V57" s="117"/>
    </row>
    <row r="58" spans="2:22" ht="12.75" customHeight="1" x14ac:dyDescent="0.2">
      <c r="B58" s="1797"/>
      <c r="C58" s="848"/>
      <c r="D58" s="823"/>
      <c r="E58" s="823"/>
      <c r="F58" s="823"/>
      <c r="G58" s="1133"/>
      <c r="H58" s="1133"/>
      <c r="I58" s="1133"/>
      <c r="J58" s="1133"/>
      <c r="K58" s="1133"/>
      <c r="L58" s="1133"/>
      <c r="M58" s="1133"/>
      <c r="N58" s="1133"/>
      <c r="O58" s="1133"/>
      <c r="P58" s="1133"/>
      <c r="Q58" s="1133"/>
      <c r="R58" s="1133"/>
      <c r="S58" s="1133"/>
      <c r="T58" s="1133"/>
      <c r="U58" s="1836"/>
    </row>
    <row r="59" spans="2:22" ht="12.75" hidden="1" customHeight="1" x14ac:dyDescent="0.2">
      <c r="B59" s="1797"/>
      <c r="C59" s="3788" t="s">
        <v>1535</v>
      </c>
      <c r="D59" s="3789"/>
      <c r="E59" s="3789"/>
      <c r="F59" s="3789"/>
      <c r="G59" s="3789"/>
      <c r="H59" s="3789"/>
      <c r="I59" s="3789"/>
      <c r="J59" s="3789"/>
      <c r="K59" s="3790"/>
      <c r="L59" s="831">
        <f>SUM(FA_A3_PeakBal)</f>
        <v>0</v>
      </c>
      <c r="M59" s="1133"/>
      <c r="N59" s="1133"/>
      <c r="O59" s="1133"/>
      <c r="P59" s="1133"/>
      <c r="Q59" s="1133"/>
      <c r="R59" s="1133"/>
      <c r="S59" s="1133"/>
      <c r="T59" s="1133"/>
      <c r="U59" s="1836"/>
    </row>
    <row r="60" spans="2:22" ht="23.25" customHeight="1" x14ac:dyDescent="0.2">
      <c r="B60" s="1797"/>
      <c r="C60" s="848"/>
      <c r="D60" s="823"/>
      <c r="E60" s="823"/>
      <c r="F60" s="823"/>
      <c r="G60" s="1133"/>
      <c r="H60" s="1133"/>
      <c r="I60" s="1133"/>
      <c r="J60" s="1133"/>
      <c r="K60" s="1133"/>
      <c r="L60" s="1133"/>
      <c r="M60" s="1133"/>
      <c r="N60" s="1133"/>
      <c r="O60" s="1133"/>
      <c r="P60" s="1133"/>
      <c r="Q60" s="1133"/>
      <c r="R60" s="1133"/>
      <c r="S60" s="1133"/>
      <c r="T60" s="1133"/>
      <c r="U60" s="1836"/>
    </row>
    <row r="61" spans="2:22" ht="12.75" customHeight="1" x14ac:dyDescent="0.2">
      <c r="B61" s="1797"/>
      <c r="C61" s="848"/>
      <c r="D61" s="823"/>
      <c r="E61" s="823"/>
      <c r="F61" s="823"/>
      <c r="G61" s="1133"/>
      <c r="H61" s="1133"/>
      <c r="I61" s="1133"/>
      <c r="J61" s="1133"/>
      <c r="K61" s="1133"/>
      <c r="L61" s="1133"/>
      <c r="M61" s="1133"/>
      <c r="N61" s="1133"/>
      <c r="O61" s="1133"/>
      <c r="P61" s="1133"/>
      <c r="Q61" s="1133"/>
      <c r="R61" s="1133"/>
      <c r="S61" s="1133"/>
      <c r="T61" s="1133"/>
      <c r="U61" s="1836"/>
    </row>
    <row r="62" spans="2:22" ht="12.75" customHeight="1" x14ac:dyDescent="0.2">
      <c r="B62" s="1797"/>
      <c r="C62" s="848"/>
      <c r="D62" s="823"/>
      <c r="E62" s="823"/>
      <c r="F62" s="823"/>
      <c r="G62" s="1133"/>
      <c r="H62" s="1133"/>
      <c r="I62" s="1133"/>
      <c r="J62" s="1133"/>
      <c r="K62" s="1133"/>
      <c r="L62" s="1133"/>
      <c r="M62" s="1133"/>
      <c r="N62" s="1133"/>
      <c r="O62" s="1133"/>
      <c r="P62" s="1133"/>
      <c r="Q62" s="1133"/>
      <c r="R62" s="1133"/>
      <c r="S62" s="1133"/>
      <c r="T62" s="1133"/>
      <c r="U62" s="1836"/>
    </row>
    <row r="63" spans="2:22" ht="12.75" customHeight="1" x14ac:dyDescent="0.2">
      <c r="B63" s="1797"/>
      <c r="C63" s="1998" t="s">
        <v>8941</v>
      </c>
      <c r="D63" s="3882" t="s">
        <v>13178</v>
      </c>
      <c r="E63" s="3882"/>
      <c r="F63" s="3882"/>
      <c r="G63" s="3882"/>
      <c r="H63" s="3882"/>
      <c r="I63" s="3882"/>
      <c r="J63" s="3882"/>
      <c r="K63" s="3882"/>
      <c r="L63" s="823"/>
      <c r="M63" s="823"/>
      <c r="N63" s="823"/>
      <c r="O63" s="1133"/>
      <c r="P63" s="1133"/>
      <c r="Q63" s="1133"/>
      <c r="R63" s="1133"/>
      <c r="S63" s="1133"/>
      <c r="T63" s="1133"/>
      <c r="U63" s="1836"/>
    </row>
    <row r="64" spans="2:22" ht="24" customHeight="1" x14ac:dyDescent="0.2">
      <c r="B64" s="1797"/>
      <c r="C64" s="1884"/>
      <c r="D64" s="3885" t="s">
        <v>9696</v>
      </c>
      <c r="E64" s="3871" t="s">
        <v>8923</v>
      </c>
      <c r="F64" s="3871" t="s">
        <v>8942</v>
      </c>
      <c r="G64" s="3871" t="s">
        <v>8943</v>
      </c>
      <c r="H64" s="3871" t="s">
        <v>8926</v>
      </c>
      <c r="I64" s="3872" t="s">
        <v>8944</v>
      </c>
      <c r="J64" s="3872" t="s">
        <v>8945</v>
      </c>
      <c r="K64" s="3872" t="s">
        <v>8946</v>
      </c>
      <c r="L64" s="1133"/>
      <c r="M64" s="1133"/>
      <c r="N64" s="1133"/>
      <c r="O64" s="1133"/>
      <c r="P64" s="1133"/>
      <c r="Q64" s="1133"/>
      <c r="R64" s="1133"/>
      <c r="S64" s="1133"/>
      <c r="T64" s="1133"/>
      <c r="U64" s="1809"/>
    </row>
    <row r="65" spans="2:22" ht="57.75" customHeight="1" x14ac:dyDescent="0.2">
      <c r="B65" s="1797"/>
      <c r="C65" s="839"/>
      <c r="D65" s="3886"/>
      <c r="E65" s="3880"/>
      <c r="F65" s="3871"/>
      <c r="G65" s="3871"/>
      <c r="H65" s="3880"/>
      <c r="I65" s="3881"/>
      <c r="J65" s="3881"/>
      <c r="K65" s="3881"/>
      <c r="L65" s="1133"/>
      <c r="M65" s="1133"/>
      <c r="N65" s="1133"/>
      <c r="O65" s="1133"/>
      <c r="P65" s="1133"/>
      <c r="Q65" s="1133"/>
      <c r="R65" s="1133"/>
      <c r="S65" s="1133"/>
      <c r="T65" s="1133"/>
      <c r="U65" s="1809"/>
    </row>
    <row r="66" spans="2:22" x14ac:dyDescent="0.2">
      <c r="B66" s="1797"/>
      <c r="C66" s="839"/>
      <c r="D66" s="1098">
        <v>1</v>
      </c>
      <c r="E66" s="2096"/>
      <c r="F66" s="2675" t="s">
        <v>23</v>
      </c>
      <c r="G66" s="2675" t="s">
        <v>23</v>
      </c>
      <c r="H66" s="2096"/>
      <c r="I66" s="2675" t="s">
        <v>23</v>
      </c>
      <c r="J66" s="2096"/>
      <c r="K66" s="2674"/>
      <c r="L66" s="1133"/>
      <c r="M66" s="1133"/>
      <c r="N66" s="1133"/>
      <c r="O66" s="1133"/>
      <c r="P66" s="1133"/>
      <c r="Q66" s="1133"/>
      <c r="R66" s="1133"/>
      <c r="S66" s="1133"/>
      <c r="T66" s="1133"/>
      <c r="U66" s="1809"/>
    </row>
    <row r="67" spans="2:22" x14ac:dyDescent="0.2">
      <c r="B67" s="1797"/>
      <c r="C67" s="839"/>
      <c r="D67" s="1098">
        <f>D66+1</f>
        <v>2</v>
      </c>
      <c r="E67" s="2096"/>
      <c r="F67" s="2675" t="s">
        <v>23</v>
      </c>
      <c r="G67" s="2675" t="s">
        <v>23</v>
      </c>
      <c r="H67" s="2096"/>
      <c r="I67" s="2675" t="s">
        <v>23</v>
      </c>
      <c r="J67" s="2096"/>
      <c r="K67" s="2674"/>
      <c r="L67" s="1133"/>
      <c r="M67" s="1133"/>
      <c r="N67" s="1133"/>
      <c r="O67" s="1133"/>
      <c r="P67" s="1133"/>
      <c r="Q67" s="1133"/>
      <c r="R67" s="1133"/>
      <c r="S67" s="1133"/>
      <c r="T67" s="1133"/>
      <c r="U67" s="1809"/>
    </row>
    <row r="68" spans="2:22" x14ac:dyDescent="0.2">
      <c r="B68" s="1797"/>
      <c r="C68" s="839"/>
      <c r="D68" s="1098">
        <f>D67+1</f>
        <v>3</v>
      </c>
      <c r="E68" s="2096"/>
      <c r="F68" s="2675" t="s">
        <v>23</v>
      </c>
      <c r="G68" s="2675" t="s">
        <v>23</v>
      </c>
      <c r="H68" s="2096"/>
      <c r="I68" s="2675" t="s">
        <v>23</v>
      </c>
      <c r="J68" s="2096"/>
      <c r="K68" s="2674"/>
      <c r="L68" s="1133"/>
      <c r="M68" s="1133"/>
      <c r="N68" s="1133"/>
      <c r="O68" s="1133"/>
      <c r="P68" s="1133"/>
      <c r="Q68" s="1133"/>
      <c r="R68" s="1133"/>
      <c r="S68" s="1133"/>
      <c r="T68" s="1133"/>
      <c r="U68" s="1809"/>
    </row>
    <row r="69" spans="2:22" x14ac:dyDescent="0.2">
      <c r="B69" s="1797"/>
      <c r="C69" s="839"/>
      <c r="D69" s="1098">
        <f>D68+1</f>
        <v>4</v>
      </c>
      <c r="E69" s="2096"/>
      <c r="F69" s="2675" t="s">
        <v>23</v>
      </c>
      <c r="G69" s="2675" t="s">
        <v>23</v>
      </c>
      <c r="H69" s="2096"/>
      <c r="I69" s="2675" t="s">
        <v>23</v>
      </c>
      <c r="J69" s="2096"/>
      <c r="K69" s="2674"/>
      <c r="L69" s="1133"/>
      <c r="M69" s="1133"/>
      <c r="N69" s="1133"/>
      <c r="O69" s="1133"/>
      <c r="P69" s="1133"/>
      <c r="Q69" s="1133"/>
      <c r="R69" s="1133"/>
      <c r="S69" s="1133"/>
      <c r="T69" s="1133"/>
      <c r="U69" s="1809"/>
    </row>
    <row r="70" spans="2:22" x14ac:dyDescent="0.2">
      <c r="B70" s="1797"/>
      <c r="C70" s="839"/>
      <c r="D70" s="1098">
        <f>D69+1</f>
        <v>5</v>
      </c>
      <c r="E70" s="2096"/>
      <c r="F70" s="2675" t="s">
        <v>23</v>
      </c>
      <c r="G70" s="2675" t="s">
        <v>23</v>
      </c>
      <c r="H70" s="2096"/>
      <c r="I70" s="2675" t="s">
        <v>23</v>
      </c>
      <c r="J70" s="2096"/>
      <c r="K70" s="2674"/>
      <c r="L70" s="1133"/>
      <c r="M70" s="1133"/>
      <c r="N70" s="1133"/>
      <c r="O70" s="1133"/>
      <c r="P70" s="1133"/>
      <c r="Q70" s="1133"/>
      <c r="R70" s="1133"/>
      <c r="S70" s="1133"/>
      <c r="T70" s="1133"/>
      <c r="U70" s="1809"/>
    </row>
    <row r="71" spans="2:22" x14ac:dyDescent="0.2">
      <c r="B71" s="1797"/>
      <c r="C71" s="851"/>
      <c r="D71" s="1098">
        <f>D70+1</f>
        <v>6</v>
      </c>
      <c r="E71" s="2096"/>
      <c r="F71" s="2675" t="s">
        <v>23</v>
      </c>
      <c r="G71" s="2675" t="s">
        <v>23</v>
      </c>
      <c r="H71" s="2096"/>
      <c r="I71" s="2675" t="s">
        <v>23</v>
      </c>
      <c r="J71" s="2096"/>
      <c r="K71" s="2674"/>
      <c r="L71" s="1133"/>
      <c r="M71" s="1133"/>
      <c r="N71" s="1133"/>
      <c r="O71" s="1133"/>
      <c r="P71" s="1133"/>
      <c r="Q71" s="1133"/>
      <c r="R71" s="1133"/>
      <c r="S71" s="1133"/>
      <c r="T71" s="1133"/>
      <c r="U71" s="1809"/>
    </row>
    <row r="72" spans="2:22" ht="12.75" customHeight="1" x14ac:dyDescent="0.2">
      <c r="B72" s="1797"/>
      <c r="C72" s="848"/>
      <c r="D72" s="823"/>
      <c r="E72" s="823"/>
      <c r="F72" s="823"/>
      <c r="G72" s="1133"/>
      <c r="H72" s="1133"/>
      <c r="I72" s="1133"/>
      <c r="J72" s="1133"/>
      <c r="K72" s="1133"/>
      <c r="L72" s="1133"/>
      <c r="M72" s="1133"/>
      <c r="N72" s="1133"/>
      <c r="O72" s="1133"/>
      <c r="P72" s="1133"/>
      <c r="Q72" s="1133"/>
      <c r="R72" s="1133"/>
      <c r="S72" s="1133"/>
      <c r="T72" s="1133"/>
      <c r="U72" s="1836"/>
    </row>
    <row r="73" spans="2:22" ht="12.75" hidden="1" customHeight="1" x14ac:dyDescent="0.2">
      <c r="B73" s="1797"/>
      <c r="C73" s="848"/>
      <c r="D73" s="823"/>
      <c r="E73" s="823"/>
      <c r="F73" s="823"/>
      <c r="G73" s="1133"/>
      <c r="H73" s="1133"/>
      <c r="I73" s="1133"/>
      <c r="J73" s="1133"/>
      <c r="K73" s="1133"/>
      <c r="L73" s="1133"/>
      <c r="M73" s="1133"/>
      <c r="N73" s="1133"/>
      <c r="O73" s="1133"/>
      <c r="P73" s="1133"/>
      <c r="Q73" s="1133"/>
      <c r="R73" s="1133"/>
      <c r="S73" s="1133"/>
      <c r="T73" s="1133"/>
      <c r="U73" s="1836"/>
    </row>
    <row r="74" spans="2:22" ht="12.75" customHeight="1" x14ac:dyDescent="0.2">
      <c r="B74" s="1797"/>
      <c r="C74" s="848"/>
      <c r="D74" s="823"/>
      <c r="E74" s="823"/>
      <c r="F74" s="823"/>
      <c r="G74" s="1133"/>
      <c r="H74" s="1133"/>
      <c r="I74" s="1133"/>
      <c r="J74" s="1133"/>
      <c r="K74" s="1133"/>
      <c r="L74" s="1133"/>
      <c r="M74" s="1133"/>
      <c r="N74" s="1133"/>
      <c r="O74" s="1133"/>
      <c r="P74" s="1133"/>
      <c r="Q74" s="1133"/>
      <c r="R74" s="1133"/>
      <c r="S74" s="1133"/>
      <c r="T74" s="1133"/>
      <c r="U74" s="1836"/>
    </row>
    <row r="75" spans="2:22" ht="12.75" customHeight="1" x14ac:dyDescent="0.2">
      <c r="B75" s="1797"/>
      <c r="C75" s="848"/>
      <c r="D75" s="823"/>
      <c r="E75" s="823"/>
      <c r="F75" s="823"/>
      <c r="G75" s="1133"/>
      <c r="H75" s="1133"/>
      <c r="I75" s="1133"/>
      <c r="J75" s="1133"/>
      <c r="K75" s="1133"/>
      <c r="L75" s="1133"/>
      <c r="M75" s="1133"/>
      <c r="N75" s="1133"/>
      <c r="O75" s="1133"/>
      <c r="P75" s="1133"/>
      <c r="Q75" s="1133"/>
      <c r="R75" s="1133"/>
      <c r="S75" s="1133"/>
      <c r="T75" s="1133"/>
      <c r="U75" s="1836"/>
    </row>
    <row r="76" spans="2:22" ht="12.75" customHeight="1" x14ac:dyDescent="0.2">
      <c r="B76" s="1797"/>
      <c r="C76" s="848"/>
      <c r="D76" s="823"/>
      <c r="E76" s="823"/>
      <c r="F76" s="823"/>
      <c r="G76" s="1133"/>
      <c r="H76" s="1133"/>
      <c r="I76" s="1133"/>
      <c r="J76" s="1133"/>
      <c r="K76" s="1133"/>
      <c r="L76" s="1133"/>
      <c r="M76" s="1133"/>
      <c r="N76" s="1133"/>
      <c r="O76" s="1133"/>
      <c r="P76" s="1133"/>
      <c r="Q76" s="1133"/>
      <c r="R76" s="1133"/>
      <c r="S76" s="1133"/>
      <c r="T76" s="1133"/>
      <c r="U76" s="1836"/>
    </row>
    <row r="77" spans="2:22" x14ac:dyDescent="0.2">
      <c r="B77" s="1797"/>
      <c r="C77" s="1133"/>
      <c r="D77" s="1133"/>
      <c r="E77" s="1133"/>
      <c r="F77" s="1133"/>
      <c r="G77" s="1133"/>
      <c r="H77" s="1133"/>
      <c r="I77" s="1133"/>
      <c r="J77" s="1133"/>
      <c r="K77" s="1133"/>
      <c r="L77" s="1133"/>
      <c r="M77" s="1133"/>
      <c r="N77" s="1133"/>
      <c r="O77" s="1133"/>
      <c r="P77" s="1133"/>
      <c r="Q77" s="1133"/>
      <c r="R77" s="1133"/>
      <c r="S77" s="1133"/>
      <c r="T77" s="1133"/>
      <c r="U77" s="1836"/>
    </row>
    <row r="78" spans="2:22" ht="12.75" customHeight="1" x14ac:dyDescent="0.2">
      <c r="B78" s="1797"/>
      <c r="C78" s="2055" t="s">
        <v>312</v>
      </c>
      <c r="D78" s="832" t="s">
        <v>13179</v>
      </c>
      <c r="E78" s="769"/>
      <c r="F78" s="769"/>
      <c r="G78" s="769"/>
      <c r="H78" s="769"/>
      <c r="I78" s="769"/>
      <c r="J78" s="1837"/>
      <c r="K78" s="1837"/>
      <c r="L78" s="1837"/>
      <c r="M78" s="1837"/>
      <c r="N78" s="1837"/>
      <c r="O78" s="1216"/>
      <c r="P78" s="1819"/>
      <c r="Q78" s="1133"/>
      <c r="R78" s="1133"/>
      <c r="S78" s="1133"/>
      <c r="T78" s="1133"/>
      <c r="U78" s="1836"/>
    </row>
    <row r="79" spans="2:22" ht="15" customHeight="1" x14ac:dyDescent="0.2">
      <c r="B79" s="1797"/>
      <c r="C79" s="201"/>
      <c r="D79" s="3894" t="s">
        <v>9697</v>
      </c>
      <c r="E79" s="3892" t="s">
        <v>8088</v>
      </c>
      <c r="F79" s="3874" t="s">
        <v>8089</v>
      </c>
      <c r="G79" s="3892" t="s">
        <v>8090</v>
      </c>
      <c r="H79" s="3892" t="s">
        <v>8091</v>
      </c>
      <c r="I79" s="3884" t="s">
        <v>8092</v>
      </c>
      <c r="J79" s="3883" t="s">
        <v>8093</v>
      </c>
      <c r="K79" s="3883" t="s">
        <v>8094</v>
      </c>
      <c r="L79" s="3892" t="s">
        <v>8095</v>
      </c>
      <c r="M79" s="3892" t="s">
        <v>8096</v>
      </c>
      <c r="N79" s="3896" t="s">
        <v>8097</v>
      </c>
      <c r="O79" s="3893" t="s">
        <v>7133</v>
      </c>
      <c r="P79" s="3893"/>
      <c r="Q79" s="3893"/>
      <c r="R79" s="1133"/>
      <c r="S79" s="1133"/>
      <c r="T79" s="1133"/>
      <c r="U79" s="1836"/>
      <c r="V79" s="117"/>
    </row>
    <row r="80" spans="2:22" ht="54.75" customHeight="1" x14ac:dyDescent="0.2">
      <c r="B80" s="1797"/>
      <c r="C80" s="59"/>
      <c r="D80" s="3895"/>
      <c r="E80" s="3893"/>
      <c r="F80" s="3875"/>
      <c r="G80" s="3893"/>
      <c r="H80" s="3893"/>
      <c r="I80" s="3904"/>
      <c r="J80" s="3884"/>
      <c r="K80" s="3884"/>
      <c r="L80" s="3893"/>
      <c r="M80" s="3893"/>
      <c r="N80" s="3892"/>
      <c r="O80" s="109" t="s">
        <v>8085</v>
      </c>
      <c r="P80" s="109" t="s">
        <v>8086</v>
      </c>
      <c r="Q80" s="109" t="s">
        <v>8087</v>
      </c>
      <c r="R80" s="1133"/>
      <c r="S80" s="1133"/>
      <c r="T80" s="1133"/>
      <c r="U80" s="1836"/>
      <c r="V80" s="117"/>
    </row>
    <row r="81" spans="2:22" x14ac:dyDescent="0.2">
      <c r="B81" s="1797"/>
      <c r="C81" s="59"/>
      <c r="D81" s="1998">
        <v>1</v>
      </c>
      <c r="E81" s="2676"/>
      <c r="F81" s="2675" t="s">
        <v>23</v>
      </c>
      <c r="G81" s="2658" t="s">
        <v>23</v>
      </c>
      <c r="H81" s="2658" t="s">
        <v>23</v>
      </c>
      <c r="I81" s="2658" t="s">
        <v>23</v>
      </c>
      <c r="J81" s="2676"/>
      <c r="K81" s="2675" t="s">
        <v>23</v>
      </c>
      <c r="L81" s="2674"/>
      <c r="M81" s="2674"/>
      <c r="N81" s="2675" t="s">
        <v>23</v>
      </c>
      <c r="O81" s="2674"/>
      <c r="P81" s="2659"/>
      <c r="Q81" s="2096"/>
      <c r="R81" s="1133"/>
      <c r="S81" s="1133"/>
      <c r="T81" s="1133"/>
      <c r="U81" s="1836"/>
      <c r="V81" s="117"/>
    </row>
    <row r="82" spans="2:22" x14ac:dyDescent="0.2">
      <c r="B82" s="1797"/>
      <c r="C82" s="59"/>
      <c r="D82" s="1998">
        <v>2</v>
      </c>
      <c r="E82" s="2676"/>
      <c r="F82" s="2675" t="s">
        <v>23</v>
      </c>
      <c r="G82" s="2658" t="s">
        <v>23</v>
      </c>
      <c r="H82" s="2658" t="s">
        <v>23</v>
      </c>
      <c r="I82" s="2658" t="s">
        <v>23</v>
      </c>
      <c r="J82" s="2676"/>
      <c r="K82" s="2675" t="s">
        <v>23</v>
      </c>
      <c r="L82" s="2674"/>
      <c r="M82" s="2674"/>
      <c r="N82" s="2675" t="s">
        <v>23</v>
      </c>
      <c r="O82" s="2674"/>
      <c r="P82" s="2659"/>
      <c r="Q82" s="2096"/>
      <c r="R82" s="1133"/>
      <c r="S82" s="1133"/>
      <c r="T82" s="1133"/>
      <c r="U82" s="1836"/>
      <c r="V82" s="117"/>
    </row>
    <row r="83" spans="2:22" x14ac:dyDescent="0.2">
      <c r="B83" s="1797"/>
      <c r="C83" s="59"/>
      <c r="D83" s="1998">
        <v>3</v>
      </c>
      <c r="E83" s="2676"/>
      <c r="F83" s="2675" t="s">
        <v>23</v>
      </c>
      <c r="G83" s="2658" t="s">
        <v>23</v>
      </c>
      <c r="H83" s="2658" t="s">
        <v>23</v>
      </c>
      <c r="I83" s="2658" t="s">
        <v>23</v>
      </c>
      <c r="J83" s="2676"/>
      <c r="K83" s="2675" t="s">
        <v>23</v>
      </c>
      <c r="L83" s="2674"/>
      <c r="M83" s="2674"/>
      <c r="N83" s="2675" t="s">
        <v>23</v>
      </c>
      <c r="O83" s="2674"/>
      <c r="P83" s="2659"/>
      <c r="Q83" s="2096"/>
      <c r="R83" s="1133"/>
      <c r="S83" s="1133"/>
      <c r="T83" s="1133"/>
      <c r="U83" s="1836"/>
      <c r="V83" s="117"/>
    </row>
    <row r="84" spans="2:22" x14ac:dyDescent="0.2">
      <c r="B84" s="1797"/>
      <c r="C84" s="59"/>
      <c r="D84" s="1998">
        <f>D83+1</f>
        <v>4</v>
      </c>
      <c r="E84" s="2676"/>
      <c r="F84" s="2675" t="s">
        <v>23</v>
      </c>
      <c r="G84" s="2658" t="s">
        <v>23</v>
      </c>
      <c r="H84" s="2658" t="s">
        <v>23</v>
      </c>
      <c r="I84" s="2658" t="s">
        <v>23</v>
      </c>
      <c r="J84" s="2676"/>
      <c r="K84" s="2675" t="s">
        <v>23</v>
      </c>
      <c r="L84" s="2674"/>
      <c r="M84" s="2674"/>
      <c r="N84" s="2675" t="s">
        <v>23</v>
      </c>
      <c r="O84" s="2674"/>
      <c r="P84" s="2659"/>
      <c r="Q84" s="2096"/>
      <c r="R84" s="1133"/>
      <c r="S84" s="1133"/>
      <c r="T84" s="1133"/>
      <c r="U84" s="1836"/>
      <c r="V84" s="117"/>
    </row>
    <row r="85" spans="2:22" x14ac:dyDescent="0.2">
      <c r="B85" s="1797"/>
      <c r="C85" s="59"/>
      <c r="D85" s="1998">
        <f>D84+1</f>
        <v>5</v>
      </c>
      <c r="E85" s="2676"/>
      <c r="F85" s="2675" t="s">
        <v>23</v>
      </c>
      <c r="G85" s="2658" t="s">
        <v>23</v>
      </c>
      <c r="H85" s="2658" t="s">
        <v>23</v>
      </c>
      <c r="I85" s="2658" t="s">
        <v>23</v>
      </c>
      <c r="J85" s="2676"/>
      <c r="K85" s="2675" t="s">
        <v>23</v>
      </c>
      <c r="L85" s="2674"/>
      <c r="M85" s="2674"/>
      <c r="N85" s="2675" t="s">
        <v>23</v>
      </c>
      <c r="O85" s="2674"/>
      <c r="P85" s="2659"/>
      <c r="Q85" s="2096"/>
      <c r="R85" s="1133"/>
      <c r="S85" s="1133"/>
      <c r="T85" s="1133"/>
      <c r="U85" s="1836"/>
      <c r="V85" s="117"/>
    </row>
    <row r="86" spans="2:22" x14ac:dyDescent="0.2">
      <c r="B86" s="1797"/>
      <c r="C86" s="60"/>
      <c r="D86" s="1998">
        <f>D85+1</f>
        <v>6</v>
      </c>
      <c r="E86" s="2676"/>
      <c r="F86" s="2675" t="s">
        <v>23</v>
      </c>
      <c r="G86" s="2658" t="s">
        <v>23</v>
      </c>
      <c r="H86" s="2658" t="s">
        <v>23</v>
      </c>
      <c r="I86" s="2658" t="s">
        <v>23</v>
      </c>
      <c r="J86" s="2676"/>
      <c r="K86" s="2675" t="s">
        <v>23</v>
      </c>
      <c r="L86" s="2674"/>
      <c r="M86" s="2674"/>
      <c r="N86" s="2675" t="s">
        <v>23</v>
      </c>
      <c r="O86" s="2674"/>
      <c r="P86" s="2659"/>
      <c r="Q86" s="2096"/>
      <c r="R86" s="1133"/>
      <c r="S86" s="1133"/>
      <c r="T86" s="1133"/>
      <c r="U86" s="1836"/>
      <c r="V86" s="117"/>
    </row>
    <row r="87" spans="2:22" x14ac:dyDescent="0.2">
      <c r="B87" s="1797"/>
      <c r="C87" s="771"/>
      <c r="D87" s="824"/>
      <c r="E87" s="825"/>
      <c r="F87" s="826"/>
      <c r="G87" s="826"/>
      <c r="H87" s="827"/>
      <c r="I87" s="828"/>
      <c r="J87" s="1133"/>
      <c r="K87" s="1133"/>
      <c r="L87" s="1133"/>
      <c r="M87" s="1133"/>
      <c r="N87" s="1133"/>
      <c r="O87" s="1133"/>
      <c r="P87" s="1133"/>
      <c r="Q87" s="1133"/>
      <c r="R87" s="1133"/>
      <c r="S87" s="1133"/>
      <c r="T87" s="1133"/>
      <c r="U87" s="1836"/>
    </row>
    <row r="88" spans="2:22" ht="5.25" hidden="1" customHeight="1" x14ac:dyDescent="0.2">
      <c r="B88" s="1797"/>
      <c r="C88" s="1195" t="s">
        <v>1535</v>
      </c>
      <c r="D88" s="824"/>
      <c r="E88" s="825"/>
      <c r="F88" s="829"/>
      <c r="G88" s="829"/>
      <c r="H88" s="830"/>
      <c r="I88" s="831">
        <v>0</v>
      </c>
      <c r="J88" s="1133"/>
      <c r="K88" s="1133"/>
      <c r="L88" s="1133"/>
      <c r="M88" s="1133"/>
      <c r="N88" s="1133"/>
      <c r="O88" s="1133"/>
      <c r="P88" s="1133"/>
      <c r="Q88" s="1133"/>
      <c r="R88" s="1133"/>
      <c r="S88" s="1133"/>
      <c r="T88" s="1133"/>
      <c r="U88" s="1836"/>
    </row>
    <row r="89" spans="2:22" ht="12.75" customHeight="1" x14ac:dyDescent="0.2">
      <c r="B89" s="1797"/>
      <c r="C89" s="1133"/>
      <c r="D89" s="3309"/>
      <c r="E89" s="3309"/>
      <c r="F89" s="1133"/>
      <c r="G89" s="1133"/>
      <c r="H89" s="1133"/>
      <c r="I89" s="1133"/>
      <c r="J89" s="1133"/>
      <c r="K89" s="1133"/>
      <c r="L89" s="1133"/>
      <c r="M89" s="1133"/>
      <c r="N89" s="1133"/>
      <c r="O89" s="1133"/>
      <c r="P89" s="1133"/>
      <c r="Q89" s="1133"/>
      <c r="R89" s="1133"/>
      <c r="S89" s="1133"/>
      <c r="T89" s="1133"/>
      <c r="U89" s="1836"/>
    </row>
    <row r="90" spans="2:22" ht="12.75" customHeight="1" x14ac:dyDescent="0.2">
      <c r="B90" s="1797"/>
      <c r="C90" s="1133"/>
      <c r="D90" s="3309"/>
      <c r="E90" s="3309"/>
      <c r="F90" s="1133"/>
      <c r="G90" s="1133"/>
      <c r="H90" s="1133"/>
      <c r="I90" s="1133"/>
      <c r="J90" s="1133"/>
      <c r="K90" s="1133"/>
      <c r="L90" s="1133"/>
      <c r="M90" s="1133"/>
      <c r="N90" s="1133"/>
      <c r="O90" s="1133"/>
      <c r="P90" s="1133"/>
      <c r="Q90" s="1133"/>
      <c r="R90" s="1133"/>
      <c r="S90" s="1133"/>
      <c r="T90" s="1133"/>
      <c r="U90" s="1836"/>
    </row>
    <row r="91" spans="2:22" x14ac:dyDescent="0.2">
      <c r="B91" s="1797"/>
      <c r="C91" s="1133"/>
      <c r="D91" s="1133"/>
      <c r="E91" s="1133"/>
      <c r="F91" s="1133"/>
      <c r="G91" s="1133"/>
      <c r="H91" s="1133"/>
      <c r="I91" s="1133"/>
      <c r="J91" s="1133"/>
      <c r="K91" s="1133"/>
      <c r="L91" s="1133"/>
      <c r="M91" s="1133"/>
      <c r="N91" s="1133"/>
      <c r="O91" s="1133"/>
      <c r="P91" s="1133"/>
      <c r="Q91" s="1133"/>
      <c r="R91" s="1133"/>
      <c r="S91" s="1133"/>
      <c r="T91" s="1133"/>
      <c r="U91" s="1836"/>
    </row>
    <row r="92" spans="2:22" x14ac:dyDescent="0.2">
      <c r="B92" s="1797"/>
      <c r="C92" s="1133"/>
      <c r="D92" s="1133"/>
      <c r="E92" s="1133"/>
      <c r="F92" s="1133"/>
      <c r="G92" s="1133"/>
      <c r="H92" s="1133"/>
      <c r="I92" s="1133"/>
      <c r="J92" s="1133"/>
      <c r="K92" s="1133"/>
      <c r="L92" s="1133"/>
      <c r="M92" s="1133"/>
      <c r="N92" s="1133"/>
      <c r="O92" s="1133"/>
      <c r="P92" s="1133"/>
      <c r="Q92" s="1133"/>
      <c r="R92" s="1133"/>
      <c r="S92" s="1133"/>
      <c r="T92" s="1133"/>
      <c r="U92" s="1836"/>
    </row>
    <row r="93" spans="2:22" ht="12.75" customHeight="1" x14ac:dyDescent="0.2">
      <c r="B93" s="1797"/>
      <c r="C93" s="2055" t="s">
        <v>315</v>
      </c>
      <c r="D93" s="1947" t="s">
        <v>13180</v>
      </c>
      <c r="E93" s="832"/>
      <c r="F93" s="769"/>
      <c r="G93" s="769"/>
      <c r="H93" s="1837"/>
      <c r="I93" s="1837"/>
      <c r="J93" s="1837"/>
      <c r="K93" s="1837"/>
      <c r="L93" s="1837"/>
      <c r="M93" s="1216"/>
      <c r="N93" s="1819"/>
      <c r="O93" s="1133"/>
      <c r="P93" s="1133"/>
      <c r="Q93" s="1133"/>
      <c r="R93" s="1133"/>
      <c r="S93" s="1133"/>
      <c r="T93" s="1133"/>
      <c r="U93" s="1836"/>
    </row>
    <row r="94" spans="2:22" x14ac:dyDescent="0.2">
      <c r="B94" s="1797"/>
      <c r="C94" s="201"/>
      <c r="D94" s="3895" t="s">
        <v>9697</v>
      </c>
      <c r="E94" s="3892" t="s">
        <v>8098</v>
      </c>
      <c r="F94" s="3874" t="s">
        <v>8089</v>
      </c>
      <c r="G94" s="3892" t="s">
        <v>8099</v>
      </c>
      <c r="H94" s="3896" t="s">
        <v>8100</v>
      </c>
      <c r="I94" s="3896" t="s">
        <v>8101</v>
      </c>
      <c r="J94" s="3892" t="s">
        <v>8102</v>
      </c>
      <c r="K94" s="3892" t="s">
        <v>8103</v>
      </c>
      <c r="L94" s="3892" t="s">
        <v>8104</v>
      </c>
      <c r="M94" s="3900" t="s">
        <v>7133</v>
      </c>
      <c r="N94" s="3901"/>
      <c r="O94" s="3902"/>
      <c r="P94" s="1133"/>
      <c r="Q94" s="1133"/>
      <c r="R94" s="1133"/>
      <c r="S94" s="1133"/>
      <c r="T94" s="1133"/>
      <c r="U94" s="1836"/>
      <c r="V94" s="117"/>
    </row>
    <row r="95" spans="2:22" ht="52.5" customHeight="1" x14ac:dyDescent="0.2">
      <c r="B95" s="1797"/>
      <c r="C95" s="59"/>
      <c r="D95" s="3895"/>
      <c r="E95" s="3893"/>
      <c r="F95" s="3875"/>
      <c r="G95" s="3893"/>
      <c r="H95" s="3892"/>
      <c r="I95" s="3892"/>
      <c r="J95" s="3893"/>
      <c r="K95" s="3893"/>
      <c r="L95" s="3893"/>
      <c r="M95" s="18" t="s">
        <v>8105</v>
      </c>
      <c r="N95" s="18" t="s">
        <v>8106</v>
      </c>
      <c r="O95" s="18" t="s">
        <v>8107</v>
      </c>
      <c r="P95" s="1133"/>
      <c r="Q95" s="1133"/>
      <c r="R95" s="1133"/>
      <c r="S95" s="1133"/>
      <c r="T95" s="1133"/>
      <c r="U95" s="1836"/>
      <c r="V95" s="117"/>
    </row>
    <row r="96" spans="2:22" x14ac:dyDescent="0.2">
      <c r="B96" s="1797"/>
      <c r="C96" s="59"/>
      <c r="D96" s="1998">
        <v>1</v>
      </c>
      <c r="E96" s="2676"/>
      <c r="F96" s="2675" t="s">
        <v>23</v>
      </c>
      <c r="G96" s="2675" t="s">
        <v>23</v>
      </c>
      <c r="H96" s="2676"/>
      <c r="I96" s="2675" t="s">
        <v>23</v>
      </c>
      <c r="J96" s="2674"/>
      <c r="K96" s="2674"/>
      <c r="L96" s="2675" t="s">
        <v>23</v>
      </c>
      <c r="M96" s="2674"/>
      <c r="N96" s="2096"/>
      <c r="O96" s="2096"/>
      <c r="P96" s="1133"/>
      <c r="Q96" s="1133"/>
      <c r="R96" s="1133"/>
      <c r="S96" s="1133"/>
      <c r="T96" s="1133"/>
      <c r="U96" s="1836"/>
      <c r="V96" s="117"/>
    </row>
    <row r="97" spans="2:22" x14ac:dyDescent="0.2">
      <c r="B97" s="1797"/>
      <c r="C97" s="59"/>
      <c r="D97" s="1998">
        <v>2</v>
      </c>
      <c r="E97" s="2676"/>
      <c r="F97" s="2675" t="s">
        <v>23</v>
      </c>
      <c r="G97" s="2675" t="s">
        <v>23</v>
      </c>
      <c r="H97" s="2676"/>
      <c r="I97" s="2675" t="s">
        <v>23</v>
      </c>
      <c r="J97" s="2674"/>
      <c r="K97" s="2674"/>
      <c r="L97" s="2675" t="s">
        <v>23</v>
      </c>
      <c r="M97" s="2674"/>
      <c r="N97" s="2096"/>
      <c r="O97" s="2096"/>
      <c r="P97" s="1133"/>
      <c r="Q97" s="1133"/>
      <c r="R97" s="1133"/>
      <c r="S97" s="1133"/>
      <c r="T97" s="1133"/>
      <c r="U97" s="1836"/>
      <c r="V97" s="117"/>
    </row>
    <row r="98" spans="2:22" x14ac:dyDescent="0.2">
      <c r="B98" s="1797"/>
      <c r="C98" s="59"/>
      <c r="D98" s="1998">
        <v>3</v>
      </c>
      <c r="E98" s="2676"/>
      <c r="F98" s="2675" t="s">
        <v>23</v>
      </c>
      <c r="G98" s="2675" t="s">
        <v>23</v>
      </c>
      <c r="H98" s="2676"/>
      <c r="I98" s="2675" t="s">
        <v>23</v>
      </c>
      <c r="J98" s="2674"/>
      <c r="K98" s="2674"/>
      <c r="L98" s="2675" t="s">
        <v>23</v>
      </c>
      <c r="M98" s="2674"/>
      <c r="N98" s="2096"/>
      <c r="O98" s="2096"/>
      <c r="P98" s="1133"/>
      <c r="Q98" s="1133"/>
      <c r="R98" s="1133"/>
      <c r="S98" s="1133"/>
      <c r="T98" s="1133"/>
      <c r="U98" s="1836"/>
      <c r="V98" s="117"/>
    </row>
    <row r="99" spans="2:22" x14ac:dyDescent="0.2">
      <c r="B99" s="1797"/>
      <c r="C99" s="59"/>
      <c r="D99" s="1998">
        <f>D98+1</f>
        <v>4</v>
      </c>
      <c r="E99" s="2676"/>
      <c r="F99" s="2675" t="s">
        <v>23</v>
      </c>
      <c r="G99" s="2675" t="s">
        <v>23</v>
      </c>
      <c r="H99" s="2676"/>
      <c r="I99" s="2675" t="s">
        <v>23</v>
      </c>
      <c r="J99" s="2674"/>
      <c r="K99" s="2674"/>
      <c r="L99" s="2675" t="s">
        <v>23</v>
      </c>
      <c r="M99" s="2674"/>
      <c r="N99" s="2096"/>
      <c r="O99" s="2096"/>
      <c r="P99" s="1133"/>
      <c r="Q99" s="1133"/>
      <c r="R99" s="1133"/>
      <c r="S99" s="1133"/>
      <c r="T99" s="1133"/>
      <c r="U99" s="1836"/>
      <c r="V99" s="117"/>
    </row>
    <row r="100" spans="2:22" x14ac:dyDescent="0.2">
      <c r="B100" s="1797"/>
      <c r="C100" s="59"/>
      <c r="D100" s="1998">
        <f>D99+1</f>
        <v>5</v>
      </c>
      <c r="E100" s="2676"/>
      <c r="F100" s="2675" t="s">
        <v>23</v>
      </c>
      <c r="G100" s="2675" t="s">
        <v>23</v>
      </c>
      <c r="H100" s="2676"/>
      <c r="I100" s="2675" t="s">
        <v>23</v>
      </c>
      <c r="J100" s="2674"/>
      <c r="K100" s="2674"/>
      <c r="L100" s="2675" t="s">
        <v>23</v>
      </c>
      <c r="M100" s="2674"/>
      <c r="N100" s="2096"/>
      <c r="O100" s="2096"/>
      <c r="P100" s="1133"/>
      <c r="Q100" s="1133"/>
      <c r="R100" s="1133"/>
      <c r="S100" s="1133"/>
      <c r="T100" s="1133"/>
      <c r="U100" s="1836"/>
      <c r="V100" s="117"/>
    </row>
    <row r="101" spans="2:22" x14ac:dyDescent="0.2">
      <c r="B101" s="1797"/>
      <c r="C101" s="60"/>
      <c r="D101" s="1998">
        <f>D100+1</f>
        <v>6</v>
      </c>
      <c r="E101" s="2676"/>
      <c r="F101" s="2675" t="s">
        <v>23</v>
      </c>
      <c r="G101" s="2675" t="s">
        <v>23</v>
      </c>
      <c r="H101" s="2676"/>
      <c r="I101" s="2675" t="s">
        <v>23</v>
      </c>
      <c r="J101" s="2674"/>
      <c r="K101" s="2674"/>
      <c r="L101" s="2675" t="s">
        <v>23</v>
      </c>
      <c r="M101" s="2674"/>
      <c r="N101" s="2096"/>
      <c r="O101" s="2096"/>
      <c r="P101" s="1133"/>
      <c r="Q101" s="1133"/>
      <c r="R101" s="1133"/>
      <c r="S101" s="1133"/>
      <c r="T101" s="1133"/>
      <c r="U101" s="1836"/>
      <c r="V101" s="117"/>
    </row>
    <row r="102" spans="2:22" x14ac:dyDescent="0.2">
      <c r="B102" s="1797"/>
      <c r="C102" s="771"/>
      <c r="D102" s="824"/>
      <c r="E102" s="825"/>
      <c r="F102" s="826"/>
      <c r="G102" s="826"/>
      <c r="H102" s="1133"/>
      <c r="I102" s="1133"/>
      <c r="J102" s="1133"/>
      <c r="K102" s="1133"/>
      <c r="L102" s="1133"/>
      <c r="M102" s="1133"/>
      <c r="N102" s="1133"/>
      <c r="O102" s="1133"/>
      <c r="P102" s="1133"/>
      <c r="Q102" s="1133"/>
      <c r="R102" s="1133"/>
      <c r="S102" s="1133"/>
      <c r="T102" s="1133"/>
      <c r="U102" s="1836"/>
    </row>
    <row r="103" spans="2:22" ht="15" hidden="1" customHeight="1" x14ac:dyDescent="0.2">
      <c r="B103" s="1797"/>
      <c r="C103" s="3017" t="s">
        <v>1535</v>
      </c>
      <c r="D103" s="3865"/>
      <c r="E103" s="3865"/>
      <c r="F103" s="3016"/>
      <c r="G103" s="831">
        <f>SUM(FA_C_TotalInv)</f>
        <v>0</v>
      </c>
      <c r="H103" s="1133"/>
      <c r="I103" s="1133"/>
      <c r="J103" s="1133"/>
      <c r="K103" s="1133"/>
      <c r="L103" s="1133"/>
      <c r="M103" s="1133"/>
      <c r="N103" s="1133"/>
      <c r="O103" s="1133"/>
      <c r="P103" s="1133"/>
      <c r="Q103" s="1133"/>
      <c r="R103" s="1133"/>
      <c r="S103" s="1133"/>
      <c r="T103" s="1133"/>
      <c r="U103" s="1836"/>
    </row>
    <row r="104" spans="2:22" ht="12.75" customHeight="1" x14ac:dyDescent="0.2">
      <c r="B104" s="1797"/>
      <c r="C104" s="1133"/>
      <c r="D104" s="3309"/>
      <c r="E104" s="3309"/>
      <c r="F104" s="1133"/>
      <c r="G104" s="1133"/>
      <c r="H104" s="1133"/>
      <c r="I104" s="1133"/>
      <c r="J104" s="1133"/>
      <c r="K104" s="1133"/>
      <c r="L104" s="1133"/>
      <c r="M104" s="1133"/>
      <c r="N104" s="1133"/>
      <c r="O104" s="1133"/>
      <c r="P104" s="1133"/>
      <c r="Q104" s="1133"/>
      <c r="R104" s="1133"/>
      <c r="S104" s="1133"/>
      <c r="T104" s="1133"/>
      <c r="U104" s="1836"/>
    </row>
    <row r="105" spans="2:22" ht="12.75" customHeight="1" x14ac:dyDescent="0.2">
      <c r="B105" s="1797"/>
      <c r="C105" s="1133"/>
      <c r="D105" s="3309"/>
      <c r="E105" s="3309"/>
      <c r="F105" s="1133"/>
      <c r="G105" s="1133"/>
      <c r="H105" s="1133"/>
      <c r="I105" s="1133"/>
      <c r="J105" s="1133"/>
      <c r="K105" s="1133"/>
      <c r="L105" s="1133"/>
      <c r="M105" s="1133"/>
      <c r="N105" s="1133"/>
      <c r="O105" s="1133"/>
      <c r="P105" s="1133"/>
      <c r="Q105" s="1133"/>
      <c r="R105" s="1133"/>
      <c r="S105" s="1133"/>
      <c r="T105" s="1133"/>
      <c r="U105" s="1836"/>
    </row>
    <row r="106" spans="2:22" x14ac:dyDescent="0.2">
      <c r="B106" s="1797"/>
      <c r="C106" s="1133"/>
      <c r="D106" s="1133"/>
      <c r="E106" s="1133"/>
      <c r="F106" s="1133"/>
      <c r="G106" s="1133"/>
      <c r="H106" s="1133"/>
      <c r="I106" s="1133"/>
      <c r="J106" s="1133"/>
      <c r="K106" s="1133"/>
      <c r="L106" s="1133"/>
      <c r="M106" s="1133"/>
      <c r="N106" s="1133"/>
      <c r="O106" s="1133"/>
      <c r="P106" s="1133"/>
      <c r="Q106" s="1133"/>
      <c r="R106" s="1133"/>
      <c r="S106" s="1133"/>
      <c r="T106" s="1133"/>
      <c r="U106" s="1836"/>
    </row>
    <row r="107" spans="2:22" x14ac:dyDescent="0.2">
      <c r="B107" s="1797"/>
      <c r="C107" s="1133"/>
      <c r="D107" s="1133"/>
      <c r="E107" s="1133"/>
      <c r="F107" s="1133"/>
      <c r="G107" s="1133"/>
      <c r="H107" s="1133"/>
      <c r="I107" s="1133"/>
      <c r="J107" s="1133"/>
      <c r="K107" s="1133"/>
      <c r="L107" s="1133"/>
      <c r="M107" s="1133"/>
      <c r="N107" s="1133"/>
      <c r="O107" s="1133"/>
      <c r="P107" s="1133"/>
      <c r="Q107" s="1133"/>
      <c r="R107" s="1133"/>
      <c r="S107" s="1133"/>
      <c r="T107" s="1133"/>
      <c r="U107" s="1836"/>
    </row>
    <row r="108" spans="2:22" ht="12.75" customHeight="1" x14ac:dyDescent="0.2">
      <c r="B108" s="1797"/>
      <c r="C108" s="2055" t="s">
        <v>355</v>
      </c>
      <c r="D108" s="1947" t="s">
        <v>13181</v>
      </c>
      <c r="E108" s="769"/>
      <c r="F108" s="769"/>
      <c r="G108" s="769"/>
      <c r="H108" s="1837"/>
      <c r="I108" s="1837"/>
      <c r="J108" s="1837"/>
      <c r="K108" s="1837"/>
      <c r="L108" s="1837"/>
      <c r="M108" s="1837"/>
      <c r="N108" s="1851"/>
      <c r="O108" s="1133"/>
      <c r="P108" s="1133"/>
      <c r="Q108" s="1133"/>
      <c r="R108" s="1133"/>
      <c r="S108" s="1133"/>
      <c r="T108" s="1133"/>
      <c r="U108" s="1836"/>
    </row>
    <row r="109" spans="2:22" x14ac:dyDescent="0.2">
      <c r="B109" s="1797"/>
      <c r="C109" s="201"/>
      <c r="D109" s="3894" t="s">
        <v>9697</v>
      </c>
      <c r="E109" s="3892" t="s">
        <v>8098</v>
      </c>
      <c r="F109" s="3874" t="s">
        <v>8089</v>
      </c>
      <c r="G109" s="3892" t="s">
        <v>8108</v>
      </c>
      <c r="H109" s="3896" t="s">
        <v>8100</v>
      </c>
      <c r="I109" s="3896" t="s">
        <v>8101</v>
      </c>
      <c r="J109" s="3892" t="s">
        <v>8102</v>
      </c>
      <c r="K109" s="3892" t="s">
        <v>8109</v>
      </c>
      <c r="L109" s="3892" t="s">
        <v>8104</v>
      </c>
      <c r="M109" s="3900" t="s">
        <v>7133</v>
      </c>
      <c r="N109" s="3901"/>
      <c r="O109" s="3902"/>
      <c r="P109" s="1133"/>
      <c r="Q109" s="1133"/>
      <c r="R109" s="1133"/>
      <c r="S109" s="1133"/>
      <c r="T109" s="1133"/>
      <c r="U109" s="1836"/>
      <c r="V109" s="117"/>
    </row>
    <row r="110" spans="2:22" ht="54" customHeight="1" x14ac:dyDescent="0.2">
      <c r="B110" s="1797"/>
      <c r="C110" s="59"/>
      <c r="D110" s="3895"/>
      <c r="E110" s="3893"/>
      <c r="F110" s="3875"/>
      <c r="G110" s="3893"/>
      <c r="H110" s="3892"/>
      <c r="I110" s="3892"/>
      <c r="J110" s="3893"/>
      <c r="K110" s="3893"/>
      <c r="L110" s="3893"/>
      <c r="M110" s="18" t="s">
        <v>8105</v>
      </c>
      <c r="N110" s="18" t="s">
        <v>8106</v>
      </c>
      <c r="O110" s="18" t="s">
        <v>8107</v>
      </c>
      <c r="P110" s="1133"/>
      <c r="Q110" s="1133"/>
      <c r="R110" s="1133"/>
      <c r="S110" s="1133"/>
      <c r="T110" s="1133"/>
      <c r="U110" s="1836"/>
      <c r="V110" s="117"/>
    </row>
    <row r="111" spans="2:22" x14ac:dyDescent="0.2">
      <c r="B111" s="1797"/>
      <c r="C111" s="59"/>
      <c r="D111" s="1998">
        <v>1</v>
      </c>
      <c r="E111" s="2676"/>
      <c r="F111" s="2675" t="s">
        <v>23</v>
      </c>
      <c r="G111" s="2658" t="s">
        <v>23</v>
      </c>
      <c r="H111" s="2676"/>
      <c r="I111" s="2675" t="s">
        <v>23</v>
      </c>
      <c r="J111" s="2674"/>
      <c r="K111" s="2674"/>
      <c r="L111" s="2126" t="s">
        <v>23</v>
      </c>
      <c r="M111" s="2674"/>
      <c r="N111" s="2096"/>
      <c r="O111" s="2674"/>
      <c r="P111" s="1133"/>
      <c r="Q111" s="1133"/>
      <c r="R111" s="1133"/>
      <c r="S111" s="1133"/>
      <c r="T111" s="1133"/>
      <c r="U111" s="1836"/>
      <c r="V111" s="117"/>
    </row>
    <row r="112" spans="2:22" x14ac:dyDescent="0.2">
      <c r="B112" s="1797"/>
      <c r="C112" s="59"/>
      <c r="D112" s="1998">
        <v>2</v>
      </c>
      <c r="E112" s="2676"/>
      <c r="F112" s="2675" t="s">
        <v>23</v>
      </c>
      <c r="G112" s="2658" t="s">
        <v>23</v>
      </c>
      <c r="H112" s="2676"/>
      <c r="I112" s="2675" t="s">
        <v>23</v>
      </c>
      <c r="J112" s="2674"/>
      <c r="K112" s="2674"/>
      <c r="L112" s="2126" t="s">
        <v>23</v>
      </c>
      <c r="M112" s="2674"/>
      <c r="N112" s="2096"/>
      <c r="O112" s="2674"/>
      <c r="P112" s="1133"/>
      <c r="Q112" s="1133"/>
      <c r="R112" s="1133"/>
      <c r="S112" s="1133"/>
      <c r="T112" s="1133"/>
      <c r="U112" s="1836"/>
      <c r="V112" s="117"/>
    </row>
    <row r="113" spans="2:28" x14ac:dyDescent="0.2">
      <c r="B113" s="1797"/>
      <c r="C113" s="59"/>
      <c r="D113" s="1998">
        <v>3</v>
      </c>
      <c r="E113" s="2676"/>
      <c r="F113" s="2675" t="s">
        <v>23</v>
      </c>
      <c r="G113" s="2658" t="s">
        <v>23</v>
      </c>
      <c r="H113" s="2676"/>
      <c r="I113" s="2675" t="s">
        <v>23</v>
      </c>
      <c r="J113" s="2674"/>
      <c r="K113" s="2674"/>
      <c r="L113" s="2126" t="s">
        <v>23</v>
      </c>
      <c r="M113" s="2674"/>
      <c r="N113" s="2096"/>
      <c r="O113" s="2674"/>
      <c r="P113" s="1133"/>
      <c r="Q113" s="1133"/>
      <c r="R113" s="1133"/>
      <c r="S113" s="1133"/>
      <c r="T113" s="1133"/>
      <c r="U113" s="1836"/>
      <c r="V113" s="117"/>
    </row>
    <row r="114" spans="2:28" x14ac:dyDescent="0.2">
      <c r="B114" s="1797"/>
      <c r="C114" s="59"/>
      <c r="D114" s="1998">
        <f>D113+1</f>
        <v>4</v>
      </c>
      <c r="E114" s="2676"/>
      <c r="F114" s="2675" t="s">
        <v>23</v>
      </c>
      <c r="G114" s="2658" t="s">
        <v>23</v>
      </c>
      <c r="H114" s="2676"/>
      <c r="I114" s="2675" t="s">
        <v>23</v>
      </c>
      <c r="J114" s="2674"/>
      <c r="K114" s="2674"/>
      <c r="L114" s="2126" t="s">
        <v>23</v>
      </c>
      <c r="M114" s="2674"/>
      <c r="N114" s="2096"/>
      <c r="O114" s="2674"/>
      <c r="P114" s="1133"/>
      <c r="Q114" s="1133"/>
      <c r="R114" s="1133"/>
      <c r="S114" s="1133"/>
      <c r="T114" s="1133"/>
      <c r="U114" s="1836"/>
      <c r="V114" s="117"/>
    </row>
    <row r="115" spans="2:28" x14ac:dyDescent="0.2">
      <c r="B115" s="1797"/>
      <c r="C115" s="59"/>
      <c r="D115" s="1998">
        <f>D114+1</f>
        <v>5</v>
      </c>
      <c r="E115" s="2676"/>
      <c r="F115" s="2675" t="s">
        <v>23</v>
      </c>
      <c r="G115" s="2658" t="s">
        <v>23</v>
      </c>
      <c r="H115" s="2676"/>
      <c r="I115" s="2675" t="s">
        <v>23</v>
      </c>
      <c r="J115" s="2674"/>
      <c r="K115" s="2674"/>
      <c r="L115" s="2126" t="s">
        <v>23</v>
      </c>
      <c r="M115" s="2674"/>
      <c r="N115" s="2096"/>
      <c r="O115" s="2674"/>
      <c r="P115" s="1133"/>
      <c r="Q115" s="1133"/>
      <c r="R115" s="1133"/>
      <c r="S115" s="1133"/>
      <c r="T115" s="1133"/>
      <c r="U115" s="1836"/>
      <c r="V115" s="117"/>
    </row>
    <row r="116" spans="2:28" x14ac:dyDescent="0.2">
      <c r="B116" s="1797"/>
      <c r="C116" s="60"/>
      <c r="D116" s="1998">
        <f>D115+1</f>
        <v>6</v>
      </c>
      <c r="E116" s="2676"/>
      <c r="F116" s="2675" t="s">
        <v>23</v>
      </c>
      <c r="G116" s="2658" t="s">
        <v>23</v>
      </c>
      <c r="H116" s="2676"/>
      <c r="I116" s="2675" t="s">
        <v>23</v>
      </c>
      <c r="J116" s="2674"/>
      <c r="K116" s="2674"/>
      <c r="L116" s="2126" t="s">
        <v>23</v>
      </c>
      <c r="M116" s="2674"/>
      <c r="N116" s="2096"/>
      <c r="O116" s="2674"/>
      <c r="P116" s="1133"/>
      <c r="Q116" s="1133"/>
      <c r="R116" s="1133"/>
      <c r="S116" s="1133"/>
      <c r="T116" s="1133"/>
      <c r="U116" s="1836"/>
      <c r="V116" s="117"/>
    </row>
    <row r="117" spans="2:28" x14ac:dyDescent="0.2">
      <c r="B117" s="1797"/>
      <c r="C117" s="771"/>
      <c r="D117" s="822"/>
      <c r="E117" s="771"/>
      <c r="F117" s="822"/>
      <c r="G117" s="771"/>
      <c r="H117" s="1133"/>
      <c r="I117" s="1133"/>
      <c r="J117" s="1133"/>
      <c r="K117" s="1133"/>
      <c r="L117" s="1133"/>
      <c r="M117" s="1133"/>
      <c r="N117" s="1133"/>
      <c r="O117" s="1133"/>
      <c r="P117" s="1133"/>
      <c r="Q117" s="1133"/>
      <c r="R117" s="1133"/>
      <c r="S117" s="1133"/>
      <c r="T117" s="1133"/>
      <c r="U117" s="1836"/>
    </row>
    <row r="118" spans="2:28" ht="15" hidden="1" customHeight="1" x14ac:dyDescent="0.2">
      <c r="B118" s="1797"/>
      <c r="C118" s="3017" t="s">
        <v>1535</v>
      </c>
      <c r="D118" s="3865"/>
      <c r="E118" s="3865"/>
      <c r="F118" s="3016"/>
      <c r="G118" s="833">
        <v>0</v>
      </c>
      <c r="H118" s="848"/>
      <c r="I118" s="1133"/>
      <c r="J118" s="1133"/>
      <c r="K118" s="1133"/>
      <c r="L118" s="1133"/>
      <c r="M118" s="1133"/>
      <c r="N118" s="1133"/>
      <c r="O118" s="1133"/>
      <c r="P118" s="1133"/>
      <c r="Q118" s="1133"/>
      <c r="R118" s="1133"/>
      <c r="S118" s="1133"/>
      <c r="T118" s="1133"/>
      <c r="U118" s="1836"/>
    </row>
    <row r="119" spans="2:28" ht="12.75" customHeight="1" x14ac:dyDescent="0.2">
      <c r="B119" s="1797"/>
      <c r="C119" s="1133"/>
      <c r="D119" s="3309"/>
      <c r="E119" s="3309"/>
      <c r="F119" s="1133"/>
      <c r="G119" s="1133"/>
      <c r="H119" s="1133"/>
      <c r="I119" s="1133"/>
      <c r="J119" s="1133"/>
      <c r="K119" s="1133"/>
      <c r="L119" s="1133"/>
      <c r="M119" s="1133"/>
      <c r="N119" s="1133"/>
      <c r="O119" s="1133"/>
      <c r="P119" s="1133"/>
      <c r="Q119" s="1133"/>
      <c r="R119" s="1133"/>
      <c r="S119" s="1133"/>
      <c r="T119" s="1133"/>
      <c r="U119" s="1836"/>
    </row>
    <row r="120" spans="2:28" ht="12.75" customHeight="1" x14ac:dyDescent="0.2">
      <c r="B120" s="1797"/>
      <c r="C120" s="1133"/>
      <c r="D120" s="3309"/>
      <c r="E120" s="3309"/>
      <c r="F120" s="1133"/>
      <c r="G120" s="1133"/>
      <c r="H120" s="1133"/>
      <c r="I120" s="1133"/>
      <c r="J120" s="1133"/>
      <c r="K120" s="1133"/>
      <c r="L120" s="1133"/>
      <c r="M120" s="1133"/>
      <c r="N120" s="1133"/>
      <c r="O120" s="1133"/>
      <c r="P120" s="1133"/>
      <c r="Q120" s="1133"/>
      <c r="R120" s="1133"/>
      <c r="S120" s="1133"/>
      <c r="T120" s="1133"/>
      <c r="U120" s="1836"/>
    </row>
    <row r="121" spans="2:28" x14ac:dyDescent="0.2">
      <c r="B121" s="1797"/>
      <c r="C121" s="1133"/>
      <c r="D121" s="1133"/>
      <c r="E121" s="1133"/>
      <c r="F121" s="1133"/>
      <c r="G121" s="1133"/>
      <c r="H121" s="1133"/>
      <c r="I121" s="1133"/>
      <c r="J121" s="1133"/>
      <c r="K121" s="1133"/>
      <c r="L121" s="1133"/>
      <c r="M121" s="1133"/>
      <c r="N121" s="1133"/>
      <c r="O121" s="1133"/>
      <c r="P121" s="1133"/>
      <c r="Q121" s="1133"/>
      <c r="R121" s="1133"/>
      <c r="S121" s="1133"/>
      <c r="T121" s="1133"/>
      <c r="U121" s="1836"/>
    </row>
    <row r="122" spans="2:28" x14ac:dyDescent="0.2">
      <c r="B122" s="1797"/>
      <c r="C122" s="1133"/>
      <c r="D122" s="1133"/>
      <c r="E122" s="1133"/>
      <c r="F122" s="1133"/>
      <c r="G122" s="1133"/>
      <c r="H122" s="1133"/>
      <c r="I122" s="1133"/>
      <c r="J122" s="1133"/>
      <c r="K122" s="1133"/>
      <c r="L122" s="1133"/>
      <c r="M122" s="1133"/>
      <c r="N122" s="1133"/>
      <c r="O122" s="1133"/>
      <c r="P122" s="1133"/>
      <c r="Q122" s="1133"/>
      <c r="R122" s="1133"/>
      <c r="S122" s="1133"/>
      <c r="T122" s="1133"/>
      <c r="U122" s="1836"/>
    </row>
    <row r="123" spans="2:28" x14ac:dyDescent="0.2">
      <c r="B123" s="1797"/>
      <c r="C123" s="1133"/>
      <c r="D123" s="1133"/>
      <c r="E123" s="1133"/>
      <c r="F123" s="1133"/>
      <c r="G123" s="1133"/>
      <c r="H123" s="1133"/>
      <c r="I123" s="1133"/>
      <c r="J123" s="1133"/>
      <c r="K123" s="1133"/>
      <c r="L123" s="1133"/>
      <c r="M123" s="1133"/>
      <c r="N123" s="1133"/>
      <c r="O123" s="1133"/>
      <c r="P123" s="1133"/>
      <c r="Q123" s="1133"/>
      <c r="R123" s="1133"/>
      <c r="S123" s="1133"/>
      <c r="T123" s="1133"/>
      <c r="U123" s="1836"/>
    </row>
    <row r="124" spans="2:28" ht="12.75" customHeight="1" x14ac:dyDescent="0.2">
      <c r="B124" s="1797"/>
      <c r="C124" s="2055" t="s">
        <v>358</v>
      </c>
      <c r="D124" s="1946" t="s">
        <v>13182</v>
      </c>
      <c r="E124" s="1945"/>
      <c r="F124" s="1945"/>
      <c r="G124" s="1948"/>
      <c r="H124" s="1948"/>
      <c r="I124" s="1837"/>
      <c r="J124" s="1837"/>
      <c r="K124" s="1837"/>
      <c r="L124" s="1837"/>
      <c r="M124" s="1837"/>
      <c r="N124" s="1819"/>
      <c r="O124" s="1133"/>
      <c r="P124" s="1133"/>
      <c r="Q124" s="1133"/>
      <c r="R124" s="1133"/>
      <c r="S124" s="1133"/>
      <c r="T124" s="1133"/>
      <c r="U124" s="1836"/>
    </row>
    <row r="125" spans="2:28" x14ac:dyDescent="0.2">
      <c r="B125" s="1797"/>
      <c r="C125" s="201"/>
      <c r="D125" s="3894" t="s">
        <v>9698</v>
      </c>
      <c r="E125" s="3892" t="s">
        <v>8110</v>
      </c>
      <c r="F125" s="3892" t="s">
        <v>8111</v>
      </c>
      <c r="G125" s="3893" t="s">
        <v>8112</v>
      </c>
      <c r="H125" s="3874" t="s">
        <v>8113</v>
      </c>
      <c r="I125" s="3892" t="s">
        <v>8114</v>
      </c>
      <c r="J125" s="3892" t="s">
        <v>8115</v>
      </c>
      <c r="K125" s="3892" t="s">
        <v>8116</v>
      </c>
      <c r="L125" s="3892" t="s">
        <v>8117</v>
      </c>
      <c r="M125" s="3892" t="s">
        <v>8121</v>
      </c>
      <c r="N125" s="3900" t="s">
        <v>8082</v>
      </c>
      <c r="O125" s="3901"/>
      <c r="P125" s="3902"/>
      <c r="Q125" s="1133"/>
      <c r="R125" s="1133"/>
      <c r="S125" s="1133"/>
      <c r="T125" s="1133"/>
      <c r="U125" s="1836"/>
      <c r="V125" s="117"/>
      <c r="W125" s="117"/>
      <c r="X125" s="117"/>
      <c r="Y125" s="117"/>
      <c r="Z125" s="117"/>
      <c r="AA125" s="117"/>
      <c r="AB125" s="117"/>
    </row>
    <row r="126" spans="2:28" ht="92.25" customHeight="1" x14ac:dyDescent="0.2">
      <c r="B126" s="1797"/>
      <c r="C126" s="59"/>
      <c r="D126" s="3895"/>
      <c r="E126" s="3893"/>
      <c r="F126" s="3893"/>
      <c r="G126" s="3893"/>
      <c r="H126" s="3875"/>
      <c r="I126" s="3893"/>
      <c r="J126" s="3893"/>
      <c r="K126" s="3893"/>
      <c r="L126" s="3893"/>
      <c r="M126" s="3893"/>
      <c r="N126" s="18" t="s">
        <v>8118</v>
      </c>
      <c r="O126" s="18" t="s">
        <v>8119</v>
      </c>
      <c r="P126" s="18" t="s">
        <v>8120</v>
      </c>
      <c r="Q126" s="1133"/>
      <c r="R126" s="1133"/>
      <c r="S126" s="1133"/>
      <c r="T126" s="1133"/>
      <c r="U126" s="1836"/>
      <c r="V126" s="117"/>
      <c r="W126" s="117"/>
      <c r="X126" s="117"/>
      <c r="Y126" s="117"/>
      <c r="Z126" s="117"/>
      <c r="AA126" s="117"/>
      <c r="AB126" s="117"/>
    </row>
    <row r="127" spans="2:28" x14ac:dyDescent="0.2">
      <c r="B127" s="1797"/>
      <c r="C127" s="59"/>
      <c r="D127" s="1998">
        <v>1</v>
      </c>
      <c r="E127" s="2675" t="s">
        <v>23</v>
      </c>
      <c r="F127" s="2675" t="s">
        <v>23</v>
      </c>
      <c r="G127" s="2676"/>
      <c r="H127" s="2675" t="s">
        <v>23</v>
      </c>
      <c r="I127" s="2675" t="s">
        <v>23</v>
      </c>
      <c r="J127" s="2675" t="s">
        <v>23</v>
      </c>
      <c r="K127" s="2674"/>
      <c r="L127" s="2096"/>
      <c r="M127" s="2674"/>
      <c r="N127" s="2674"/>
      <c r="O127" s="2096"/>
      <c r="P127" s="2096"/>
      <c r="Q127" s="1133"/>
      <c r="R127" s="1133"/>
      <c r="S127" s="1133"/>
      <c r="T127" s="1133"/>
      <c r="U127" s="1836"/>
      <c r="V127" s="117"/>
      <c r="W127" s="117"/>
      <c r="X127" s="117"/>
      <c r="Y127" s="117"/>
      <c r="Z127" s="117"/>
      <c r="AA127" s="117"/>
      <c r="AB127" s="117"/>
    </row>
    <row r="128" spans="2:28" x14ac:dyDescent="0.2">
      <c r="B128" s="1797"/>
      <c r="C128" s="59"/>
      <c r="D128" s="1998">
        <v>2</v>
      </c>
      <c r="E128" s="2675" t="s">
        <v>23</v>
      </c>
      <c r="F128" s="2675" t="s">
        <v>23</v>
      </c>
      <c r="G128" s="2676"/>
      <c r="H128" s="2675" t="s">
        <v>23</v>
      </c>
      <c r="I128" s="2675" t="s">
        <v>23</v>
      </c>
      <c r="J128" s="2675" t="s">
        <v>23</v>
      </c>
      <c r="K128" s="2674"/>
      <c r="L128" s="2096"/>
      <c r="M128" s="2674"/>
      <c r="N128" s="2674"/>
      <c r="O128" s="2096"/>
      <c r="P128" s="2096"/>
      <c r="Q128" s="1133"/>
      <c r="R128" s="1133"/>
      <c r="S128" s="1133"/>
      <c r="T128" s="1133"/>
      <c r="U128" s="1836"/>
      <c r="V128" s="117"/>
      <c r="W128" s="117"/>
      <c r="X128" s="117"/>
      <c r="Y128" s="117"/>
      <c r="Z128" s="117"/>
      <c r="AA128" s="117"/>
      <c r="AB128" s="117"/>
    </row>
    <row r="129" spans="2:28" x14ac:dyDescent="0.2">
      <c r="B129" s="1797"/>
      <c r="C129" s="59"/>
      <c r="D129" s="1998">
        <v>3</v>
      </c>
      <c r="E129" s="2675" t="s">
        <v>23</v>
      </c>
      <c r="F129" s="2675" t="s">
        <v>23</v>
      </c>
      <c r="G129" s="2676"/>
      <c r="H129" s="2675" t="s">
        <v>23</v>
      </c>
      <c r="I129" s="2675" t="s">
        <v>23</v>
      </c>
      <c r="J129" s="2675" t="s">
        <v>23</v>
      </c>
      <c r="K129" s="2674"/>
      <c r="L129" s="2096"/>
      <c r="M129" s="2674"/>
      <c r="N129" s="2674"/>
      <c r="O129" s="2096"/>
      <c r="P129" s="2096"/>
      <c r="Q129" s="1133"/>
      <c r="R129" s="1133"/>
      <c r="S129" s="1133"/>
      <c r="T129" s="1133"/>
      <c r="U129" s="1836"/>
      <c r="V129" s="117"/>
      <c r="W129" s="117"/>
      <c r="X129" s="117"/>
      <c r="Y129" s="117"/>
      <c r="Z129" s="117"/>
      <c r="AA129" s="117"/>
      <c r="AB129" s="117"/>
    </row>
    <row r="130" spans="2:28" x14ac:dyDescent="0.2">
      <c r="B130" s="1797"/>
      <c r="C130" s="59"/>
      <c r="D130" s="1998">
        <f>D129+1</f>
        <v>4</v>
      </c>
      <c r="E130" s="2675" t="s">
        <v>23</v>
      </c>
      <c r="F130" s="2675" t="s">
        <v>23</v>
      </c>
      <c r="G130" s="2676"/>
      <c r="H130" s="2675" t="s">
        <v>23</v>
      </c>
      <c r="I130" s="2675" t="s">
        <v>23</v>
      </c>
      <c r="J130" s="2675" t="s">
        <v>23</v>
      </c>
      <c r="K130" s="2674"/>
      <c r="L130" s="2096"/>
      <c r="M130" s="2674"/>
      <c r="N130" s="2674"/>
      <c r="O130" s="2096"/>
      <c r="P130" s="2096"/>
      <c r="Q130" s="1133"/>
      <c r="R130" s="1133"/>
      <c r="S130" s="1133"/>
      <c r="T130" s="1133"/>
      <c r="U130" s="1836"/>
      <c r="V130" s="117"/>
      <c r="W130" s="117"/>
      <c r="X130" s="117"/>
    </row>
    <row r="131" spans="2:28" x14ac:dyDescent="0.2">
      <c r="B131" s="1797"/>
      <c r="C131" s="59"/>
      <c r="D131" s="1998">
        <f>D130+1</f>
        <v>5</v>
      </c>
      <c r="E131" s="2675" t="s">
        <v>23</v>
      </c>
      <c r="F131" s="2675" t="s">
        <v>23</v>
      </c>
      <c r="G131" s="2676"/>
      <c r="H131" s="2675" t="s">
        <v>23</v>
      </c>
      <c r="I131" s="2675" t="s">
        <v>23</v>
      </c>
      <c r="J131" s="2675" t="s">
        <v>23</v>
      </c>
      <c r="K131" s="2674"/>
      <c r="L131" s="2096"/>
      <c r="M131" s="2674"/>
      <c r="N131" s="2674"/>
      <c r="O131" s="2096"/>
      <c r="P131" s="2096"/>
      <c r="Q131" s="1133"/>
      <c r="R131" s="1133"/>
      <c r="S131" s="1133"/>
      <c r="T131" s="1133"/>
      <c r="U131" s="1836"/>
      <c r="V131" s="117"/>
      <c r="W131" s="117"/>
      <c r="X131" s="117"/>
    </row>
    <row r="132" spans="2:28" x14ac:dyDescent="0.2">
      <c r="B132" s="1797"/>
      <c r="C132" s="60"/>
      <c r="D132" s="1998">
        <f>D131+1</f>
        <v>6</v>
      </c>
      <c r="E132" s="2675" t="s">
        <v>23</v>
      </c>
      <c r="F132" s="2675" t="s">
        <v>23</v>
      </c>
      <c r="G132" s="2676"/>
      <c r="H132" s="2675" t="s">
        <v>23</v>
      </c>
      <c r="I132" s="2675" t="s">
        <v>23</v>
      </c>
      <c r="J132" s="2675" t="s">
        <v>23</v>
      </c>
      <c r="K132" s="2674"/>
      <c r="L132" s="2096"/>
      <c r="M132" s="2674"/>
      <c r="N132" s="2674"/>
      <c r="O132" s="2096"/>
      <c r="P132" s="2096"/>
      <c r="Q132" s="1133"/>
      <c r="R132" s="1133"/>
      <c r="S132" s="1133"/>
      <c r="T132" s="1133"/>
      <c r="U132" s="1836"/>
      <c r="V132" s="117"/>
      <c r="W132" s="117"/>
      <c r="X132" s="117"/>
    </row>
    <row r="133" spans="2:28" x14ac:dyDescent="0.2">
      <c r="B133" s="1797"/>
      <c r="C133" s="1133"/>
      <c r="D133" s="1133"/>
      <c r="E133" s="1133"/>
      <c r="F133" s="1133"/>
      <c r="G133" s="1133"/>
      <c r="H133" s="1133"/>
      <c r="I133" s="1133"/>
      <c r="J133" s="1133"/>
      <c r="K133" s="1133"/>
      <c r="L133" s="1133"/>
      <c r="M133" s="1133"/>
      <c r="N133" s="1133"/>
      <c r="O133" s="1133"/>
      <c r="P133" s="1133"/>
      <c r="Q133" s="1133"/>
      <c r="R133" s="1133"/>
      <c r="S133" s="1133"/>
      <c r="T133" s="1133"/>
      <c r="U133" s="1836"/>
      <c r="V133" s="117"/>
    </row>
    <row r="134" spans="2:28" ht="15" hidden="1" customHeight="1" x14ac:dyDescent="0.2">
      <c r="B134" s="1797"/>
      <c r="C134" s="3191" t="s">
        <v>1535</v>
      </c>
      <c r="D134" s="3271"/>
      <c r="E134" s="3271"/>
      <c r="F134" s="3192"/>
      <c r="G134" s="3192"/>
      <c r="H134" s="3657"/>
      <c r="I134" s="834">
        <v>0</v>
      </c>
      <c r="J134" s="1133"/>
      <c r="K134" s="1133"/>
      <c r="L134" s="1133"/>
      <c r="M134" s="848"/>
      <c r="N134" s="1133"/>
      <c r="O134" s="1133"/>
      <c r="P134" s="1133"/>
      <c r="Q134" s="1133"/>
      <c r="R134" s="1133"/>
      <c r="S134" s="1133"/>
      <c r="T134" s="1133"/>
      <c r="U134" s="1836"/>
      <c r="V134" s="117"/>
    </row>
    <row r="135" spans="2:28" ht="12.75" customHeight="1" x14ac:dyDescent="0.2">
      <c r="B135" s="1797"/>
      <c r="C135" s="1133"/>
      <c r="D135" s="3309"/>
      <c r="E135" s="3309"/>
      <c r="F135" s="1133"/>
      <c r="G135" s="1133"/>
      <c r="H135" s="1133"/>
      <c r="I135" s="1133"/>
      <c r="J135" s="1133"/>
      <c r="K135" s="1133"/>
      <c r="L135" s="1133"/>
      <c r="M135" s="1133"/>
      <c r="N135" s="1133"/>
      <c r="O135" s="1133"/>
      <c r="P135" s="1133"/>
      <c r="Q135" s="1133"/>
      <c r="R135" s="1133"/>
      <c r="S135" s="1133"/>
      <c r="T135" s="1133"/>
      <c r="U135" s="1836"/>
      <c r="V135" s="117"/>
    </row>
    <row r="136" spans="2:28" ht="12.75" customHeight="1" x14ac:dyDescent="0.2">
      <c r="B136" s="1797"/>
      <c r="C136" s="1133"/>
      <c r="D136" s="3309"/>
      <c r="E136" s="3309"/>
      <c r="F136" s="1133"/>
      <c r="G136" s="1133"/>
      <c r="H136" s="1133"/>
      <c r="I136" s="1133"/>
      <c r="J136" s="1133"/>
      <c r="K136" s="1133"/>
      <c r="L136" s="1133"/>
      <c r="M136" s="1133"/>
      <c r="N136" s="1133"/>
      <c r="O136" s="1133"/>
      <c r="P136" s="1133"/>
      <c r="Q136" s="1133"/>
      <c r="R136" s="1133"/>
      <c r="S136" s="1133"/>
      <c r="T136" s="1133"/>
      <c r="U136" s="1836"/>
      <c r="V136" s="117"/>
    </row>
    <row r="137" spans="2:28" x14ac:dyDescent="0.2">
      <c r="B137" s="1797"/>
      <c r="C137" s="1133"/>
      <c r="D137" s="1133"/>
      <c r="E137" s="1133"/>
      <c r="F137" s="1133"/>
      <c r="G137" s="1133"/>
      <c r="H137" s="1133"/>
      <c r="I137" s="1133"/>
      <c r="J137" s="1133"/>
      <c r="K137" s="1133"/>
      <c r="L137" s="1133"/>
      <c r="M137" s="1133"/>
      <c r="N137" s="1133"/>
      <c r="O137" s="1133"/>
      <c r="P137" s="1133"/>
      <c r="Q137" s="1133"/>
      <c r="R137" s="1133"/>
      <c r="S137" s="1133"/>
      <c r="T137" s="1133"/>
      <c r="U137" s="1836"/>
      <c r="V137" s="117"/>
    </row>
    <row r="138" spans="2:28" x14ac:dyDescent="0.2">
      <c r="B138" s="1797"/>
      <c r="C138" s="1133"/>
      <c r="D138" s="1133"/>
      <c r="E138" s="1133"/>
      <c r="F138" s="1133"/>
      <c r="G138" s="1133"/>
      <c r="H138" s="1133"/>
      <c r="I138" s="1133"/>
      <c r="J138" s="1133"/>
      <c r="K138" s="1133"/>
      <c r="L138" s="1133"/>
      <c r="M138" s="1133"/>
      <c r="N138" s="1133"/>
      <c r="O138" s="1133"/>
      <c r="P138" s="1133"/>
      <c r="Q138" s="1133"/>
      <c r="R138" s="1133"/>
      <c r="S138" s="1133"/>
      <c r="T138" s="1133"/>
      <c r="U138" s="1836"/>
      <c r="V138" s="117"/>
    </row>
    <row r="139" spans="2:28" ht="12.75" customHeight="1" x14ac:dyDescent="0.2">
      <c r="B139" s="1797"/>
      <c r="C139" s="2055" t="s">
        <v>1043</v>
      </c>
      <c r="D139" s="228" t="s">
        <v>1536</v>
      </c>
      <c r="E139" s="769"/>
      <c r="F139" s="769"/>
      <c r="G139" s="1837"/>
      <c r="H139" s="1837"/>
      <c r="I139" s="1837"/>
      <c r="J139" s="1837"/>
      <c r="K139" s="1837"/>
      <c r="L139" s="1837"/>
      <c r="M139" s="1895"/>
      <c r="N139" s="1895"/>
      <c r="O139" s="1895"/>
      <c r="P139" s="1895"/>
      <c r="Q139" s="1895"/>
      <c r="R139" s="846"/>
      <c r="S139" s="1851"/>
      <c r="T139" s="1133"/>
      <c r="U139" s="1836"/>
      <c r="V139" s="117"/>
    </row>
    <row r="140" spans="2:28" ht="30.75" customHeight="1" x14ac:dyDescent="0.2">
      <c r="B140" s="1797"/>
      <c r="C140" s="201"/>
      <c r="D140" s="3895" t="s">
        <v>9697</v>
      </c>
      <c r="E140" s="3893" t="s">
        <v>8122</v>
      </c>
      <c r="F140" s="3874" t="s">
        <v>8084</v>
      </c>
      <c r="G140" s="3893" t="s">
        <v>8123</v>
      </c>
      <c r="H140" s="3893" t="s">
        <v>8124</v>
      </c>
      <c r="I140" s="3893" t="s">
        <v>8978</v>
      </c>
      <c r="J140" s="3893" t="s">
        <v>8979</v>
      </c>
      <c r="K140" s="3893" t="s">
        <v>8125</v>
      </c>
      <c r="L140" s="3893" t="s">
        <v>8126</v>
      </c>
      <c r="M140" s="3893" t="s">
        <v>8127</v>
      </c>
      <c r="N140" s="3893" t="s">
        <v>8128</v>
      </c>
      <c r="O140" s="3903" t="s">
        <v>8129</v>
      </c>
      <c r="P140" s="3893" t="s">
        <v>8130</v>
      </c>
      <c r="Q140" s="3893" t="s">
        <v>8134</v>
      </c>
      <c r="R140" s="3900" t="s">
        <v>8083</v>
      </c>
      <c r="S140" s="3901"/>
      <c r="T140" s="3902"/>
      <c r="U140" s="1836"/>
      <c r="V140" s="117"/>
      <c r="W140" s="117"/>
      <c r="X140" s="117"/>
    </row>
    <row r="141" spans="2:28" ht="47.25" customHeight="1" x14ac:dyDescent="0.2">
      <c r="B141" s="1797"/>
      <c r="C141" s="59"/>
      <c r="D141" s="3895"/>
      <c r="E141" s="3893"/>
      <c r="F141" s="3875"/>
      <c r="G141" s="3893"/>
      <c r="H141" s="3893"/>
      <c r="I141" s="3893"/>
      <c r="J141" s="3893"/>
      <c r="K141" s="3893"/>
      <c r="L141" s="3893"/>
      <c r="M141" s="3893"/>
      <c r="N141" s="3893"/>
      <c r="O141" s="3892"/>
      <c r="P141" s="3893"/>
      <c r="Q141" s="3893"/>
      <c r="R141" s="18" t="s">
        <v>8131</v>
      </c>
      <c r="S141" s="18" t="s">
        <v>8132</v>
      </c>
      <c r="T141" s="18" t="s">
        <v>8133</v>
      </c>
      <c r="U141" s="1836"/>
      <c r="V141" s="117"/>
      <c r="W141" s="117"/>
      <c r="X141" s="117"/>
    </row>
    <row r="142" spans="2:28" x14ac:dyDescent="0.2">
      <c r="B142" s="1797"/>
      <c r="C142" s="59"/>
      <c r="D142" s="1998">
        <v>1</v>
      </c>
      <c r="E142" s="2676"/>
      <c r="F142" s="2675" t="s">
        <v>23</v>
      </c>
      <c r="G142" s="2675" t="s">
        <v>23</v>
      </c>
      <c r="H142" s="2675" t="s">
        <v>23</v>
      </c>
      <c r="I142" s="2675" t="s">
        <v>23</v>
      </c>
      <c r="J142" s="2675" t="s">
        <v>23</v>
      </c>
      <c r="K142" s="2675" t="s">
        <v>23</v>
      </c>
      <c r="L142" s="2675" t="s">
        <v>23</v>
      </c>
      <c r="M142" s="2675" t="s">
        <v>23</v>
      </c>
      <c r="N142" s="2675" t="s">
        <v>23</v>
      </c>
      <c r="O142" s="2675" t="s">
        <v>23</v>
      </c>
      <c r="P142" s="2427"/>
      <c r="Q142" s="2654"/>
      <c r="R142" s="2654"/>
      <c r="S142" s="2427"/>
      <c r="T142" s="2427"/>
      <c r="U142" s="1836"/>
      <c r="V142" s="117"/>
      <c r="W142" s="117"/>
      <c r="X142" s="117"/>
    </row>
    <row r="143" spans="2:28" x14ac:dyDescent="0.2">
      <c r="B143" s="1797"/>
      <c r="C143" s="59"/>
      <c r="D143" s="1998">
        <v>2</v>
      </c>
      <c r="E143" s="2676"/>
      <c r="F143" s="2675" t="s">
        <v>23</v>
      </c>
      <c r="G143" s="2675" t="s">
        <v>23</v>
      </c>
      <c r="H143" s="2675" t="s">
        <v>23</v>
      </c>
      <c r="I143" s="2675" t="s">
        <v>23</v>
      </c>
      <c r="J143" s="2675" t="s">
        <v>23</v>
      </c>
      <c r="K143" s="2675" t="s">
        <v>23</v>
      </c>
      <c r="L143" s="2675" t="s">
        <v>23</v>
      </c>
      <c r="M143" s="2675" t="s">
        <v>23</v>
      </c>
      <c r="N143" s="2675" t="s">
        <v>23</v>
      </c>
      <c r="O143" s="2675" t="s">
        <v>23</v>
      </c>
      <c r="P143" s="2427"/>
      <c r="Q143" s="2654"/>
      <c r="R143" s="2654"/>
      <c r="S143" s="2427"/>
      <c r="T143" s="2427"/>
      <c r="U143" s="1836"/>
      <c r="V143" s="117"/>
      <c r="W143" s="117"/>
      <c r="X143" s="117"/>
    </row>
    <row r="144" spans="2:28" x14ac:dyDescent="0.2">
      <c r="B144" s="1797"/>
      <c r="C144" s="59"/>
      <c r="D144" s="1998">
        <v>3</v>
      </c>
      <c r="E144" s="2676"/>
      <c r="F144" s="2675" t="s">
        <v>23</v>
      </c>
      <c r="G144" s="2675" t="s">
        <v>23</v>
      </c>
      <c r="H144" s="2675" t="s">
        <v>23</v>
      </c>
      <c r="I144" s="2675" t="s">
        <v>23</v>
      </c>
      <c r="J144" s="2675" t="s">
        <v>23</v>
      </c>
      <c r="K144" s="2675" t="s">
        <v>23</v>
      </c>
      <c r="L144" s="2675" t="s">
        <v>23</v>
      </c>
      <c r="M144" s="2675" t="s">
        <v>23</v>
      </c>
      <c r="N144" s="2675" t="s">
        <v>23</v>
      </c>
      <c r="O144" s="2675" t="s">
        <v>23</v>
      </c>
      <c r="P144" s="2427"/>
      <c r="Q144" s="2654"/>
      <c r="R144" s="2654"/>
      <c r="S144" s="2427"/>
      <c r="T144" s="2427"/>
      <c r="U144" s="1836"/>
      <c r="V144" s="117"/>
      <c r="W144" s="117"/>
      <c r="X144" s="117"/>
    </row>
    <row r="145" spans="2:24" x14ac:dyDescent="0.2">
      <c r="B145" s="1797"/>
      <c r="C145" s="59"/>
      <c r="D145" s="1998">
        <f>D144+1</f>
        <v>4</v>
      </c>
      <c r="E145" s="2676"/>
      <c r="F145" s="2675" t="s">
        <v>23</v>
      </c>
      <c r="G145" s="2675" t="s">
        <v>23</v>
      </c>
      <c r="H145" s="2675" t="s">
        <v>23</v>
      </c>
      <c r="I145" s="2675" t="s">
        <v>23</v>
      </c>
      <c r="J145" s="2675" t="s">
        <v>23</v>
      </c>
      <c r="K145" s="2675" t="s">
        <v>23</v>
      </c>
      <c r="L145" s="2675" t="s">
        <v>23</v>
      </c>
      <c r="M145" s="2675" t="s">
        <v>23</v>
      </c>
      <c r="N145" s="2675" t="s">
        <v>23</v>
      </c>
      <c r="O145" s="2675" t="s">
        <v>23</v>
      </c>
      <c r="P145" s="2427"/>
      <c r="Q145" s="2654"/>
      <c r="R145" s="2654"/>
      <c r="S145" s="2427"/>
      <c r="T145" s="2427"/>
      <c r="U145" s="1836"/>
      <c r="V145" s="117"/>
      <c r="W145" s="117"/>
      <c r="X145" s="117"/>
    </row>
    <row r="146" spans="2:24" x14ac:dyDescent="0.2">
      <c r="B146" s="1797"/>
      <c r="C146" s="59"/>
      <c r="D146" s="1998">
        <f>D145+1</f>
        <v>5</v>
      </c>
      <c r="E146" s="2676"/>
      <c r="F146" s="2675" t="s">
        <v>23</v>
      </c>
      <c r="G146" s="2675" t="s">
        <v>23</v>
      </c>
      <c r="H146" s="2675" t="s">
        <v>23</v>
      </c>
      <c r="I146" s="2675" t="s">
        <v>23</v>
      </c>
      <c r="J146" s="2675" t="s">
        <v>23</v>
      </c>
      <c r="K146" s="2675" t="s">
        <v>23</v>
      </c>
      <c r="L146" s="2675" t="s">
        <v>23</v>
      </c>
      <c r="M146" s="2675" t="s">
        <v>23</v>
      </c>
      <c r="N146" s="2675" t="s">
        <v>23</v>
      </c>
      <c r="O146" s="2675" t="s">
        <v>23</v>
      </c>
      <c r="P146" s="2427"/>
      <c r="Q146" s="2654"/>
      <c r="R146" s="2654"/>
      <c r="S146" s="2427"/>
      <c r="T146" s="2427"/>
      <c r="U146" s="1836"/>
      <c r="V146" s="117"/>
      <c r="W146" s="117"/>
      <c r="X146" s="117"/>
    </row>
    <row r="147" spans="2:24" x14ac:dyDescent="0.2">
      <c r="B147" s="1797"/>
      <c r="C147" s="60"/>
      <c r="D147" s="1998">
        <f>D146+1</f>
        <v>6</v>
      </c>
      <c r="E147" s="2676"/>
      <c r="F147" s="2675" t="s">
        <v>23</v>
      </c>
      <c r="G147" s="2675" t="s">
        <v>23</v>
      </c>
      <c r="H147" s="2675" t="s">
        <v>23</v>
      </c>
      <c r="I147" s="2675" t="s">
        <v>23</v>
      </c>
      <c r="J147" s="2675" t="s">
        <v>23</v>
      </c>
      <c r="K147" s="2675" t="s">
        <v>23</v>
      </c>
      <c r="L147" s="2675" t="s">
        <v>23</v>
      </c>
      <c r="M147" s="2675" t="s">
        <v>23</v>
      </c>
      <c r="N147" s="2675" t="s">
        <v>23</v>
      </c>
      <c r="O147" s="2675" t="s">
        <v>23</v>
      </c>
      <c r="P147" s="2427"/>
      <c r="Q147" s="2654"/>
      <c r="R147" s="2654"/>
      <c r="S147" s="2427"/>
      <c r="T147" s="2427"/>
      <c r="U147" s="1836"/>
      <c r="V147" s="117"/>
      <c r="W147" s="117"/>
      <c r="X147" s="117"/>
    </row>
    <row r="148" spans="2:24" x14ac:dyDescent="0.2">
      <c r="B148" s="1797"/>
      <c r="C148" s="1133"/>
      <c r="D148" s="1133"/>
      <c r="E148" s="1133"/>
      <c r="F148" s="1133"/>
      <c r="G148" s="1133"/>
      <c r="H148" s="1133"/>
      <c r="I148" s="1133"/>
      <c r="J148" s="1133"/>
      <c r="K148" s="1133"/>
      <c r="L148" s="1133"/>
      <c r="M148" s="1133"/>
      <c r="N148" s="1133"/>
      <c r="O148" s="848"/>
      <c r="P148" s="1133"/>
      <c r="Q148" s="1133"/>
      <c r="R148" s="1133"/>
      <c r="S148" s="1133"/>
      <c r="T148" s="1133"/>
      <c r="U148" s="1836"/>
      <c r="V148" s="117"/>
    </row>
    <row r="149" spans="2:24" ht="12.75" customHeight="1" x14ac:dyDescent="0.2">
      <c r="B149" s="1797"/>
      <c r="C149" s="1133"/>
      <c r="D149" s="3309"/>
      <c r="E149" s="3309"/>
      <c r="F149" s="1133"/>
      <c r="G149" s="1133"/>
      <c r="H149" s="1133"/>
      <c r="I149" s="1133"/>
      <c r="J149" s="1133"/>
      <c r="K149" s="1133"/>
      <c r="L149" s="1133"/>
      <c r="M149" s="1133"/>
      <c r="N149" s="1133"/>
      <c r="O149" s="1133"/>
      <c r="P149" s="1133"/>
      <c r="Q149" s="1133"/>
      <c r="R149" s="1133"/>
      <c r="S149" s="1133"/>
      <c r="T149" s="1133"/>
      <c r="U149" s="1836"/>
      <c r="V149" s="117"/>
      <c r="W149" s="117"/>
    </row>
    <row r="150" spans="2:24" ht="12.75" customHeight="1" x14ac:dyDescent="0.2">
      <c r="B150" s="1797"/>
      <c r="C150" s="1133"/>
      <c r="D150" s="3309"/>
      <c r="E150" s="3309"/>
      <c r="F150" s="1133"/>
      <c r="G150" s="1133"/>
      <c r="H150" s="1133"/>
      <c r="I150" s="1133"/>
      <c r="J150" s="1133"/>
      <c r="K150" s="1133"/>
      <c r="L150" s="1133"/>
      <c r="M150" s="1133"/>
      <c r="N150" s="1133"/>
      <c r="O150" s="1133"/>
      <c r="P150" s="1133"/>
      <c r="Q150" s="1133"/>
      <c r="R150" s="1133"/>
      <c r="S150" s="1133"/>
      <c r="T150" s="1133"/>
      <c r="U150" s="1836"/>
      <c r="V150" s="117"/>
      <c r="W150" s="117"/>
    </row>
    <row r="151" spans="2:24" ht="12.75" customHeight="1" x14ac:dyDescent="0.2">
      <c r="B151" s="1797"/>
      <c r="C151" s="2055" t="s">
        <v>7134</v>
      </c>
      <c r="D151" s="228" t="s">
        <v>7278</v>
      </c>
      <c r="E151" s="769"/>
      <c r="F151" s="769"/>
      <c r="G151" s="1837"/>
      <c r="H151" s="1837"/>
      <c r="I151" s="1837"/>
      <c r="J151" s="1837"/>
      <c r="K151" s="1837"/>
      <c r="L151" s="1837"/>
      <c r="M151" s="1896"/>
      <c r="N151" s="128"/>
      <c r="O151" s="128"/>
      <c r="P151" s="128"/>
      <c r="Q151" s="128"/>
      <c r="R151" s="1133"/>
      <c r="S151" s="1133"/>
      <c r="T151" s="1133"/>
      <c r="U151" s="1836"/>
      <c r="V151" s="117"/>
      <c r="W151" s="117"/>
    </row>
    <row r="152" spans="2:24" ht="15" customHeight="1" x14ac:dyDescent="0.2">
      <c r="B152" s="1797"/>
      <c r="C152" s="201"/>
      <c r="D152" s="3895" t="s">
        <v>9697</v>
      </c>
      <c r="E152" s="3893" t="s">
        <v>8098</v>
      </c>
      <c r="F152" s="3874" t="s">
        <v>8089</v>
      </c>
      <c r="G152" s="3893" t="s">
        <v>8135</v>
      </c>
      <c r="H152" s="3893" t="s">
        <v>8136</v>
      </c>
      <c r="I152" s="3893" t="s">
        <v>8137</v>
      </c>
      <c r="J152" s="3893" t="s">
        <v>8138</v>
      </c>
      <c r="K152" s="3893" t="s">
        <v>8139</v>
      </c>
      <c r="L152" s="3900" t="s">
        <v>8141</v>
      </c>
      <c r="M152" s="3901"/>
      <c r="N152" s="3902"/>
      <c r="O152" s="1133"/>
      <c r="P152" s="1133"/>
      <c r="Q152" s="1133"/>
      <c r="R152" s="1133"/>
      <c r="S152" s="1133"/>
      <c r="T152" s="1133"/>
      <c r="U152" s="1836"/>
      <c r="V152" s="117"/>
      <c r="W152" s="117"/>
      <c r="X152" s="117"/>
    </row>
    <row r="153" spans="2:24" ht="54" customHeight="1" x14ac:dyDescent="0.2">
      <c r="B153" s="1797"/>
      <c r="C153" s="59"/>
      <c r="D153" s="3895"/>
      <c r="E153" s="3893"/>
      <c r="F153" s="3875"/>
      <c r="G153" s="3893"/>
      <c r="H153" s="3893"/>
      <c r="I153" s="3893"/>
      <c r="J153" s="3893"/>
      <c r="K153" s="3893"/>
      <c r="L153" s="18" t="s">
        <v>8140</v>
      </c>
      <c r="M153" s="18" t="s">
        <v>8142</v>
      </c>
      <c r="N153" s="18" t="s">
        <v>8143</v>
      </c>
      <c r="O153" s="1133"/>
      <c r="P153" s="1133"/>
      <c r="Q153" s="1133"/>
      <c r="R153" s="1133"/>
      <c r="S153" s="1133"/>
      <c r="T153" s="1133"/>
      <c r="U153" s="1836"/>
      <c r="V153" s="117"/>
      <c r="W153" s="117"/>
      <c r="X153" s="117"/>
    </row>
    <row r="154" spans="2:24" x14ac:dyDescent="0.2">
      <c r="B154" s="1797"/>
      <c r="C154" s="59"/>
      <c r="D154" s="1998">
        <v>1</v>
      </c>
      <c r="E154" s="2676"/>
      <c r="F154" s="2675" t="s">
        <v>23</v>
      </c>
      <c r="G154" s="2675" t="s">
        <v>23</v>
      </c>
      <c r="H154" s="2675" t="s">
        <v>23</v>
      </c>
      <c r="I154" s="2674"/>
      <c r="J154" s="2675" t="s">
        <v>23</v>
      </c>
      <c r="K154" s="2096"/>
      <c r="L154" s="2674"/>
      <c r="M154" s="2096"/>
      <c r="N154" s="2096"/>
      <c r="O154" s="1133"/>
      <c r="P154" s="1133"/>
      <c r="Q154" s="1133"/>
      <c r="R154" s="1133"/>
      <c r="S154" s="1133"/>
      <c r="T154" s="1133"/>
      <c r="U154" s="1836"/>
      <c r="V154" s="117"/>
      <c r="W154" s="117"/>
      <c r="X154" s="117"/>
    </row>
    <row r="155" spans="2:24" x14ac:dyDescent="0.2">
      <c r="B155" s="1797"/>
      <c r="C155" s="59"/>
      <c r="D155" s="1998">
        <v>2</v>
      </c>
      <c r="E155" s="2676"/>
      <c r="F155" s="2675" t="s">
        <v>23</v>
      </c>
      <c r="G155" s="2675" t="s">
        <v>23</v>
      </c>
      <c r="H155" s="2675" t="s">
        <v>23</v>
      </c>
      <c r="I155" s="2674"/>
      <c r="J155" s="2675" t="s">
        <v>23</v>
      </c>
      <c r="K155" s="2096"/>
      <c r="L155" s="2674"/>
      <c r="M155" s="2096"/>
      <c r="N155" s="2096"/>
      <c r="O155" s="1133"/>
      <c r="P155" s="1133"/>
      <c r="Q155" s="1133"/>
      <c r="R155" s="1133"/>
      <c r="S155" s="1133"/>
      <c r="T155" s="1133"/>
      <c r="U155" s="1836"/>
      <c r="V155" s="117"/>
      <c r="W155" s="117"/>
      <c r="X155" s="117"/>
    </row>
    <row r="156" spans="2:24" x14ac:dyDescent="0.2">
      <c r="B156" s="1797"/>
      <c r="C156" s="59"/>
      <c r="D156" s="1998">
        <v>3</v>
      </c>
      <c r="E156" s="2676"/>
      <c r="F156" s="2675" t="s">
        <v>23</v>
      </c>
      <c r="G156" s="2675" t="s">
        <v>23</v>
      </c>
      <c r="H156" s="2675" t="s">
        <v>23</v>
      </c>
      <c r="I156" s="2674"/>
      <c r="J156" s="2675" t="s">
        <v>23</v>
      </c>
      <c r="K156" s="2096"/>
      <c r="L156" s="2674"/>
      <c r="M156" s="2096"/>
      <c r="N156" s="2096"/>
      <c r="O156" s="1133"/>
      <c r="P156" s="1133"/>
      <c r="Q156" s="1133"/>
      <c r="R156" s="1133"/>
      <c r="S156" s="1133"/>
      <c r="T156" s="1133"/>
      <c r="U156" s="1836"/>
      <c r="V156" s="117"/>
      <c r="W156" s="117"/>
      <c r="X156" s="117"/>
    </row>
    <row r="157" spans="2:24" x14ac:dyDescent="0.2">
      <c r="B157" s="1797"/>
      <c r="C157" s="59"/>
      <c r="D157" s="1998">
        <f>D156+1</f>
        <v>4</v>
      </c>
      <c r="E157" s="2676"/>
      <c r="F157" s="2675" t="s">
        <v>23</v>
      </c>
      <c r="G157" s="2675" t="s">
        <v>23</v>
      </c>
      <c r="H157" s="2675" t="s">
        <v>23</v>
      </c>
      <c r="I157" s="2674"/>
      <c r="J157" s="2675" t="s">
        <v>23</v>
      </c>
      <c r="K157" s="2096"/>
      <c r="L157" s="2674"/>
      <c r="M157" s="2096"/>
      <c r="N157" s="2096"/>
      <c r="O157" s="1133"/>
      <c r="P157" s="1133"/>
      <c r="Q157" s="1133"/>
      <c r="R157" s="1133"/>
      <c r="S157" s="1133"/>
      <c r="T157" s="1133"/>
      <c r="U157" s="1836"/>
      <c r="V157" s="117"/>
      <c r="W157" s="117"/>
      <c r="X157" s="117"/>
    </row>
    <row r="158" spans="2:24" x14ac:dyDescent="0.2">
      <c r="B158" s="1797"/>
      <c r="C158" s="59"/>
      <c r="D158" s="1998">
        <f>D157+1</f>
        <v>5</v>
      </c>
      <c r="E158" s="2676"/>
      <c r="F158" s="2675" t="s">
        <v>23</v>
      </c>
      <c r="G158" s="2675" t="s">
        <v>23</v>
      </c>
      <c r="H158" s="2675" t="s">
        <v>23</v>
      </c>
      <c r="I158" s="2674"/>
      <c r="J158" s="2675" t="s">
        <v>23</v>
      </c>
      <c r="K158" s="2096"/>
      <c r="L158" s="2674"/>
      <c r="M158" s="2096"/>
      <c r="N158" s="2096"/>
      <c r="O158" s="1133"/>
      <c r="P158" s="1133"/>
      <c r="Q158" s="1133"/>
      <c r="R158" s="1133"/>
      <c r="S158" s="1133"/>
      <c r="T158" s="1133"/>
      <c r="U158" s="1836"/>
      <c r="V158" s="117"/>
      <c r="W158" s="117"/>
      <c r="X158" s="117"/>
    </row>
    <row r="159" spans="2:24" x14ac:dyDescent="0.2">
      <c r="B159" s="1797"/>
      <c r="C159" s="60"/>
      <c r="D159" s="1998">
        <f>D158+1</f>
        <v>6</v>
      </c>
      <c r="E159" s="2676"/>
      <c r="F159" s="2675" t="s">
        <v>23</v>
      </c>
      <c r="G159" s="2675" t="s">
        <v>23</v>
      </c>
      <c r="H159" s="2675" t="s">
        <v>23</v>
      </c>
      <c r="I159" s="2674"/>
      <c r="J159" s="2675" t="s">
        <v>23</v>
      </c>
      <c r="K159" s="2096"/>
      <c r="L159" s="2674"/>
      <c r="M159" s="2096"/>
      <c r="N159" s="2096"/>
      <c r="O159" s="1133"/>
      <c r="P159" s="1133"/>
      <c r="Q159" s="1133"/>
      <c r="R159" s="1133"/>
      <c r="S159" s="1133"/>
      <c r="T159" s="1133"/>
      <c r="U159" s="1836"/>
      <c r="V159" s="117"/>
      <c r="W159" s="117"/>
      <c r="X159" s="117"/>
    </row>
    <row r="160" spans="2:24" x14ac:dyDescent="0.2">
      <c r="B160" s="1797"/>
      <c r="C160" s="1133"/>
      <c r="D160" s="1133"/>
      <c r="E160" s="1133"/>
      <c r="F160" s="1133"/>
      <c r="G160" s="1133"/>
      <c r="H160" s="1133"/>
      <c r="I160" s="1133"/>
      <c r="J160" s="1133"/>
      <c r="K160" s="1133"/>
      <c r="L160" s="1133"/>
      <c r="M160" s="1133"/>
      <c r="N160" s="1133"/>
      <c r="O160" s="1133"/>
      <c r="P160" s="1133"/>
      <c r="Q160" s="1133"/>
      <c r="R160" s="1133"/>
      <c r="S160" s="1133"/>
      <c r="T160" s="1133"/>
      <c r="U160" s="1836"/>
    </row>
    <row r="161" spans="2:21" ht="12.75" customHeight="1" x14ac:dyDescent="0.2">
      <c r="B161" s="1797"/>
      <c r="C161" s="1133"/>
      <c r="D161" s="3309"/>
      <c r="E161" s="3309"/>
      <c r="F161" s="1133"/>
      <c r="G161" s="1133"/>
      <c r="H161" s="1133"/>
      <c r="I161" s="1133"/>
      <c r="J161" s="1133"/>
      <c r="K161" s="1133"/>
      <c r="L161" s="1133"/>
      <c r="M161" s="1133"/>
      <c r="N161" s="1133"/>
      <c r="O161" s="1133"/>
      <c r="P161" s="1133"/>
      <c r="Q161" s="1133"/>
      <c r="R161" s="1133"/>
      <c r="S161" s="1133"/>
      <c r="T161" s="1133"/>
      <c r="U161" s="1836"/>
    </row>
    <row r="162" spans="2:21" ht="12.75" customHeight="1" x14ac:dyDescent="0.2">
      <c r="B162" s="1797"/>
      <c r="C162" s="1133"/>
      <c r="D162" s="3309"/>
      <c r="E162" s="3309"/>
      <c r="F162" s="1133"/>
      <c r="G162" s="1133"/>
      <c r="H162" s="1133"/>
      <c r="I162" s="1133"/>
      <c r="J162" s="1133"/>
      <c r="K162" s="1133"/>
      <c r="L162" s="1133"/>
      <c r="M162" s="1133"/>
      <c r="N162" s="1133"/>
      <c r="O162" s="1133"/>
      <c r="P162" s="1133"/>
      <c r="Q162" s="1133"/>
      <c r="R162" s="1133"/>
      <c r="S162" s="1133"/>
      <c r="T162" s="1133"/>
      <c r="U162" s="1836"/>
    </row>
    <row r="163" spans="2:21" ht="30" customHeight="1" x14ac:dyDescent="0.2">
      <c r="B163" s="1797"/>
      <c r="C163" s="836" t="s">
        <v>818</v>
      </c>
      <c r="D163" s="2996" t="s">
        <v>7279</v>
      </c>
      <c r="E163" s="2997"/>
      <c r="F163" s="2997"/>
      <c r="G163" s="2997"/>
      <c r="H163" s="2997"/>
      <c r="I163" s="2997"/>
      <c r="J163" s="2997"/>
      <c r="K163" s="2997"/>
      <c r="L163" s="2997"/>
      <c r="M163" s="2998"/>
      <c r="N163" s="1133"/>
      <c r="O163" s="1133"/>
      <c r="P163" s="1133"/>
      <c r="Q163" s="1133"/>
      <c r="R163" s="1133"/>
      <c r="S163" s="1133"/>
      <c r="T163" s="1133"/>
      <c r="U163" s="1836"/>
    </row>
    <row r="164" spans="2:21" ht="21" customHeight="1" thickBot="1" x14ac:dyDescent="0.25">
      <c r="B164" s="1824"/>
      <c r="C164" s="1825"/>
      <c r="D164" s="1825"/>
      <c r="E164" s="1825"/>
      <c r="F164" s="1825"/>
      <c r="G164" s="1825"/>
      <c r="H164" s="1825"/>
      <c r="I164" s="1825"/>
      <c r="J164" s="1825"/>
      <c r="K164" s="1825"/>
      <c r="L164" s="1825"/>
      <c r="M164" s="1825"/>
      <c r="N164" s="1825"/>
      <c r="O164" s="1825"/>
      <c r="P164" s="1825"/>
      <c r="Q164" s="1825"/>
      <c r="R164" s="1825"/>
      <c r="S164" s="1825"/>
      <c r="T164" s="1825"/>
      <c r="U164" s="1845"/>
    </row>
    <row r="165" spans="2:21" x14ac:dyDescent="0.2"/>
    <row r="166" spans="2:21" x14ac:dyDescent="0.2"/>
    <row r="167" spans="2:21" x14ac:dyDescent="0.2"/>
    <row r="168" spans="2:2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6" hidden="1" x14ac:dyDescent="0.2"/>
    <row r="432" hidden="1" x14ac:dyDescent="0.2"/>
    <row r="65291" hidden="1" x14ac:dyDescent="0.2"/>
    <row r="65535" hidden="1" x14ac:dyDescent="0.2"/>
  </sheetData>
  <sheetProtection algorithmName="SHA-512" hashValue="uEwKgLYgzHfkkJetFy6IAExUJETy07ZFipinPwZZ3CSaBeTB0hLQgCRQb/lFBh0r+rq7cPh44BJHNkP8C3/5vg==" saltValue="vPYkP1GPu/wXfUtg9EEp+w==" spinCount="100000" sheet="1" objects="1" scenarios="1"/>
  <mergeCells count="134">
    <mergeCell ref="M50:M51"/>
    <mergeCell ref="R140:T140"/>
    <mergeCell ref="D152:D153"/>
    <mergeCell ref="E152:E153"/>
    <mergeCell ref="G152:G153"/>
    <mergeCell ref="H152:H153"/>
    <mergeCell ref="L140:L141"/>
    <mergeCell ref="I152:I153"/>
    <mergeCell ref="K140:K141"/>
    <mergeCell ref="N125:P125"/>
    <mergeCell ref="K125:K126"/>
    <mergeCell ref="L152:N152"/>
    <mergeCell ref="J152:J153"/>
    <mergeCell ref="J140:J141"/>
    <mergeCell ref="I140:I141"/>
    <mergeCell ref="P140:P141"/>
    <mergeCell ref="M140:M141"/>
    <mergeCell ref="D140:D141"/>
    <mergeCell ref="Q140:Q141"/>
    <mergeCell ref="F125:F126"/>
    <mergeCell ref="D125:D126"/>
    <mergeCell ref="C134:H134"/>
    <mergeCell ref="G125:G126"/>
    <mergeCell ref="L109:L110"/>
    <mergeCell ref="L22:L23"/>
    <mergeCell ref="K50:K51"/>
    <mergeCell ref="E50:E51"/>
    <mergeCell ref="L50:L51"/>
    <mergeCell ref="D149:E150"/>
    <mergeCell ref="M125:M126"/>
    <mergeCell ref="D119:E120"/>
    <mergeCell ref="I79:I80"/>
    <mergeCell ref="H109:H110"/>
    <mergeCell ref="C103:F103"/>
    <mergeCell ref="G94:G95"/>
    <mergeCell ref="D109:D110"/>
    <mergeCell ref="D89:E90"/>
    <mergeCell ref="J94:J95"/>
    <mergeCell ref="F94:F95"/>
    <mergeCell ref="K94:K95"/>
    <mergeCell ref="D94:D95"/>
    <mergeCell ref="I94:I95"/>
    <mergeCell ref="H94:H95"/>
    <mergeCell ref="G64:G65"/>
    <mergeCell ref="C118:F118"/>
    <mergeCell ref="F140:F141"/>
    <mergeCell ref="K109:K110"/>
    <mergeCell ref="J64:J65"/>
    <mergeCell ref="D163:M163"/>
    <mergeCell ref="O140:O141"/>
    <mergeCell ref="I125:I126"/>
    <mergeCell ref="L125:L126"/>
    <mergeCell ref="J125:J126"/>
    <mergeCell ref="H125:H126"/>
    <mergeCell ref="D161:E162"/>
    <mergeCell ref="K152:K153"/>
    <mergeCell ref="F152:F153"/>
    <mergeCell ref="N140:N141"/>
    <mergeCell ref="E140:E141"/>
    <mergeCell ref="G140:G141"/>
    <mergeCell ref="H140:H141"/>
    <mergeCell ref="N50:N51"/>
    <mergeCell ref="M36:M37"/>
    <mergeCell ref="J79:J80"/>
    <mergeCell ref="C59:K59"/>
    <mergeCell ref="D135:E136"/>
    <mergeCell ref="E125:E126"/>
    <mergeCell ref="J109:J110"/>
    <mergeCell ref="M22:M23"/>
    <mergeCell ref="D35:O35"/>
    <mergeCell ref="N36:O36"/>
    <mergeCell ref="N22:N23"/>
    <mergeCell ref="C45:K45"/>
    <mergeCell ref="E94:E95"/>
    <mergeCell ref="D104:E105"/>
    <mergeCell ref="E109:E110"/>
    <mergeCell ref="G109:G110"/>
    <mergeCell ref="I109:I110"/>
    <mergeCell ref="F109:F110"/>
    <mergeCell ref="M94:O94"/>
    <mergeCell ref="O79:Q79"/>
    <mergeCell ref="M79:M80"/>
    <mergeCell ref="O50:O51"/>
    <mergeCell ref="M109:O109"/>
    <mergeCell ref="L94:L95"/>
    <mergeCell ref="C11:C16"/>
    <mergeCell ref="D49:O49"/>
    <mergeCell ref="E79:E80"/>
    <mergeCell ref="D79:D80"/>
    <mergeCell ref="H79:H80"/>
    <mergeCell ref="G79:G80"/>
    <mergeCell ref="E13:I13"/>
    <mergeCell ref="E14:I14"/>
    <mergeCell ref="E15:I15"/>
    <mergeCell ref="E36:E37"/>
    <mergeCell ref="D64:D65"/>
    <mergeCell ref="G36:G37"/>
    <mergeCell ref="G50:G51"/>
    <mergeCell ref="H50:H51"/>
    <mergeCell ref="J50:J51"/>
    <mergeCell ref="D36:D37"/>
    <mergeCell ref="D21:N21"/>
    <mergeCell ref="L79:L80"/>
    <mergeCell ref="K36:K37"/>
    <mergeCell ref="J36:J37"/>
    <mergeCell ref="E64:E65"/>
    <mergeCell ref="N79:N80"/>
    <mergeCell ref="K22:K23"/>
    <mergeCell ref="L36:L37"/>
    <mergeCell ref="J22:J23"/>
    <mergeCell ref="H64:H65"/>
    <mergeCell ref="I64:I65"/>
    <mergeCell ref="D63:K63"/>
    <mergeCell ref="K79:K80"/>
    <mergeCell ref="G22:G23"/>
    <mergeCell ref="D50:D51"/>
    <mergeCell ref="C31:K31"/>
    <mergeCell ref="D22:D23"/>
    <mergeCell ref="E22:E23"/>
    <mergeCell ref="F22:F23"/>
    <mergeCell ref="K64:K65"/>
    <mergeCell ref="F50:F51"/>
    <mergeCell ref="F64:F65"/>
    <mergeCell ref="H36:H37"/>
    <mergeCell ref="I36:I37"/>
    <mergeCell ref="D4:I4"/>
    <mergeCell ref="D5:I5"/>
    <mergeCell ref="D12:I12"/>
    <mergeCell ref="F36:F37"/>
    <mergeCell ref="I50:I51"/>
    <mergeCell ref="D11:F11"/>
    <mergeCell ref="F79:F80"/>
    <mergeCell ref="H22:H23"/>
    <mergeCell ref="I22:I23"/>
  </mergeCells>
  <dataValidations count="72">
    <dataValidation type="textLength" operator="lessThanOrEqual" allowBlank="1" showErrorMessage="1" errorTitle="Tax Identification Number" error="Tax Identification Number can not be more than 16 characters." sqref="F7:H7 F9:H10 C8:H8 D9:D10">
      <formula1>16</formula1>
    </dataValidation>
    <dataValidation type="whole" allowBlank="1" showErrorMessage="1" errorTitle="Total Tax Relief Claimed" error="Total tax relief claimed (in Rupees) can not be more than 14 digits. Non negatives,No decimals values only allowed." sqref="J13">
      <formula1>0</formula1>
      <formula2>99999999999999</formula2>
    </dataValidation>
    <dataValidation type="whole" allowBlank="1" showErrorMessage="1" errorTitle="TotalTaxesPaidOutsideIndiaDTAA" error="Total taxex paid outside India where DTAA is applicable (in Rupees) can not be more than 14 digits. Non negatives,No decimals values only allowed." sqref="J14">
      <formula1>0</formula1>
      <formula2>99999999999999</formula2>
    </dataValidation>
    <dataValidation type="textLength" operator="lessThanOrEqual" allowBlank="1" showErrorMessage="1" errorTitle="Relevant article of DTAA" error="Should not exceed 16 characters" sqref="G11">
      <formula1>16</formula1>
    </dataValidation>
    <dataValidation type="whole" allowBlank="1" showErrorMessage="1" errorTitle="Relief claimed u/s 90/90A" error="Relief claimed u/s 90/90A (in Rupees) can not be more than 14 digits. Non negatives,No decimals values only allowed." sqref="H11">
      <formula1>0</formula1>
      <formula2>99999999999999</formula2>
    </dataValidation>
    <dataValidation allowBlank="1" showErrorMessage="1" errorTitle="CountryCode" error="  Please select from list" sqref="E7 E9:E10"/>
    <dataValidation type="whole" allowBlank="1" showErrorMessage="1" error="Amount entered should be Numeric , Non Negative , No Decimal upto 14 digits" sqref="F16">
      <formula1>0</formula1>
      <formula2>99999999999999</formula2>
    </dataValidation>
    <dataValidation type="textLength" allowBlank="1" showErrorMessage="1" error="Enter in format yyyy-yy ex: 2013-14" sqref="J16">
      <formula1>7</formula1>
      <formula2>7</formula2>
    </dataValidation>
    <dataValidation type="list" allowBlank="1" showErrorMessage="1" error="Select YES/NO" sqref="J15">
      <formula1>"(Select),YES,NO"</formula1>
    </dataValidation>
    <dataValidation type="textLength" operator="lessThanOrEqual" allowBlank="1" showErrorMessage="1" errorTitle="Account Number" error="Account Number max 34 characters" sqref="J127:J132">
      <formula1>34</formula1>
    </dataValidation>
    <dataValidation type="textLength" operator="lessThanOrEqual" allowBlank="1" showErrorMessage="1" errorTitle="Address of the Entity" error="Address of the Entity can not be more than 200 characters." sqref="I81:I86">
      <formula1>200</formula1>
    </dataValidation>
    <dataValidation type="textLength" operator="lessThanOrEqual" allowBlank="1" showErrorMessage="1" errorTitle="Name of the Entity" error="Name of the Entity can not be more than 125 characters." sqref="H81:H86">
      <formula1>125</formula1>
    </dataValidation>
    <dataValidation type="textLength" operator="lessThanOrEqual" allowBlank="1" showErrorMessage="1" errorTitle="Nature of Entity" error="Nature of entity can not be more than 100 characters." sqref="G81:G86">
      <formula1>100</formula1>
    </dataValidation>
    <dataValidation type="whole" allowBlank="1" showErrorMessage="1" errorTitle="Total Investment" error="Total Investment (in Rupees) can not be more than 14 digits. Non negatives,No decimals values only allowed." sqref="L81:L86 J111:J116">
      <formula1>0</formula1>
      <formula2>99999999999999</formula2>
    </dataValidation>
    <dataValidation type="textLength" operator="lessThanOrEqual" allowBlank="1" showErrorMessage="1" errorTitle="Address of the Property" error="Address of the Property can not be more than 200 characters." sqref="G96:G101">
      <formula1>200</formula1>
    </dataValidation>
    <dataValidation type="textLength" operator="lessThanOrEqual" allowBlank="1" showErrorMessage="1" errorTitle="Name Mentioned in the Account  " error="Name mentioned in the account can not be more than 125 characters." sqref="I127:I132">
      <formula1>125</formula1>
    </dataValidation>
    <dataValidation type="textLength" operator="lessThanOrEqual" allowBlank="1" showErrorMessage="1" error="Name can not be more than 125 characters." sqref="K142:K147 M142:M147 G142:G147 I142:I147">
      <formula1>125</formula1>
    </dataValidation>
    <dataValidation type="textLength" operator="lessThanOrEqual" allowBlank="1" showErrorMessage="1" error="Address Cannot be more than 200 characters" sqref="L142:L147 H142:H147 J142:J147 N142:N147">
      <formula1>200</formula1>
    </dataValidation>
    <dataValidation type="textLength" operator="lessThanOrEqual" allowBlank="1" showErrorMessage="1" errorTitle="Nature of Asset" error="Nature of Asset can not be more than 100 characters." sqref="G111:G116">
      <formula1>100</formula1>
    </dataValidation>
    <dataValidation type="textLength" operator="equal" allowBlank="1" showErrorMessage="1" errorTitle="Date Since Held" error="Date Since Held is invalid. Pl enter in dd/mm/yyyy format" sqref="K81:K86">
      <formula1>10</formula1>
    </dataValidation>
    <dataValidation type="textLength" operator="equal" allowBlank="1" showErrorMessage="1" errorTitle="Date Of Acquisition" error="Date Of Acquisition is invalid. Pl enter in dd/mm/yyyy format" sqref="I111:I116 I96:I101">
      <formula1>10</formula1>
    </dataValidation>
    <dataValidation type="whole" allowBlank="1" showErrorMessage="1" errorTitle="Income Derived From Asset" error="Income Derived From Asset (in Rupees) can not be more than 14 digits. No decimals values are allowed." sqref="K111:K116">
      <formula1>-99999999999999</formula1>
      <formula2>99999999999999</formula2>
    </dataValidation>
    <dataValidation type="list" allowBlank="1" showErrorMessage="1" errorTitle="Whether Income Taxable" error="Whether Income Taxable  (in Rupees) should be selected from list" sqref="K154:K159">
      <formula1>"(Select),Yes,No"</formula1>
    </dataValidation>
    <dataValidation type="textLength" operator="equal" allowBlank="1" showErrorMessage="1" errorTitle="Date Since Postion Held" error="Date Since Position Held is invalid. Pl enter in dd/mm/yyyy format" sqref="O142:O147">
      <formula1>10</formula1>
    </dataValidation>
    <dataValidation type="whole" allowBlank="1" showErrorMessage="1" errorTitle="Income Derived From Trust" error="Income Derived From Trust  (in Rupees) can not be more than 14 digits. No decimals values allowed." sqref="Q142:Q147">
      <formula1>-99999999999999</formula1>
      <formula2>99999999999999</formula2>
    </dataValidation>
    <dataValidation type="whole" allowBlank="1" showErrorMessage="1" errorTitle="Income Derived" error="Income Derived (in Rupees) can not be more than 14 digits. Numeric, No decimal,negative are allowed" sqref="I154:I159">
      <formula1>-99999999999999</formula1>
      <formula2>99999999999999</formula2>
    </dataValidation>
    <dataValidation type="list" allowBlank="1" showInputMessage="1" showErrorMessage="1" errorTitle="Country Name and Code" error="Please Select From List " sqref="E154:E159 E81:E86 E96:E101 E111:E116 G127:G132 E142:E147">
      <formula1>Country_NoIndia</formula1>
    </dataValidation>
    <dataValidation type="list" operator="lessThan" allowBlank="1" showErrorMessage="1" sqref="M154:M159 S142:S147">
      <formula1>DropdownFA_E</formula1>
    </dataValidation>
    <dataValidation type="textLength" operator="lessThan" allowBlank="1" showErrorMessage="1" errorTitle="Nature Of Income" error="Nature Of Income cannot be more than 100 Charachters" sqref="N81:N86 J154:J159 L111:L116">
      <formula1>100</formula1>
    </dataValidation>
    <dataValidation type="list" allowBlank="1" showErrorMessage="1" errorTitle="Whether Income Taxable" error="Whether Income Taxable should be selected from list" sqref="L127:L132 P142:P147">
      <formula1>"(Select),Yes,No"</formula1>
    </dataValidation>
    <dataValidation type="whole" allowBlank="1" showErrorMessage="1" errorTitle="Amount" error="Amount  (in Rupees) can not be more than 14 digits. No decimals values are allowed." sqref="N127:N132 R142:R147 O81:O86 M96:M101 M111:M116 L154:L159">
      <formula1>-99999999999999</formula1>
      <formula2>99999999999999</formula2>
    </dataValidation>
    <dataValidation type="textLength" operator="lessThan" allowBlank="1" showErrorMessage="1" errorTitle="Item Number Of Schedule" error="Item Number of Schedule  (in Rupees) can not be more than 50 Charachters" sqref="T142:T147 Q81:Q86 O96:O101 O111:O116 P127:P132 N154:N159">
      <formula1>50</formula1>
    </dataValidation>
    <dataValidation type="textLength" operator="lessThanOrEqual" allowBlank="1" showErrorMessage="1" errorTitle="Address of the Person" error="Address Cannot be more than 200 characters" sqref="H154:H159">
      <formula1>200</formula1>
    </dataValidation>
    <dataValidation type="textLength" operator="lessThanOrEqual" allowBlank="1" showErrorMessage="1" errorTitle="Name of the Person" error="Name can not be more than 125 characters." sqref="G154:G159">
      <formula1>125</formula1>
    </dataValidation>
    <dataValidation type="whole" allowBlank="1" showErrorMessage="1" errorTitle="Peak Balance/Investment " error="Peak Balance  (in Rupees) can not be more than 14 digits.,Numeric, No decimal,negative are allowed" sqref="K127:K132">
      <formula1>-99999999999999</formula1>
      <formula2>99999999999999</formula2>
    </dataValidation>
    <dataValidation type="list" operator="lessThanOrEqual" allowBlank="1" showErrorMessage="1" errorTitle="Nature Of Interest " error="Nature Of Interest should be selected from list" sqref="J81:J86">
      <formula1>"(Select),DIRECT,BENEFICIAL_OWNER,BENIFICIARY"</formula1>
    </dataValidation>
    <dataValidation type="list" operator="lessThanOrEqual" allowBlank="1" showErrorMessage="1" errorTitle="Status" error="Status Should be selected from List Only." sqref="H96:H101 H111:H116">
      <formula1>"(Select),DIRECT,BENEFICIAL_OWNER,BENIFICIARY"</formula1>
    </dataValidation>
    <dataValidation type="whole" allowBlank="1" showErrorMessage="1" errorTitle="Interest Incured from Interest" error="Interest Incured (in Rupees) can not be more than 14 digits. No decimals values are allowed." sqref="M81:M86">
      <formula1>-99999999999999</formula1>
      <formula2>99999999999999</formula2>
    </dataValidation>
    <dataValidation type="whole" allowBlank="1" showErrorMessage="1" errorTitle="Income Derived From Property" error="Income Derived From Property (in Rupees) can not be more than 14 digits, No decimals values are allowed." sqref="K96:K101">
      <formula1>-99999999999999</formula1>
      <formula2>99999999999999</formula2>
    </dataValidation>
    <dataValidation type="whole" allowBlank="1" showErrorMessage="1" errorTitle="Income Accured in Account" error="Income Accured in Account (in Rupees) can not be more than 14 digits. No decimals values are allowed." sqref="M127:M132">
      <formula1>-99999999999999</formula1>
      <formula2>99999999999999</formula2>
    </dataValidation>
    <dataValidation type="textLength" operator="lessThanOrEqual" allowBlank="1" showErrorMessage="1" errorTitle="ZipCode" error="Minimum 1 and up to 8 Characters." sqref="F154:F159 F142:F147 F111:F116 F96:F101 F81:F86 H127:H132">
      <formula1>8</formula1>
    </dataValidation>
    <dataValidation type="textLength" operator="lessThanOrEqual" allowBlank="1" showErrorMessage="1" errorTitle="Address of the Institution" error="Address of the Institution in which the account is held can not be more than 200 characters." sqref="F127:F132">
      <formula1>200</formula1>
    </dataValidation>
    <dataValidation type="list" allowBlank="1" showInputMessage="1" showErrorMessage="1" errorTitle="Country Name and Code" error="Please Select From List _x000a_" sqref="E66:E71 E24:E29 E38:E43 E52:E57">
      <formula1>Country_NoIndia</formula1>
    </dataValidation>
    <dataValidation type="textLength" operator="lessThanOrEqual" allowBlank="1" showInputMessage="1" showErrorMessage="1" errorTitle="Name of financial institution " error="Name of financial institution  can not be more than 125 characters" sqref="F24:F29 F38:F43">
      <formula1>125</formula1>
    </dataValidation>
    <dataValidation type="textLength" operator="lessThanOrEqual" allowBlank="1" showInputMessage="1" showErrorMessage="1" errorTitle="Address of financial institution" error="Address of financial institution  can not be more than 200 characters." sqref="G24:G29 G38:G43">
      <formula1>200</formula1>
    </dataValidation>
    <dataValidation type="textLength" operator="lessThanOrEqual" allowBlank="1" showInputMessage="1" showErrorMessage="1" errorTitle="ZipCode" error="Minimum 1 and up to 8 Characters." sqref="H24:H29 H38:H43 H52:H57 H66:H71">
      <formula1>8</formula1>
    </dataValidation>
    <dataValidation type="textLength" operator="lessThanOrEqual" allowBlank="1" showInputMessage="1" showErrorMessage="1" errorTitle="Account Number" error="Account Number max 34 characters" sqref="I24:I29 I38:I43">
      <formula1>34</formula1>
    </dataValidation>
    <dataValidation type="list" allowBlank="1" showInputMessage="1" showErrorMessage="1" errorTitle="Status" error="Status Should be selected from List Only." sqref="J24:J29 J38:J43">
      <formula1>"(Select),OWNER,BENEFICIAL_OWNER,BENIFICIARY"</formula1>
    </dataValidation>
    <dataValidation type="textLength" operator="equal" allowBlank="1" showInputMessage="1" showErrorMessage="1" errorTitle="Account Opening Date" error="Account Opening Date is invalid. Please enter in dd/mm/yyyy format" sqref="K24:K29 K38:K43">
      <formula1>10</formula1>
    </dataValidation>
    <dataValidation type="whole" allowBlank="1" showInputMessage="1" showErrorMessage="1" errorTitle="Peak Balance" error="Peak Balance can not be more than 14 digits.Numeric, No decimal, negative are allowed" sqref="L24:L29 L38:L43">
      <formula1>-99999999999999</formula1>
      <formula2>99999999999999</formula2>
    </dataValidation>
    <dataValidation type="whole" allowBlank="1" showInputMessage="1" showErrorMessage="1" errorTitle="Closing Balance " error="Closing Balance can not be more than 14 digits.Numeric, No decimal, negative are allowed" sqref="M24:M29 M52:M57 M38:M43">
      <formula1>-99999999999999</formula1>
      <formula2>99999999999999</formula2>
    </dataValidation>
    <dataValidation type="whole" allowBlank="1" showInputMessage="1" showErrorMessage="1" errorTitle="Gross interest paid/credited" error="Gross interest paid/credited can not be more than14 digits. Numeric, Non negative No decimal" sqref="O38:O43">
      <formula1>0</formula1>
      <formula2>99999999999999</formula2>
    </dataValidation>
    <dataValidation type="textLength" operator="lessThanOrEqual" allowBlank="1" showInputMessage="1" showErrorMessage="1" errorTitle="Name of entity" error="Name of entity can not be more than 125 characters" sqref="F52:F57">
      <formula1>125</formula1>
    </dataValidation>
    <dataValidation type="textLength" operator="lessThanOrEqual" allowBlank="1" showInputMessage="1" showErrorMessage="1" errorTitle="Address of entity" error="Address of entity can not be more than 200 characters." sqref="G52:G57">
      <formula1>200</formula1>
    </dataValidation>
    <dataValidation type="textLength" operator="lessThanOrEqual" allowBlank="1" showInputMessage="1" showErrorMessage="1" errorTitle="Nature of entity" error="Nature of entity max 34 characters" sqref="I52:I57">
      <formula1>34</formula1>
    </dataValidation>
    <dataValidation type="textLength" operator="equal" allowBlank="1" showInputMessage="1" showErrorMessage="1" errorTitle="Date of acquiring the interest" error="Date of acquiring the interest is invalid. Please enter in dd/mm/yyyy format" sqref="J52:J57">
      <formula1>10</formula1>
    </dataValidation>
    <dataValidation type="whole" allowBlank="1" showInputMessage="1" showErrorMessage="1" errorTitle="Initial value of the investment" error="Initial value of the investment shouldnot be more than14 digits. Numeric, Non negative No decimal" sqref="K52:K57">
      <formula1>0</formula1>
      <formula2>99999999999999</formula2>
    </dataValidation>
    <dataValidation type="whole" allowBlank="1" showInputMessage="1" showErrorMessage="1" errorTitle="Total gross proceeds" error="Total gross proceeds can not be more than 14 digits.Numeric, No decimal, Non negative" sqref="O52:O57">
      <formula1>0</formula1>
      <formula2>99999999999999</formula2>
    </dataValidation>
    <dataValidation type="whole" allowBlank="1" showInputMessage="1" showErrorMessage="1" errorTitle="Total gross amount paid/credited" error="Total gross amount paid/credited  can not be more than 14 digits.Numeric, No decimal, Non negative" sqref="N52:N57">
      <formula1>0</formula1>
      <formula2>99999999999999</formula2>
    </dataValidation>
    <dataValidation type="textLength" operator="lessThanOrEqual" allowBlank="1" showInputMessage="1" showErrorMessage="1" errorTitle="Name of financial institution" error="Name of financial institution can not be more than 125 characters" sqref="F66:F71">
      <formula1>125</formula1>
    </dataValidation>
    <dataValidation type="textLength" operator="lessThanOrEqual" allowBlank="1" showInputMessage="1" showErrorMessage="1" errorTitle="Address of financial institution" error="Address of financial institution can not be more than 200 characters." sqref="G66:G71">
      <formula1>200</formula1>
    </dataValidation>
    <dataValidation type="textLength" operator="equal" allowBlank="1" showInputMessage="1" showErrorMessage="1" errorTitle="Date of contract" error="Date of contract is invalid. Please _x000a_enter in dd/mm/yyyy format" sqref="I66:I71">
      <formula1>10</formula1>
    </dataValidation>
    <dataValidation type="whole" allowBlank="1" showInputMessage="1" showErrorMessage="1" errorTitle="The cash value" error="The cash value can not be more than 14 digits.Numeric, No decimal, Non negative " sqref="J66:J71">
      <formula1>0</formula1>
      <formula2>99999999999999</formula2>
    </dataValidation>
    <dataValidation type="whole" allowBlank="1" showInputMessage="1" showErrorMessage="1" errorTitle="Total gross amount paid" error="Total gross amount paid can not be more than 14 digits.Numeric, No decimal, Non negative " sqref="K66:K71">
      <formula1>0</formula1>
      <formula2>99999999999999</formula2>
    </dataValidation>
    <dataValidation type="whole" allowBlank="1" showInputMessage="1" showErrorMessage="1" errorTitle="Total Investment" error="Total Investment (in Rupees) can not be more than 14 digits. Non negatives,No decimals values only allowed." sqref="J96:J101">
      <formula1>0</formula1>
      <formula2>99999999999999</formula2>
    </dataValidation>
    <dataValidation type="textLength" operator="lessThanOrEqual" allowBlank="1" showErrorMessage="1" errorTitle="Nature Of Income" error="Nature Of Income cannot be more than 100 Charachters" sqref="L96:L101">
      <formula1>100</formula1>
    </dataValidation>
    <dataValidation type="list" allowBlank="1" showInputMessage="1" showErrorMessage="1" errorTitle="Nature of Amount" error="Please select valid option from the dropdown list" sqref="N38:N43">
      <formula1>SchFA_Nature</formula1>
    </dataValidation>
    <dataValidation type="textLength" operator="lessThanOrEqual" allowBlank="1" showInputMessage="1" showErrorMessage="1" errorTitle="Name of the Institution" error="Name of the Institution in which account is held cannot be more than 125 characters" sqref="E127:E132">
      <formula1>125</formula1>
    </dataValidation>
    <dataValidation type="whole" allowBlank="1" showInputMessage="1" showErrorMessage="1" errorTitle="Gross interest paid/credited" error="Gross interest paid/credited can not be more than14 digits. Numeric, No decimal" sqref="N24:N29">
      <formula1>-99999999999999</formula1>
      <formula2>99999999999999</formula2>
    </dataValidation>
    <dataValidation type="whole" allowBlank="1" showInputMessage="1" showErrorMessage="1" errorTitle="Peak value" error="Peak value can not be more than 14 digits.Numeric, No decimal, negative are allowed" sqref="L52:L57">
      <formula1>-99999999999999</formula1>
      <formula2>99999999999999</formula2>
    </dataValidation>
    <dataValidation type="list" operator="lessThan" allowBlank="1" showErrorMessage="1" error="Please select from the dropdown" sqref="N111:N116 N96:N101 P81:P86 O127:O132">
      <formula1>DropdownFA_E</formula1>
    </dataValidation>
    <dataValidation type="list" allowBlank="1" showErrorMessage="1" errorTitle="Relief under Section " error="Select from List" sqref="I7:I10">
      <formula1>"(Select),90,90A,91"</formula1>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4288" r:id="rId4" name="Button 16">
              <controlPr defaultSize="0" print="0" autoFill="0" autoPict="0" macro="[0]!ValidateTR_FAClick">
                <anchor>
                  <from>
                    <xdr:col>11</xdr:col>
                    <xdr:colOff>447675</xdr:colOff>
                    <xdr:row>4</xdr:row>
                    <xdr:rowOff>19050</xdr:rowOff>
                  </from>
                  <to>
                    <xdr:col>12</xdr:col>
                    <xdr:colOff>628650</xdr:colOff>
                    <xdr:row>5</xdr:row>
                    <xdr:rowOff>133350</xdr:rowOff>
                  </to>
                </anchor>
              </controlPr>
            </control>
          </mc:Choice>
        </mc:AlternateContent>
        <mc:AlternateContent xmlns:mc="http://schemas.openxmlformats.org/markup-compatibility/2006">
          <mc:Choice Requires="x14">
            <control shapeId="54290" r:id="rId5" name="Button 18">
              <controlPr defaultSize="0" print="0" autoFill="0" autoPict="0" macro="[0]!AddRows_B_FA">
                <anchor moveWithCells="1">
                  <from>
                    <xdr:col>3</xdr:col>
                    <xdr:colOff>0</xdr:colOff>
                    <xdr:row>88</xdr:row>
                    <xdr:rowOff>38100</xdr:rowOff>
                  </from>
                  <to>
                    <xdr:col>4</xdr:col>
                    <xdr:colOff>600075</xdr:colOff>
                    <xdr:row>89</xdr:row>
                    <xdr:rowOff>152400</xdr:rowOff>
                  </to>
                </anchor>
              </controlPr>
            </control>
          </mc:Choice>
        </mc:AlternateContent>
        <mc:AlternateContent xmlns:mc="http://schemas.openxmlformats.org/markup-compatibility/2006">
          <mc:Choice Requires="x14">
            <control shapeId="54291" r:id="rId6" name="Button 19">
              <controlPr defaultSize="0" print="0" autoFill="0" autoPict="0" macro="[0]!AddRows_C_FA">
                <anchor moveWithCells="1">
                  <from>
                    <xdr:col>3</xdr:col>
                    <xdr:colOff>0</xdr:colOff>
                    <xdr:row>103</xdr:row>
                    <xdr:rowOff>38100</xdr:rowOff>
                  </from>
                  <to>
                    <xdr:col>4</xdr:col>
                    <xdr:colOff>600075</xdr:colOff>
                    <xdr:row>104</xdr:row>
                    <xdr:rowOff>152400</xdr:rowOff>
                  </to>
                </anchor>
              </controlPr>
            </control>
          </mc:Choice>
        </mc:AlternateContent>
        <mc:AlternateContent xmlns:mc="http://schemas.openxmlformats.org/markup-compatibility/2006">
          <mc:Choice Requires="x14">
            <control shapeId="54292" r:id="rId7" name="Button 20">
              <controlPr defaultSize="0" print="0" autoFill="0" autoPict="0" macro="[0]!AddRows_D_FA">
                <anchor moveWithCells="1">
                  <from>
                    <xdr:col>3</xdr:col>
                    <xdr:colOff>0</xdr:colOff>
                    <xdr:row>118</xdr:row>
                    <xdr:rowOff>38100</xdr:rowOff>
                  </from>
                  <to>
                    <xdr:col>4</xdr:col>
                    <xdr:colOff>600075</xdr:colOff>
                    <xdr:row>119</xdr:row>
                    <xdr:rowOff>152400</xdr:rowOff>
                  </to>
                </anchor>
              </controlPr>
            </control>
          </mc:Choice>
        </mc:AlternateContent>
        <mc:AlternateContent xmlns:mc="http://schemas.openxmlformats.org/markup-compatibility/2006">
          <mc:Choice Requires="x14">
            <control shapeId="54293" r:id="rId8" name="Button 21">
              <controlPr defaultSize="0" print="0" autoFill="0" autoPict="0" macro="[0]!AddRows_E_FA">
                <anchor moveWithCells="1">
                  <from>
                    <xdr:col>3</xdr:col>
                    <xdr:colOff>0</xdr:colOff>
                    <xdr:row>134</xdr:row>
                    <xdr:rowOff>38100</xdr:rowOff>
                  </from>
                  <to>
                    <xdr:col>4</xdr:col>
                    <xdr:colOff>600075</xdr:colOff>
                    <xdr:row>136</xdr:row>
                    <xdr:rowOff>0</xdr:rowOff>
                  </to>
                </anchor>
              </controlPr>
            </control>
          </mc:Choice>
        </mc:AlternateContent>
        <mc:AlternateContent xmlns:mc="http://schemas.openxmlformats.org/markup-compatibility/2006">
          <mc:Choice Requires="x14">
            <control shapeId="54294" r:id="rId9" name="Button 22">
              <controlPr defaultSize="0" print="0" autoFill="0" autoPict="0" macro="[0]!AddRows_F_FA">
                <anchor moveWithCells="1">
                  <from>
                    <xdr:col>3</xdr:col>
                    <xdr:colOff>0</xdr:colOff>
                    <xdr:row>148</xdr:row>
                    <xdr:rowOff>38100</xdr:rowOff>
                  </from>
                  <to>
                    <xdr:col>4</xdr:col>
                    <xdr:colOff>600075</xdr:colOff>
                    <xdr:row>149</xdr:row>
                    <xdr:rowOff>133350</xdr:rowOff>
                  </to>
                </anchor>
              </controlPr>
            </control>
          </mc:Choice>
        </mc:AlternateContent>
        <mc:AlternateContent xmlns:mc="http://schemas.openxmlformats.org/markup-compatibility/2006">
          <mc:Choice Requires="x14">
            <control shapeId="54307" r:id="rId10" name="Button 35">
              <controlPr defaultSize="0" print="0" autoFill="0" autoPict="0" macro="[0]!Prev_Sheet">
                <anchor>
                  <from>
                    <xdr:col>11</xdr:col>
                    <xdr:colOff>447675</xdr:colOff>
                    <xdr:row>5</xdr:row>
                    <xdr:rowOff>447675</xdr:rowOff>
                  </from>
                  <to>
                    <xdr:col>12</xdr:col>
                    <xdr:colOff>628650</xdr:colOff>
                    <xdr:row>5</xdr:row>
                    <xdr:rowOff>742950</xdr:rowOff>
                  </to>
                </anchor>
              </controlPr>
            </control>
          </mc:Choice>
        </mc:AlternateContent>
        <mc:AlternateContent xmlns:mc="http://schemas.openxmlformats.org/markup-compatibility/2006">
          <mc:Choice Requires="x14">
            <control shapeId="54308" r:id="rId11" name="Button 36">
              <controlPr defaultSize="0" print="0" autoFill="0" autoPict="0" macro="[0]!Img_Home_Click">
                <anchor>
                  <from>
                    <xdr:col>11</xdr:col>
                    <xdr:colOff>447675</xdr:colOff>
                    <xdr:row>2</xdr:row>
                    <xdr:rowOff>57150</xdr:rowOff>
                  </from>
                  <to>
                    <xdr:col>12</xdr:col>
                    <xdr:colOff>628650</xdr:colOff>
                    <xdr:row>4</xdr:row>
                    <xdr:rowOff>0</xdr:rowOff>
                  </to>
                </anchor>
              </controlPr>
            </control>
          </mc:Choice>
        </mc:AlternateContent>
        <mc:AlternateContent xmlns:mc="http://schemas.openxmlformats.org/markup-compatibility/2006">
          <mc:Choice Requires="x14">
            <control shapeId="54310" r:id="rId12" name="Button 38">
              <controlPr defaultSize="0" print="0" autoFill="0" autoPict="0" macro="[0]!Instruction_Sheet">
                <anchor>
                  <from>
                    <xdr:col>11</xdr:col>
                    <xdr:colOff>447675</xdr:colOff>
                    <xdr:row>6</xdr:row>
                    <xdr:rowOff>142875</xdr:rowOff>
                  </from>
                  <to>
                    <xdr:col>12</xdr:col>
                    <xdr:colOff>628650</xdr:colOff>
                    <xdr:row>8</xdr:row>
                    <xdr:rowOff>28575</xdr:rowOff>
                  </to>
                </anchor>
              </controlPr>
            </control>
          </mc:Choice>
        </mc:AlternateContent>
        <mc:AlternateContent xmlns:mc="http://schemas.openxmlformats.org/markup-compatibility/2006">
          <mc:Choice Requires="x14">
            <control shapeId="54311" r:id="rId13" name="Button 39">
              <controlPr defaultSize="0" print="0" autoFill="0" autoPict="0" macro="[0]!WorksheetsPrint">
                <anchor>
                  <from>
                    <xdr:col>11</xdr:col>
                    <xdr:colOff>447675</xdr:colOff>
                    <xdr:row>5</xdr:row>
                    <xdr:rowOff>1028700</xdr:rowOff>
                  </from>
                  <to>
                    <xdr:col>12</xdr:col>
                    <xdr:colOff>628650</xdr:colOff>
                    <xdr:row>6</xdr:row>
                    <xdr:rowOff>133350</xdr:rowOff>
                  </to>
                </anchor>
              </controlPr>
            </control>
          </mc:Choice>
        </mc:AlternateContent>
        <mc:AlternateContent xmlns:mc="http://schemas.openxmlformats.org/markup-compatibility/2006">
          <mc:Choice Requires="x14">
            <control shapeId="54312" r:id="rId14" name="Button 40">
              <controlPr defaultSize="0" print="0" autoFill="0" autoPict="0" macro="[0]!GenerateJSON.GenerateJSON">
                <anchor>
                  <from>
                    <xdr:col>11</xdr:col>
                    <xdr:colOff>447675</xdr:colOff>
                    <xdr:row>5</xdr:row>
                    <xdr:rowOff>752475</xdr:rowOff>
                  </from>
                  <to>
                    <xdr:col>12</xdr:col>
                    <xdr:colOff>628650</xdr:colOff>
                    <xdr:row>5</xdr:row>
                    <xdr:rowOff>1009650</xdr:rowOff>
                  </to>
                </anchor>
              </controlPr>
            </control>
          </mc:Choice>
        </mc:AlternateContent>
        <mc:AlternateContent xmlns:mc="http://schemas.openxmlformats.org/markup-compatibility/2006">
          <mc:Choice Requires="x14">
            <control shapeId="54313" r:id="rId15" name="Button 41">
              <controlPr defaultSize="0" print="0" autoFill="0" autoPict="0" macro="[0]!Next_Sheet">
                <anchor>
                  <from>
                    <xdr:col>11</xdr:col>
                    <xdr:colOff>447675</xdr:colOff>
                    <xdr:row>5</xdr:row>
                    <xdr:rowOff>152400</xdr:rowOff>
                  </from>
                  <to>
                    <xdr:col>12</xdr:col>
                    <xdr:colOff>628650</xdr:colOff>
                    <xdr:row>5</xdr:row>
                    <xdr:rowOff>438150</xdr:rowOff>
                  </to>
                </anchor>
              </controlPr>
            </control>
          </mc:Choice>
        </mc:AlternateContent>
        <mc:AlternateContent xmlns:mc="http://schemas.openxmlformats.org/markup-compatibility/2006">
          <mc:Choice Requires="x14">
            <control shapeId="54343" r:id="rId16" name="Button 71">
              <controlPr defaultSize="0" print="0" autoFill="0" autoPict="0" macro="[0]!AddRows_G_FA">
                <anchor moveWithCells="1">
                  <from>
                    <xdr:col>3</xdr:col>
                    <xdr:colOff>28575</xdr:colOff>
                    <xdr:row>159</xdr:row>
                    <xdr:rowOff>95250</xdr:rowOff>
                  </from>
                  <to>
                    <xdr:col>4</xdr:col>
                    <xdr:colOff>628650</xdr:colOff>
                    <xdr:row>161</xdr:row>
                    <xdr:rowOff>38100</xdr:rowOff>
                  </to>
                </anchor>
              </controlPr>
            </control>
          </mc:Choice>
        </mc:AlternateContent>
        <mc:AlternateContent xmlns:mc="http://schemas.openxmlformats.org/markup-compatibility/2006">
          <mc:Choice Requires="x14">
            <control shapeId="54351" r:id="rId17" name="Button 79">
              <controlPr defaultSize="0" print="0" autoFill="0" autoPict="0" macro="[0]!AddRows_A1_FA">
                <anchor moveWithCells="1">
                  <from>
                    <xdr:col>3</xdr:col>
                    <xdr:colOff>0</xdr:colOff>
                    <xdr:row>31</xdr:row>
                    <xdr:rowOff>38100</xdr:rowOff>
                  </from>
                  <to>
                    <xdr:col>4</xdr:col>
                    <xdr:colOff>600075</xdr:colOff>
                    <xdr:row>32</xdr:row>
                    <xdr:rowOff>19050</xdr:rowOff>
                  </to>
                </anchor>
              </controlPr>
            </control>
          </mc:Choice>
        </mc:AlternateContent>
        <mc:AlternateContent xmlns:mc="http://schemas.openxmlformats.org/markup-compatibility/2006">
          <mc:Choice Requires="x14">
            <control shapeId="54352" r:id="rId18" name="Button 80">
              <controlPr defaultSize="0" print="0" autoFill="0" autoPict="0" macro="[0]!AddRows_A2_FA">
                <anchor moveWithCells="1">
                  <from>
                    <xdr:col>3</xdr:col>
                    <xdr:colOff>0</xdr:colOff>
                    <xdr:row>45</xdr:row>
                    <xdr:rowOff>38100</xdr:rowOff>
                  </from>
                  <to>
                    <xdr:col>4</xdr:col>
                    <xdr:colOff>600075</xdr:colOff>
                    <xdr:row>46</xdr:row>
                    <xdr:rowOff>28575</xdr:rowOff>
                  </to>
                </anchor>
              </controlPr>
            </control>
          </mc:Choice>
        </mc:AlternateContent>
        <mc:AlternateContent xmlns:mc="http://schemas.openxmlformats.org/markup-compatibility/2006">
          <mc:Choice Requires="x14">
            <control shapeId="54354" r:id="rId19" name="Button 82">
              <controlPr defaultSize="0" print="0" autoFill="0" autoPict="0" macro="[0]!AddRows_A3_FA">
                <anchor moveWithCells="1">
                  <from>
                    <xdr:col>3</xdr:col>
                    <xdr:colOff>0</xdr:colOff>
                    <xdr:row>59</xdr:row>
                    <xdr:rowOff>38100</xdr:rowOff>
                  </from>
                  <to>
                    <xdr:col>4</xdr:col>
                    <xdr:colOff>600075</xdr:colOff>
                    <xdr:row>60</xdr:row>
                    <xdr:rowOff>19050</xdr:rowOff>
                  </to>
                </anchor>
              </controlPr>
            </control>
          </mc:Choice>
        </mc:AlternateContent>
        <mc:AlternateContent xmlns:mc="http://schemas.openxmlformats.org/markup-compatibility/2006">
          <mc:Choice Requires="x14">
            <control shapeId="54356" r:id="rId20" name="Button 84">
              <controlPr defaultSize="0" print="0" autoFill="0" autoPict="0" macro="[0]!AddRows_A4_FA">
                <anchor moveWithCells="1">
                  <from>
                    <xdr:col>3</xdr:col>
                    <xdr:colOff>0</xdr:colOff>
                    <xdr:row>73</xdr:row>
                    <xdr:rowOff>38100</xdr:rowOff>
                  </from>
                  <to>
                    <xdr:col>4</xdr:col>
                    <xdr:colOff>600075</xdr:colOff>
                    <xdr:row>74</xdr:row>
                    <xdr:rowOff>152400</xdr:rowOff>
                  </to>
                </anchor>
              </controlPr>
            </control>
          </mc:Choice>
        </mc:AlternateContent>
        <mc:AlternateContent xmlns:mc="http://schemas.openxmlformats.org/markup-compatibility/2006">
          <mc:Choice Requires="x14">
            <control shapeId="54358" r:id="rId21" name="Button TR">
              <controlPr defaultSize="0" print="0" autoFill="0" autoPict="0" macro="[0]!AddRows_TR_FSI">
                <anchor moveWithCells="1">
                  <from>
                    <xdr:col>3</xdr:col>
                    <xdr:colOff>57150</xdr:colOff>
                    <xdr:row>11</xdr:row>
                    <xdr:rowOff>38100</xdr:rowOff>
                  </from>
                  <to>
                    <xdr:col>4</xdr:col>
                    <xdr:colOff>647700</xdr:colOff>
                    <xdr:row>11</xdr:row>
                    <xdr:rowOff>323850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IV1000"/>
  <sheetViews>
    <sheetView showGridLines="0" showRowColHeaders="0" zoomScaleNormal="100" workbookViewId="0"/>
  </sheetViews>
  <sheetFormatPr defaultColWidth="0" defaultRowHeight="15" zeroHeight="1" x14ac:dyDescent="0.25"/>
  <cols>
    <col min="1" max="1" width="4.42578125" style="113" customWidth="1"/>
    <col min="2" max="2" width="4.28515625" style="113" customWidth="1"/>
    <col min="3" max="3" width="4.7109375" style="113" customWidth="1"/>
    <col min="4" max="5" width="9.140625" style="113" customWidth="1"/>
    <col min="6" max="6" width="2.85546875" style="113" customWidth="1"/>
    <col min="7" max="7" width="18.140625" style="113" customWidth="1"/>
    <col min="8" max="8" width="4.7109375" style="113" customWidth="1"/>
    <col min="9" max="9" width="21.85546875" style="113" customWidth="1"/>
    <col min="10" max="10" width="19.42578125" style="113" customWidth="1"/>
    <col min="11" max="12" width="22" style="113" customWidth="1"/>
    <col min="13" max="13" width="4.85546875" style="117" customWidth="1"/>
    <col min="14" max="14" width="26" style="113" customWidth="1"/>
    <col min="15" max="18" width="9.140625" style="113" hidden="1" customWidth="1"/>
    <col min="19" max="255" width="9.140625" hidden="1" customWidth="1"/>
    <col min="256" max="16384" width="4.28515625" hidden="1"/>
  </cols>
  <sheetData>
    <row r="1" spans="1:256" ht="15.75" thickBot="1" x14ac:dyDescent="0.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row>
    <row r="2" spans="1:256" ht="15" customHeight="1" x14ac:dyDescent="0.25">
      <c r="B2" s="1794"/>
      <c r="C2" s="1795"/>
      <c r="D2" s="1795"/>
      <c r="E2" s="1795"/>
      <c r="F2" s="1795"/>
      <c r="G2" s="1795"/>
      <c r="H2" s="1795"/>
      <c r="I2" s="1795"/>
      <c r="J2" s="1795"/>
      <c r="K2" s="1795"/>
      <c r="L2" s="1795"/>
      <c r="M2" s="184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row>
    <row r="3" spans="1:256" ht="18" customHeight="1" x14ac:dyDescent="0.25">
      <c r="B3" s="1797"/>
      <c r="C3" s="3050" t="s">
        <v>1284</v>
      </c>
      <c r="D3" s="3905"/>
      <c r="E3" s="3905"/>
      <c r="F3" s="3171" t="s">
        <v>11853</v>
      </c>
      <c r="G3" s="3166"/>
      <c r="H3" s="3166"/>
      <c r="I3" s="3166"/>
      <c r="J3" s="3311"/>
      <c r="K3" s="3311"/>
      <c r="L3" s="3312"/>
      <c r="M3" s="1836"/>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row>
    <row r="4" spans="1:256" ht="12.75" customHeight="1" x14ac:dyDescent="0.25">
      <c r="B4" s="1797"/>
      <c r="C4" s="3906"/>
      <c r="D4" s="3388" t="s">
        <v>1285</v>
      </c>
      <c r="E4" s="3389"/>
      <c r="F4" s="3390"/>
      <c r="G4" s="2673"/>
      <c r="H4" s="1897"/>
      <c r="I4" s="1897"/>
      <c r="J4" s="1133"/>
      <c r="K4" s="1133"/>
      <c r="L4" s="1820"/>
      <c r="M4" s="1836"/>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row>
    <row r="5" spans="1:256" ht="12.75" customHeight="1" x14ac:dyDescent="0.25">
      <c r="B5" s="1797"/>
      <c r="C5" s="3907"/>
      <c r="D5" s="3388" t="s">
        <v>1286</v>
      </c>
      <c r="E5" s="3389"/>
      <c r="F5" s="3390"/>
      <c r="G5" s="2272" t="s">
        <v>23</v>
      </c>
      <c r="H5" s="1898"/>
      <c r="I5" s="1898"/>
      <c r="J5" s="1849"/>
      <c r="K5" s="1849"/>
      <c r="L5" s="1816"/>
      <c r="M5" s="1836"/>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row>
    <row r="6" spans="1:256" ht="12.75" customHeight="1" x14ac:dyDescent="0.25">
      <c r="B6" s="1797"/>
      <c r="C6" s="3907"/>
      <c r="D6" s="3388" t="s">
        <v>12002</v>
      </c>
      <c r="E6" s="3389"/>
      <c r="F6" s="3389"/>
      <c r="G6" s="2272"/>
      <c r="H6" s="1898"/>
      <c r="I6" s="1898"/>
      <c r="J6" s="1849"/>
      <c r="K6" s="1849"/>
      <c r="L6" s="1816"/>
      <c r="M6" s="1836"/>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row>
    <row r="7" spans="1:256" s="2240" customFormat="1" ht="29.25" customHeight="1" x14ac:dyDescent="0.25">
      <c r="A7" s="113"/>
      <c r="B7" s="1797"/>
      <c r="C7" s="3907"/>
      <c r="D7" s="3171" t="s">
        <v>12798</v>
      </c>
      <c r="E7" s="3166"/>
      <c r="F7" s="3166"/>
      <c r="G7" s="3166"/>
      <c r="H7" s="3166"/>
      <c r="I7" s="3166"/>
      <c r="J7" s="3166"/>
      <c r="K7" s="3167"/>
      <c r="L7" s="2672" t="s">
        <v>12</v>
      </c>
      <c r="M7" s="1836"/>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row>
    <row r="8" spans="1:256" s="2240" customFormat="1" ht="27" customHeight="1" x14ac:dyDescent="0.25">
      <c r="A8" s="113"/>
      <c r="B8" s="1797"/>
      <c r="C8" s="3907"/>
      <c r="D8" s="3171" t="s">
        <v>12799</v>
      </c>
      <c r="E8" s="3166"/>
      <c r="F8" s="3166"/>
      <c r="G8" s="3166"/>
      <c r="H8" s="3166"/>
      <c r="I8" s="3166"/>
      <c r="J8" s="3166"/>
      <c r="K8" s="3167"/>
      <c r="L8" s="2672" t="s">
        <v>12</v>
      </c>
      <c r="M8" s="1836"/>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c r="IV8" s="113"/>
    </row>
    <row r="9" spans="1:256" ht="45" customHeight="1" x14ac:dyDescent="0.25">
      <c r="B9" s="1797"/>
      <c r="C9" s="3907"/>
      <c r="D9" s="381"/>
      <c r="E9" s="3909" t="s">
        <v>12864</v>
      </c>
      <c r="F9" s="3910"/>
      <c r="G9" s="3911"/>
      <c r="H9" s="2036"/>
      <c r="I9" s="2036" t="s">
        <v>11852</v>
      </c>
      <c r="J9" s="2036" t="s">
        <v>8763</v>
      </c>
      <c r="K9" s="2036" t="s">
        <v>8764</v>
      </c>
      <c r="L9" s="2036" t="s">
        <v>8765</v>
      </c>
      <c r="M9" s="1836"/>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row>
    <row r="10" spans="1:256" ht="12.75" customHeight="1" x14ac:dyDescent="0.25">
      <c r="B10" s="1797"/>
      <c r="C10" s="3907"/>
      <c r="D10" s="381">
        <v>1</v>
      </c>
      <c r="E10" s="3375" t="s">
        <v>1287</v>
      </c>
      <c r="F10" s="3376"/>
      <c r="G10" s="3377"/>
      <c r="H10" s="381">
        <v>1</v>
      </c>
      <c r="I10" s="2089"/>
      <c r="J10" s="2089"/>
      <c r="K10" s="2089"/>
      <c r="L10" s="2089"/>
      <c r="M10" s="1836"/>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row>
    <row r="11" spans="1:256" ht="12.75" customHeight="1" x14ac:dyDescent="0.25">
      <c r="B11" s="1797"/>
      <c r="C11" s="3907"/>
      <c r="D11" s="381">
        <v>2</v>
      </c>
      <c r="E11" s="3375" t="s">
        <v>1288</v>
      </c>
      <c r="F11" s="3376"/>
      <c r="G11" s="3376"/>
      <c r="H11" s="1563">
        <v>2</v>
      </c>
      <c r="I11" s="2089"/>
      <c r="J11" s="2089"/>
      <c r="K11" s="2089"/>
      <c r="L11" s="2089"/>
      <c r="M11" s="1836"/>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row>
    <row r="12" spans="1:256" ht="12.75" customHeight="1" x14ac:dyDescent="0.25">
      <c r="B12" s="1797"/>
      <c r="C12" s="3907"/>
      <c r="D12" s="381">
        <v>3</v>
      </c>
      <c r="E12" s="3375" t="s">
        <v>770</v>
      </c>
      <c r="F12" s="3376"/>
      <c r="G12" s="3377"/>
      <c r="H12" s="381">
        <v>3</v>
      </c>
      <c r="I12" s="2089"/>
      <c r="J12" s="2089"/>
      <c r="K12" s="2089"/>
      <c r="L12" s="2089"/>
      <c r="M12" s="1836"/>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c r="IV12" s="113"/>
    </row>
    <row r="13" spans="1:256" ht="12.75" customHeight="1" x14ac:dyDescent="0.25">
      <c r="B13" s="1797"/>
      <c r="C13" s="3907"/>
      <c r="D13" s="381">
        <v>4</v>
      </c>
      <c r="E13" s="3375" t="s">
        <v>771</v>
      </c>
      <c r="F13" s="3376"/>
      <c r="G13" s="3377"/>
      <c r="H13" s="381">
        <v>4</v>
      </c>
      <c r="I13" s="2089"/>
      <c r="J13" s="2089"/>
      <c r="K13" s="2089"/>
      <c r="L13" s="2089"/>
      <c r="M13" s="1836"/>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row>
    <row r="14" spans="1:256" ht="12.75" customHeight="1" x14ac:dyDescent="0.25">
      <c r="B14" s="1797"/>
      <c r="C14" s="3908"/>
      <c r="D14" s="609">
        <v>5</v>
      </c>
      <c r="E14" s="3585" t="s">
        <v>1289</v>
      </c>
      <c r="F14" s="3586"/>
      <c r="G14" s="3587"/>
      <c r="H14" s="609">
        <v>5</v>
      </c>
      <c r="I14" s="1391">
        <f>SUM(S5A_IncRecvdUndHeadHP,S5A_IncRecvdUndHeadBP,S5A_IncRecvdUndHeadCG,S5A_IncRecvdUndHeadOS)</f>
        <v>0</v>
      </c>
      <c r="J14" s="1391">
        <f>SUM(S5A_HPHeadIncome,S5A_BusHeadIncome,S5A_CapGainHeadIncome,S5A_OtherSourcesHeadIncome)</f>
        <v>0</v>
      </c>
      <c r="K14" s="1391">
        <f>SUM(S5A_AmtTDSDeductedHP,S5A_AmtTDSDeductedBP,S5A_AmtTDSDeductedCG,S5A_AmtTDSDeductedOS)</f>
        <v>0</v>
      </c>
      <c r="L14" s="1391">
        <f>SUM(S5A_TDSApprndOfSpouseHP,S5A_TDSApprndOfSpouseBP,S5A_TDSApprndOfSpouseCG,S5A_TDSApprndOfSpouseOS)</f>
        <v>0</v>
      </c>
      <c r="M14" s="1836"/>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row>
    <row r="15" spans="1:256" ht="16.5" customHeight="1" thickBot="1" x14ac:dyDescent="0.3">
      <c r="B15" s="1824"/>
      <c r="C15" s="1841"/>
      <c r="D15" s="1841"/>
      <c r="E15" s="1841"/>
      <c r="F15" s="1841"/>
      <c r="G15" s="1841"/>
      <c r="H15" s="1841"/>
      <c r="I15" s="1841"/>
      <c r="J15" s="1841"/>
      <c r="K15" s="1841"/>
      <c r="L15" s="1841"/>
      <c r="M15" s="1845"/>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row>
    <row r="16" spans="1:256" x14ac:dyDescent="0.25">
      <c r="C16" s="117"/>
      <c r="D16" s="117"/>
      <c r="E16" s="117"/>
      <c r="F16" s="117"/>
      <c r="G16" s="117"/>
      <c r="H16" s="117"/>
      <c r="I16" s="117"/>
      <c r="J16" s="117"/>
      <c r="K16" s="117"/>
      <c r="L16" s="117"/>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row>
    <row r="17" spans="19:256" ht="12" hidden="1" customHeight="1" x14ac:dyDescent="0.25">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row>
    <row r="18" spans="19:256" hidden="1" x14ac:dyDescent="0.25">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row>
    <row r="19" spans="19:256" hidden="1" x14ac:dyDescent="0.25">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row>
    <row r="20" spans="19:256" hidden="1" x14ac:dyDescent="0.25">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row>
    <row r="21" spans="19:256" hidden="1" x14ac:dyDescent="0.25">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row>
    <row r="22" spans="19:256" hidden="1" x14ac:dyDescent="0.25">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row>
    <row r="23" spans="19:256" hidden="1" x14ac:dyDescent="0.25">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row>
    <row r="24" spans="19:256" hidden="1" x14ac:dyDescent="0.25">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row>
    <row r="25" spans="19:256" hidden="1" x14ac:dyDescent="0.25">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c r="IV25" s="113"/>
    </row>
    <row r="26" spans="19:256" hidden="1" x14ac:dyDescent="0.25">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c r="IV26" s="113"/>
    </row>
    <row r="27" spans="19:256" hidden="1" x14ac:dyDescent="0.25">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row>
    <row r="28" spans="19:256" hidden="1" x14ac:dyDescent="0.25">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row>
    <row r="29" spans="19:256" hidden="1" x14ac:dyDescent="0.25">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row>
    <row r="30" spans="19:256" hidden="1" x14ac:dyDescent="0.25">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row>
    <row r="31" spans="19:256" hidden="1" x14ac:dyDescent="0.25">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row>
    <row r="32" spans="19:256" hidden="1" x14ac:dyDescent="0.25">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row>
    <row r="33" spans="1:256" hidden="1" x14ac:dyDescent="0.25">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row>
    <row r="34" spans="1:256" hidden="1" x14ac:dyDescent="0.25">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row>
    <row r="35" spans="1:256" hidden="1" x14ac:dyDescent="0.25">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row>
    <row r="36" spans="1:256" hidden="1" x14ac:dyDescent="0.25">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row>
    <row r="37" spans="1:256" hidden="1" x14ac:dyDescent="0.25">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row>
    <row r="38" spans="1:256" hidden="1" x14ac:dyDescent="0.25">
      <c r="A38"/>
      <c r="B38"/>
      <c r="C38"/>
      <c r="D38"/>
      <c r="E38"/>
      <c r="F38"/>
      <c r="G38"/>
      <c r="H38"/>
      <c r="I38"/>
      <c r="J38"/>
      <c r="K38"/>
      <c r="L38"/>
      <c r="M38"/>
      <c r="N38"/>
      <c r="O38"/>
      <c r="P38"/>
      <c r="Q38"/>
      <c r="R38"/>
    </row>
    <row r="39" spans="1:256" hidden="1" x14ac:dyDescent="0.25">
      <c r="A39"/>
      <c r="B39"/>
      <c r="C39"/>
      <c r="D39"/>
      <c r="E39"/>
      <c r="F39"/>
      <c r="G39"/>
      <c r="H39"/>
      <c r="I39"/>
      <c r="J39"/>
      <c r="K39"/>
      <c r="L39"/>
      <c r="M39"/>
      <c r="N39"/>
      <c r="O39"/>
      <c r="P39"/>
      <c r="Q39"/>
      <c r="R39"/>
    </row>
    <row r="40" spans="1:256" hidden="1" x14ac:dyDescent="0.25">
      <c r="A40"/>
      <c r="B40"/>
      <c r="C40"/>
      <c r="D40"/>
      <c r="E40"/>
      <c r="F40"/>
      <c r="G40"/>
      <c r="H40"/>
      <c r="I40"/>
      <c r="J40"/>
      <c r="K40"/>
      <c r="L40"/>
      <c r="M40"/>
      <c r="N40"/>
      <c r="O40"/>
      <c r="P40"/>
      <c r="Q40"/>
      <c r="R40"/>
    </row>
    <row r="41" spans="1:256" hidden="1" x14ac:dyDescent="0.25">
      <c r="A41"/>
      <c r="B41"/>
      <c r="C41"/>
      <c r="D41"/>
      <c r="E41"/>
      <c r="F41"/>
      <c r="G41"/>
      <c r="H41"/>
      <c r="I41"/>
      <c r="J41"/>
      <c r="K41"/>
      <c r="L41"/>
      <c r="M41"/>
      <c r="N41"/>
      <c r="O41"/>
      <c r="P41"/>
      <c r="Q41"/>
      <c r="R41"/>
    </row>
    <row r="42" spans="1:256" hidden="1" x14ac:dyDescent="0.25">
      <c r="A42"/>
      <c r="B42"/>
      <c r="C42"/>
      <c r="D42"/>
      <c r="E42"/>
      <c r="F42"/>
      <c r="G42"/>
      <c r="H42"/>
      <c r="I42"/>
      <c r="J42"/>
      <c r="K42"/>
      <c r="L42"/>
      <c r="M42"/>
      <c r="N42"/>
      <c r="O42"/>
      <c r="P42"/>
      <c r="Q42"/>
      <c r="R42"/>
    </row>
    <row r="43" spans="1:256" hidden="1" x14ac:dyDescent="0.25">
      <c r="A43"/>
      <c r="B43"/>
      <c r="C43"/>
      <c r="D43"/>
      <c r="E43"/>
      <c r="F43"/>
      <c r="G43"/>
      <c r="H43"/>
      <c r="I43"/>
      <c r="J43"/>
      <c r="K43"/>
      <c r="L43"/>
      <c r="M43"/>
      <c r="N43"/>
      <c r="O43"/>
      <c r="P43"/>
      <c r="Q43"/>
      <c r="R43"/>
    </row>
    <row r="44" spans="1:256" hidden="1" x14ac:dyDescent="0.25">
      <c r="A44"/>
      <c r="B44"/>
      <c r="C44"/>
      <c r="D44"/>
      <c r="E44"/>
      <c r="F44"/>
      <c r="G44"/>
      <c r="H44"/>
      <c r="I44"/>
      <c r="J44"/>
      <c r="K44"/>
      <c r="L44"/>
      <c r="M44"/>
      <c r="N44"/>
      <c r="O44"/>
      <c r="P44"/>
      <c r="Q44"/>
      <c r="R44"/>
    </row>
    <row r="45" spans="1:256" hidden="1" x14ac:dyDescent="0.25">
      <c r="A45"/>
      <c r="B45"/>
      <c r="C45"/>
      <c r="D45"/>
      <c r="E45"/>
      <c r="F45"/>
      <c r="G45"/>
      <c r="H45"/>
      <c r="I45"/>
      <c r="J45"/>
      <c r="K45"/>
      <c r="L45"/>
      <c r="M45"/>
      <c r="N45"/>
      <c r="O45"/>
      <c r="P45"/>
      <c r="Q45"/>
      <c r="R45"/>
    </row>
    <row r="46" spans="1:256" hidden="1" x14ac:dyDescent="0.25">
      <c r="A46"/>
      <c r="B46"/>
      <c r="C46"/>
      <c r="D46"/>
      <c r="E46"/>
      <c r="F46"/>
      <c r="G46"/>
      <c r="H46"/>
      <c r="I46"/>
      <c r="J46"/>
      <c r="K46"/>
      <c r="L46"/>
      <c r="M46"/>
      <c r="N46"/>
      <c r="O46"/>
      <c r="P46"/>
      <c r="Q46"/>
      <c r="R46"/>
    </row>
    <row r="47" spans="1:256" hidden="1" x14ac:dyDescent="0.25">
      <c r="A47"/>
      <c r="B47"/>
      <c r="C47"/>
      <c r="D47"/>
      <c r="E47"/>
      <c r="F47"/>
      <c r="G47"/>
      <c r="H47"/>
      <c r="I47"/>
      <c r="J47"/>
      <c r="K47"/>
      <c r="L47"/>
      <c r="M47"/>
      <c r="N47"/>
      <c r="O47"/>
      <c r="P47"/>
      <c r="Q47"/>
      <c r="R47"/>
    </row>
    <row r="48" spans="1:256" hidden="1" x14ac:dyDescent="0.25">
      <c r="A48"/>
      <c r="B48"/>
      <c r="C48"/>
      <c r="D48"/>
      <c r="E48"/>
      <c r="F48"/>
      <c r="G48"/>
      <c r="H48"/>
      <c r="I48"/>
      <c r="J48"/>
      <c r="K48"/>
      <c r="L48"/>
      <c r="M48"/>
      <c r="N48"/>
      <c r="O48"/>
      <c r="P48"/>
      <c r="Q48"/>
      <c r="R48"/>
    </row>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row r="74" customFormat="1" hidden="1" x14ac:dyDescent="0.25"/>
    <row r="75" customFormat="1" hidden="1" x14ac:dyDescent="0.25"/>
    <row r="76" customFormat="1" hidden="1" x14ac:dyDescent="0.25"/>
    <row r="77" customFormat="1" hidden="1" x14ac:dyDescent="0.25"/>
    <row r="78" customFormat="1" hidden="1" x14ac:dyDescent="0.25"/>
    <row r="79" customFormat="1" hidden="1" x14ac:dyDescent="0.25"/>
    <row r="80" customFormat="1" hidden="1" x14ac:dyDescent="0.25"/>
    <row r="81" customFormat="1" hidden="1" x14ac:dyDescent="0.25"/>
    <row r="82" customFormat="1" hidden="1" x14ac:dyDescent="0.25"/>
    <row r="83" customFormat="1" hidden="1" x14ac:dyDescent="0.25"/>
    <row r="84" customFormat="1" hidden="1" x14ac:dyDescent="0.25"/>
    <row r="85" customFormat="1" hidden="1" x14ac:dyDescent="0.25"/>
    <row r="86" customFormat="1" hidden="1" x14ac:dyDescent="0.25"/>
    <row r="87" customFormat="1" hidden="1" x14ac:dyDescent="0.25"/>
    <row r="88" customFormat="1" hidden="1" x14ac:dyDescent="0.25"/>
    <row r="89" customFormat="1" hidden="1" x14ac:dyDescent="0.25"/>
    <row r="90" customFormat="1" hidden="1" x14ac:dyDescent="0.25"/>
    <row r="91" customFormat="1" hidden="1" x14ac:dyDescent="0.25"/>
    <row r="92" customFormat="1" hidden="1" x14ac:dyDescent="0.25"/>
    <row r="93" customFormat="1" hidden="1" x14ac:dyDescent="0.25"/>
    <row r="94" customFormat="1" hidden="1" x14ac:dyDescent="0.25"/>
    <row r="95" customFormat="1" hidden="1" x14ac:dyDescent="0.25"/>
    <row r="96" customFormat="1" hidden="1" x14ac:dyDescent="0.25"/>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row r="103" customFormat="1" hidden="1" x14ac:dyDescent="0.25"/>
    <row r="104" customFormat="1" hidden="1" x14ac:dyDescent="0.25"/>
    <row r="105" customFormat="1" hidden="1" x14ac:dyDescent="0.25"/>
    <row r="106" customFormat="1" hidden="1" x14ac:dyDescent="0.25"/>
    <row r="107" customFormat="1" hidden="1" x14ac:dyDescent="0.25"/>
    <row r="108" customFormat="1" hidden="1" x14ac:dyDescent="0.25"/>
    <row r="109" customFormat="1" hidden="1" x14ac:dyDescent="0.25"/>
    <row r="110" customFormat="1" hidden="1" x14ac:dyDescent="0.25"/>
    <row r="111" customFormat="1" hidden="1" x14ac:dyDescent="0.25"/>
    <row r="112" customFormat="1"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row r="330" customFormat="1" hidden="1" x14ac:dyDescent="0.25"/>
    <row r="331" customFormat="1" hidden="1" x14ac:dyDescent="0.25"/>
    <row r="332" customFormat="1" hidden="1" x14ac:dyDescent="0.25"/>
    <row r="333" customFormat="1" hidden="1" x14ac:dyDescent="0.25"/>
    <row r="334" customFormat="1" hidden="1" x14ac:dyDescent="0.25"/>
    <row r="335" customFormat="1" hidden="1" x14ac:dyDescent="0.25"/>
    <row r="336" customFormat="1" hidden="1" x14ac:dyDescent="0.25"/>
    <row r="337" customFormat="1" hidden="1" x14ac:dyDescent="0.25"/>
    <row r="338" customFormat="1" hidden="1" x14ac:dyDescent="0.25"/>
    <row r="339" customFormat="1" hidden="1" x14ac:dyDescent="0.25"/>
    <row r="340" customFormat="1" hidden="1" x14ac:dyDescent="0.25"/>
    <row r="341" customFormat="1" hidden="1" x14ac:dyDescent="0.25"/>
    <row r="342" customFormat="1" hidden="1" x14ac:dyDescent="0.25"/>
    <row r="343" customFormat="1" hidden="1" x14ac:dyDescent="0.25"/>
    <row r="344" customFormat="1" hidden="1" x14ac:dyDescent="0.25"/>
    <row r="345" customFormat="1" hidden="1" x14ac:dyDescent="0.25"/>
    <row r="346" customFormat="1" hidden="1" x14ac:dyDescent="0.25"/>
    <row r="347" customFormat="1" hidden="1" x14ac:dyDescent="0.25"/>
    <row r="348" customFormat="1" hidden="1" x14ac:dyDescent="0.25"/>
    <row r="349" customFormat="1" hidden="1" x14ac:dyDescent="0.25"/>
    <row r="350" customFormat="1" hidden="1" x14ac:dyDescent="0.25"/>
    <row r="351" customFormat="1" hidden="1" x14ac:dyDescent="0.25"/>
    <row r="352" customFormat="1" hidden="1" x14ac:dyDescent="0.25"/>
    <row r="353" customFormat="1" hidden="1" x14ac:dyDescent="0.25"/>
    <row r="354" customFormat="1" hidden="1" x14ac:dyDescent="0.25"/>
    <row r="355" customFormat="1" hidden="1" x14ac:dyDescent="0.25"/>
    <row r="356" customFormat="1" hidden="1" x14ac:dyDescent="0.25"/>
    <row r="357" customFormat="1" hidden="1" x14ac:dyDescent="0.25"/>
    <row r="358" customFormat="1" hidden="1" x14ac:dyDescent="0.25"/>
    <row r="359" customFormat="1" hidden="1" x14ac:dyDescent="0.25"/>
    <row r="360" customFormat="1" hidden="1" x14ac:dyDescent="0.25"/>
    <row r="361" customFormat="1" hidden="1" x14ac:dyDescent="0.25"/>
    <row r="362" customFormat="1" hidden="1" x14ac:dyDescent="0.25"/>
    <row r="363" customFormat="1" hidden="1" x14ac:dyDescent="0.25"/>
    <row r="364" customFormat="1" hidden="1" x14ac:dyDescent="0.25"/>
    <row r="365" customFormat="1" hidden="1" x14ac:dyDescent="0.25"/>
    <row r="366" customFormat="1" hidden="1" x14ac:dyDescent="0.25"/>
    <row r="367" customFormat="1" hidden="1" x14ac:dyDescent="0.25"/>
    <row r="368" customFormat="1" hidden="1" x14ac:dyDescent="0.25"/>
    <row r="369" customFormat="1" hidden="1" x14ac:dyDescent="0.25"/>
    <row r="370" customFormat="1" hidden="1" x14ac:dyDescent="0.25"/>
    <row r="371" customFormat="1" hidden="1" x14ac:dyDescent="0.25"/>
    <row r="372" customFormat="1" hidden="1" x14ac:dyDescent="0.25"/>
    <row r="373" customFormat="1" hidden="1" x14ac:dyDescent="0.25"/>
    <row r="374" customFormat="1" hidden="1" x14ac:dyDescent="0.25"/>
    <row r="375" customFormat="1" hidden="1" x14ac:dyDescent="0.25"/>
    <row r="376" customFormat="1" hidden="1" x14ac:dyDescent="0.25"/>
    <row r="377" customFormat="1" hidden="1" x14ac:dyDescent="0.25"/>
    <row r="378" customFormat="1" hidden="1" x14ac:dyDescent="0.25"/>
    <row r="379" customFormat="1" hidden="1" x14ac:dyDescent="0.25"/>
    <row r="380" customFormat="1" hidden="1" x14ac:dyDescent="0.25"/>
    <row r="381" customFormat="1" hidden="1" x14ac:dyDescent="0.25"/>
    <row r="382" customFormat="1" hidden="1" x14ac:dyDescent="0.25"/>
    <row r="383" customFormat="1" hidden="1" x14ac:dyDescent="0.25"/>
    <row r="384" customFormat="1" hidden="1" x14ac:dyDescent="0.25"/>
    <row r="385" customFormat="1" hidden="1" x14ac:dyDescent="0.25"/>
    <row r="386" customFormat="1" hidden="1" x14ac:dyDescent="0.25"/>
    <row r="387" customFormat="1" hidden="1" x14ac:dyDescent="0.25"/>
    <row r="388" customFormat="1" hidden="1" x14ac:dyDescent="0.25"/>
    <row r="389" customFormat="1" hidden="1" x14ac:dyDescent="0.25"/>
    <row r="390" customFormat="1" hidden="1" x14ac:dyDescent="0.25"/>
    <row r="391" customFormat="1" hidden="1" x14ac:dyDescent="0.25"/>
    <row r="392" customFormat="1" hidden="1" x14ac:dyDescent="0.25"/>
    <row r="393" customFormat="1" hidden="1" x14ac:dyDescent="0.25"/>
    <row r="394" customFormat="1" hidden="1" x14ac:dyDescent="0.25"/>
    <row r="395" customFormat="1" hidden="1" x14ac:dyDescent="0.25"/>
    <row r="396" customFormat="1" hidden="1" x14ac:dyDescent="0.25"/>
    <row r="397" customFormat="1" hidden="1" x14ac:dyDescent="0.25"/>
    <row r="398" customFormat="1" hidden="1" x14ac:dyDescent="0.25"/>
    <row r="399" customFormat="1" hidden="1" x14ac:dyDescent="0.25"/>
    <row r="400" customFormat="1" hidden="1" x14ac:dyDescent="0.25"/>
    <row r="401" customFormat="1" hidden="1" x14ac:dyDescent="0.25"/>
    <row r="402" customFormat="1" hidden="1" x14ac:dyDescent="0.25"/>
    <row r="403" customFormat="1" hidden="1" x14ac:dyDescent="0.25"/>
    <row r="404" customFormat="1" hidden="1" x14ac:dyDescent="0.25"/>
    <row r="405" customFormat="1" hidden="1" x14ac:dyDescent="0.25"/>
    <row r="406" customFormat="1" hidden="1" x14ac:dyDescent="0.25"/>
    <row r="407" customFormat="1" hidden="1" x14ac:dyDescent="0.25"/>
    <row r="408" customFormat="1" hidden="1" x14ac:dyDescent="0.25"/>
    <row r="409" customFormat="1" hidden="1" x14ac:dyDescent="0.25"/>
    <row r="410" customFormat="1" hidden="1" x14ac:dyDescent="0.25"/>
    <row r="411" customFormat="1" hidden="1" x14ac:dyDescent="0.25"/>
    <row r="412" customFormat="1" hidden="1" x14ac:dyDescent="0.25"/>
    <row r="413" customFormat="1" hidden="1" x14ac:dyDescent="0.25"/>
    <row r="414" customFormat="1" hidden="1" x14ac:dyDescent="0.25"/>
    <row r="415" customFormat="1" hidden="1" x14ac:dyDescent="0.25"/>
    <row r="416" customFormat="1" hidden="1" x14ac:dyDescent="0.25"/>
    <row r="417" customFormat="1" hidden="1" x14ac:dyDescent="0.25"/>
    <row r="418" customFormat="1" hidden="1" x14ac:dyDescent="0.25"/>
    <row r="419" customFormat="1" hidden="1" x14ac:dyDescent="0.25"/>
    <row r="420" customFormat="1" hidden="1" x14ac:dyDescent="0.25"/>
    <row r="421" customFormat="1" hidden="1" x14ac:dyDescent="0.25"/>
    <row r="422" customFormat="1" hidden="1" x14ac:dyDescent="0.25"/>
    <row r="423" customFormat="1" hidden="1" x14ac:dyDescent="0.25"/>
    <row r="424" customFormat="1" hidden="1" x14ac:dyDescent="0.25"/>
    <row r="425" customFormat="1" hidden="1" x14ac:dyDescent="0.25"/>
    <row r="426" customFormat="1" hidden="1" x14ac:dyDescent="0.25"/>
    <row r="427" customFormat="1" hidden="1" x14ac:dyDescent="0.25"/>
    <row r="428" customFormat="1" hidden="1" x14ac:dyDescent="0.25"/>
    <row r="429" customFormat="1" hidden="1" x14ac:dyDescent="0.25"/>
    <row r="430" customFormat="1" hidden="1" x14ac:dyDescent="0.25"/>
    <row r="431" customFormat="1" hidden="1" x14ac:dyDescent="0.25"/>
    <row r="432" customFormat="1" hidden="1" x14ac:dyDescent="0.25"/>
    <row r="433" customFormat="1" hidden="1" x14ac:dyDescent="0.25"/>
    <row r="434" customFormat="1" hidden="1" x14ac:dyDescent="0.25"/>
    <row r="435" customFormat="1" hidden="1" x14ac:dyDescent="0.25"/>
    <row r="436" customFormat="1" hidden="1" x14ac:dyDescent="0.25"/>
    <row r="437" customFormat="1" hidden="1" x14ac:dyDescent="0.25"/>
    <row r="438" customFormat="1" hidden="1" x14ac:dyDescent="0.25"/>
    <row r="439" customFormat="1" hidden="1" x14ac:dyDescent="0.25"/>
    <row r="440" customFormat="1" hidden="1" x14ac:dyDescent="0.25"/>
    <row r="441" customFormat="1" hidden="1" x14ac:dyDescent="0.25"/>
    <row r="442" customFormat="1" hidden="1" x14ac:dyDescent="0.25"/>
    <row r="443" customFormat="1" hidden="1" x14ac:dyDescent="0.25"/>
    <row r="444" customFormat="1" hidden="1" x14ac:dyDescent="0.25"/>
    <row r="445" customFormat="1" hidden="1" x14ac:dyDescent="0.25"/>
    <row r="446" customFormat="1" hidden="1" x14ac:dyDescent="0.25"/>
    <row r="447" customFormat="1" hidden="1" x14ac:dyDescent="0.25"/>
    <row r="448" customFormat="1" hidden="1" x14ac:dyDescent="0.25"/>
    <row r="449" customFormat="1" hidden="1" x14ac:dyDescent="0.25"/>
    <row r="450" customFormat="1" hidden="1" x14ac:dyDescent="0.25"/>
    <row r="451" customFormat="1" hidden="1" x14ac:dyDescent="0.25"/>
    <row r="452" customFormat="1" hidden="1" x14ac:dyDescent="0.25"/>
    <row r="453" customFormat="1" hidden="1" x14ac:dyDescent="0.25"/>
    <row r="454" customFormat="1" hidden="1" x14ac:dyDescent="0.25"/>
    <row r="455" customFormat="1" hidden="1" x14ac:dyDescent="0.25"/>
    <row r="456" customFormat="1" hidden="1" x14ac:dyDescent="0.25"/>
    <row r="457" customFormat="1" hidden="1" x14ac:dyDescent="0.25"/>
    <row r="458" customFormat="1" hidden="1" x14ac:dyDescent="0.25"/>
    <row r="459" customFormat="1" hidden="1" x14ac:dyDescent="0.25"/>
    <row r="460" customFormat="1" hidden="1" x14ac:dyDescent="0.25"/>
    <row r="461" customFormat="1" hidden="1" x14ac:dyDescent="0.25"/>
    <row r="462" customFormat="1" hidden="1" x14ac:dyDescent="0.25"/>
    <row r="463" customFormat="1" hidden="1" x14ac:dyDescent="0.25"/>
    <row r="464" customFormat="1" hidden="1" x14ac:dyDescent="0.25"/>
    <row r="465" customFormat="1" hidden="1" x14ac:dyDescent="0.25"/>
    <row r="466" customFormat="1" hidden="1" x14ac:dyDescent="0.25"/>
    <row r="467" customFormat="1" hidden="1" x14ac:dyDescent="0.25"/>
    <row r="468" customFormat="1" hidden="1" x14ac:dyDescent="0.25"/>
    <row r="469" customFormat="1" hidden="1" x14ac:dyDescent="0.25"/>
    <row r="470" customFormat="1" hidden="1" x14ac:dyDescent="0.25"/>
    <row r="471" customFormat="1" hidden="1" x14ac:dyDescent="0.25"/>
    <row r="472" customFormat="1" hidden="1" x14ac:dyDescent="0.25"/>
    <row r="473" customFormat="1" hidden="1" x14ac:dyDescent="0.25"/>
    <row r="474" customFormat="1" hidden="1" x14ac:dyDescent="0.25"/>
    <row r="475" customFormat="1" hidden="1" x14ac:dyDescent="0.25"/>
    <row r="476" customFormat="1" hidden="1" x14ac:dyDescent="0.25"/>
    <row r="477" customFormat="1" hidden="1" x14ac:dyDescent="0.25"/>
    <row r="478" customFormat="1" hidden="1" x14ac:dyDescent="0.25"/>
    <row r="479" customFormat="1" hidden="1" x14ac:dyDescent="0.25"/>
    <row r="480" customFormat="1" hidden="1" x14ac:dyDescent="0.25"/>
    <row r="481" customFormat="1" hidden="1" x14ac:dyDescent="0.25"/>
    <row r="482" customFormat="1" hidden="1" x14ac:dyDescent="0.25"/>
    <row r="483" customFormat="1" hidden="1" x14ac:dyDescent="0.25"/>
    <row r="484" customFormat="1" hidden="1" x14ac:dyDescent="0.25"/>
    <row r="485" customFormat="1" hidden="1" x14ac:dyDescent="0.25"/>
    <row r="486" customFormat="1" hidden="1" x14ac:dyDescent="0.25"/>
    <row r="487" customFormat="1" hidden="1" x14ac:dyDescent="0.25"/>
    <row r="488" customFormat="1" hidden="1" x14ac:dyDescent="0.25"/>
    <row r="489" customFormat="1" hidden="1" x14ac:dyDescent="0.25"/>
    <row r="490" customFormat="1" hidden="1" x14ac:dyDescent="0.25"/>
    <row r="491" customFormat="1" hidden="1" x14ac:dyDescent="0.25"/>
    <row r="492" customFormat="1" hidden="1" x14ac:dyDescent="0.25"/>
    <row r="493" customFormat="1" hidden="1" x14ac:dyDescent="0.25"/>
    <row r="494" customFormat="1" hidden="1" x14ac:dyDescent="0.25"/>
    <row r="495" customFormat="1" hidden="1" x14ac:dyDescent="0.25"/>
    <row r="496" customFormat="1" hidden="1" x14ac:dyDescent="0.25"/>
    <row r="497" customFormat="1" hidden="1" x14ac:dyDescent="0.25"/>
    <row r="498" customFormat="1" hidden="1" x14ac:dyDescent="0.25"/>
    <row r="499" customFormat="1" hidden="1" x14ac:dyDescent="0.25"/>
    <row r="500" customFormat="1" hidden="1" x14ac:dyDescent="0.25"/>
    <row r="501" customFormat="1" hidden="1" x14ac:dyDescent="0.25"/>
    <row r="502" customFormat="1" hidden="1" x14ac:dyDescent="0.25"/>
    <row r="503" customFormat="1" hidden="1" x14ac:dyDescent="0.25"/>
    <row r="504" customFormat="1" hidden="1" x14ac:dyDescent="0.25"/>
    <row r="505" customFormat="1" hidden="1" x14ac:dyDescent="0.25"/>
    <row r="506" customFormat="1" hidden="1" x14ac:dyDescent="0.25"/>
    <row r="507" customFormat="1" hidden="1" x14ac:dyDescent="0.25"/>
    <row r="508" customFormat="1" hidden="1" x14ac:dyDescent="0.25"/>
    <row r="509" customFormat="1" hidden="1" x14ac:dyDescent="0.25"/>
    <row r="510" customFormat="1" hidden="1" x14ac:dyDescent="0.25"/>
    <row r="511" customFormat="1" hidden="1" x14ac:dyDescent="0.25"/>
    <row r="512" customFormat="1" hidden="1" x14ac:dyDescent="0.25"/>
    <row r="513" customFormat="1" hidden="1" x14ac:dyDescent="0.25"/>
    <row r="514" customFormat="1" hidden="1" x14ac:dyDescent="0.25"/>
    <row r="515" customFormat="1" hidden="1" x14ac:dyDescent="0.25"/>
    <row r="516" customFormat="1" hidden="1" x14ac:dyDescent="0.25"/>
    <row r="517" customFormat="1" hidden="1" x14ac:dyDescent="0.25"/>
    <row r="518" customFormat="1" hidden="1" x14ac:dyDescent="0.25"/>
    <row r="519" customFormat="1" hidden="1" x14ac:dyDescent="0.25"/>
    <row r="520" customFormat="1" hidden="1" x14ac:dyDescent="0.25"/>
    <row r="521" customFormat="1" hidden="1" x14ac:dyDescent="0.25"/>
    <row r="522" customFormat="1" hidden="1" x14ac:dyDescent="0.25"/>
    <row r="523" customFormat="1" hidden="1" x14ac:dyDescent="0.25"/>
    <row r="524" customFormat="1" hidden="1" x14ac:dyDescent="0.25"/>
    <row r="525" customFormat="1" hidden="1" x14ac:dyDescent="0.25"/>
    <row r="526" customFormat="1" hidden="1" x14ac:dyDescent="0.25"/>
    <row r="527" customFormat="1" hidden="1" x14ac:dyDescent="0.25"/>
    <row r="528" customFormat="1" hidden="1" x14ac:dyDescent="0.25"/>
    <row r="529" customFormat="1" hidden="1" x14ac:dyDescent="0.25"/>
    <row r="530" customFormat="1" hidden="1" x14ac:dyDescent="0.25"/>
    <row r="531" customFormat="1" hidden="1" x14ac:dyDescent="0.25"/>
    <row r="532" customFormat="1" hidden="1" x14ac:dyDescent="0.25"/>
    <row r="533" customFormat="1" hidden="1" x14ac:dyDescent="0.25"/>
    <row r="534" customFormat="1" hidden="1" x14ac:dyDescent="0.25"/>
    <row r="535" customFormat="1" hidden="1" x14ac:dyDescent="0.25"/>
    <row r="536" customFormat="1" hidden="1" x14ac:dyDescent="0.25"/>
    <row r="537" customFormat="1" hidden="1" x14ac:dyDescent="0.25"/>
    <row r="538" customFormat="1" hidden="1" x14ac:dyDescent="0.25"/>
    <row r="539" customFormat="1" hidden="1" x14ac:dyDescent="0.25"/>
    <row r="540" customFormat="1" hidden="1" x14ac:dyDescent="0.25"/>
    <row r="541" customFormat="1" hidden="1" x14ac:dyDescent="0.25"/>
    <row r="542" customFormat="1" hidden="1" x14ac:dyDescent="0.25"/>
    <row r="543" customFormat="1" hidden="1" x14ac:dyDescent="0.25"/>
    <row r="544" customFormat="1" hidden="1" x14ac:dyDescent="0.25"/>
    <row r="545" customFormat="1" hidden="1" x14ac:dyDescent="0.25"/>
    <row r="546" customFormat="1" hidden="1" x14ac:dyDescent="0.25"/>
    <row r="547" customFormat="1" hidden="1" x14ac:dyDescent="0.25"/>
    <row r="548" customFormat="1" hidden="1" x14ac:dyDescent="0.25"/>
    <row r="549" customFormat="1" hidden="1" x14ac:dyDescent="0.25"/>
    <row r="550" customFormat="1" hidden="1" x14ac:dyDescent="0.25"/>
    <row r="551" customFormat="1" hidden="1" x14ac:dyDescent="0.25"/>
    <row r="552" customFormat="1" hidden="1" x14ac:dyDescent="0.25"/>
    <row r="553" customFormat="1" hidden="1" x14ac:dyDescent="0.25"/>
    <row r="554" customFormat="1" hidden="1" x14ac:dyDescent="0.25"/>
    <row r="555" customFormat="1" hidden="1" x14ac:dyDescent="0.25"/>
    <row r="556" customFormat="1" hidden="1" x14ac:dyDescent="0.25"/>
    <row r="557" customFormat="1" hidden="1" x14ac:dyDescent="0.25"/>
    <row r="558" customFormat="1" hidden="1" x14ac:dyDescent="0.25"/>
    <row r="559" customFormat="1" hidden="1" x14ac:dyDescent="0.25"/>
    <row r="560" customFormat="1" hidden="1" x14ac:dyDescent="0.25"/>
    <row r="561" customFormat="1" hidden="1" x14ac:dyDescent="0.25"/>
    <row r="562" customFormat="1" hidden="1" x14ac:dyDescent="0.25"/>
    <row r="563" customFormat="1" hidden="1" x14ac:dyDescent="0.25"/>
    <row r="564" customFormat="1" hidden="1" x14ac:dyDescent="0.25"/>
    <row r="565" customFormat="1" hidden="1" x14ac:dyDescent="0.25"/>
    <row r="566" customFormat="1" hidden="1" x14ac:dyDescent="0.25"/>
    <row r="567" customFormat="1" hidden="1" x14ac:dyDescent="0.25"/>
    <row r="568" customFormat="1" hidden="1" x14ac:dyDescent="0.25"/>
    <row r="569" customFormat="1" hidden="1" x14ac:dyDescent="0.25"/>
    <row r="570" customFormat="1" hidden="1" x14ac:dyDescent="0.25"/>
    <row r="571" customFormat="1" hidden="1" x14ac:dyDescent="0.25"/>
    <row r="572" customFormat="1" hidden="1" x14ac:dyDescent="0.25"/>
    <row r="573" customFormat="1" hidden="1" x14ac:dyDescent="0.25"/>
    <row r="574" customFormat="1" hidden="1" x14ac:dyDescent="0.25"/>
    <row r="575" customFormat="1" hidden="1" x14ac:dyDescent="0.25"/>
    <row r="576" customFormat="1" hidden="1" x14ac:dyDescent="0.25"/>
    <row r="577" customFormat="1" hidden="1" x14ac:dyDescent="0.25"/>
    <row r="578" customFormat="1" hidden="1" x14ac:dyDescent="0.25"/>
    <row r="579" customFormat="1" hidden="1" x14ac:dyDescent="0.25"/>
    <row r="580" customFormat="1" hidden="1" x14ac:dyDescent="0.25"/>
    <row r="581" customFormat="1" hidden="1" x14ac:dyDescent="0.25"/>
    <row r="582" customFormat="1" hidden="1" x14ac:dyDescent="0.25"/>
    <row r="583" customFormat="1" hidden="1" x14ac:dyDescent="0.25"/>
    <row r="584" customFormat="1" hidden="1" x14ac:dyDescent="0.25"/>
    <row r="585" customFormat="1" hidden="1" x14ac:dyDescent="0.25"/>
    <row r="586" customFormat="1" hidden="1" x14ac:dyDescent="0.25"/>
    <row r="587" customFormat="1" hidden="1" x14ac:dyDescent="0.25"/>
    <row r="588" customFormat="1" hidden="1" x14ac:dyDescent="0.25"/>
    <row r="589" customFormat="1" hidden="1" x14ac:dyDescent="0.25"/>
    <row r="590" customFormat="1" hidden="1" x14ac:dyDescent="0.25"/>
    <row r="591" customFormat="1" hidden="1" x14ac:dyDescent="0.25"/>
    <row r="592" customFormat="1" hidden="1" x14ac:dyDescent="0.25"/>
    <row r="593" customFormat="1" hidden="1" x14ac:dyDescent="0.25"/>
    <row r="594" customFormat="1" hidden="1" x14ac:dyDescent="0.25"/>
    <row r="595" customFormat="1" hidden="1" x14ac:dyDescent="0.25"/>
    <row r="596" customFormat="1" hidden="1" x14ac:dyDescent="0.25"/>
    <row r="597" customFormat="1" hidden="1" x14ac:dyDescent="0.25"/>
    <row r="598" customFormat="1" hidden="1" x14ac:dyDescent="0.25"/>
    <row r="599" customFormat="1" hidden="1" x14ac:dyDescent="0.25"/>
    <row r="600" customFormat="1" hidden="1" x14ac:dyDescent="0.25"/>
    <row r="601" customFormat="1" hidden="1" x14ac:dyDescent="0.25"/>
    <row r="602" customFormat="1" hidden="1" x14ac:dyDescent="0.25"/>
    <row r="603" customFormat="1" hidden="1" x14ac:dyDescent="0.25"/>
    <row r="604" customFormat="1" hidden="1" x14ac:dyDescent="0.25"/>
    <row r="605" customFormat="1" hidden="1" x14ac:dyDescent="0.25"/>
    <row r="606" customFormat="1" hidden="1" x14ac:dyDescent="0.25"/>
    <row r="607" customFormat="1" hidden="1" x14ac:dyDescent="0.25"/>
    <row r="608" customFormat="1" hidden="1" x14ac:dyDescent="0.25"/>
    <row r="609" customFormat="1" hidden="1" x14ac:dyDescent="0.25"/>
    <row r="610" customFormat="1" hidden="1" x14ac:dyDescent="0.25"/>
    <row r="611" customFormat="1" hidden="1" x14ac:dyDescent="0.25"/>
    <row r="612" customFormat="1" hidden="1" x14ac:dyDescent="0.25"/>
    <row r="613" customFormat="1" hidden="1" x14ac:dyDescent="0.25"/>
    <row r="614" customFormat="1" hidden="1" x14ac:dyDescent="0.25"/>
    <row r="615" customFormat="1" hidden="1" x14ac:dyDescent="0.25"/>
    <row r="616" customFormat="1" hidden="1" x14ac:dyDescent="0.25"/>
    <row r="617" customFormat="1" hidden="1" x14ac:dyDescent="0.25"/>
    <row r="618" customFormat="1" hidden="1" x14ac:dyDescent="0.25"/>
    <row r="619" customFormat="1" hidden="1" x14ac:dyDescent="0.25"/>
    <row r="620" customFormat="1" hidden="1" x14ac:dyDescent="0.25"/>
    <row r="621" customFormat="1" hidden="1" x14ac:dyDescent="0.25"/>
    <row r="622" customFormat="1" hidden="1" x14ac:dyDescent="0.25"/>
    <row r="623" customFormat="1" hidden="1" x14ac:dyDescent="0.25"/>
    <row r="624" customFormat="1" hidden="1" x14ac:dyDescent="0.25"/>
    <row r="625" customFormat="1" hidden="1" x14ac:dyDescent="0.25"/>
    <row r="626" customFormat="1" hidden="1" x14ac:dyDescent="0.25"/>
    <row r="627" customFormat="1" hidden="1" x14ac:dyDescent="0.25"/>
    <row r="628" customFormat="1" hidden="1" x14ac:dyDescent="0.25"/>
    <row r="629" customFormat="1" hidden="1" x14ac:dyDescent="0.25"/>
    <row r="630" customFormat="1" hidden="1" x14ac:dyDescent="0.25"/>
    <row r="631" customFormat="1" hidden="1" x14ac:dyDescent="0.25"/>
    <row r="632" customFormat="1" hidden="1" x14ac:dyDescent="0.25"/>
    <row r="633" customFormat="1" hidden="1" x14ac:dyDescent="0.25"/>
    <row r="634" customFormat="1" hidden="1" x14ac:dyDescent="0.25"/>
    <row r="635" customFormat="1" hidden="1" x14ac:dyDescent="0.25"/>
    <row r="636" customFormat="1" hidden="1" x14ac:dyDescent="0.25"/>
    <row r="637" customFormat="1" hidden="1" x14ac:dyDescent="0.25"/>
    <row r="638" customFormat="1" hidden="1" x14ac:dyDescent="0.25"/>
    <row r="639" customFormat="1" hidden="1" x14ac:dyDescent="0.25"/>
    <row r="640" customFormat="1" hidden="1" x14ac:dyDescent="0.25"/>
    <row r="641" customFormat="1" hidden="1" x14ac:dyDescent="0.25"/>
    <row r="642" customFormat="1" hidden="1" x14ac:dyDescent="0.25"/>
    <row r="643" customFormat="1" hidden="1" x14ac:dyDescent="0.25"/>
    <row r="644" customFormat="1" hidden="1" x14ac:dyDescent="0.25"/>
    <row r="645" customFormat="1" hidden="1" x14ac:dyDescent="0.25"/>
    <row r="646" customFormat="1" hidden="1" x14ac:dyDescent="0.25"/>
    <row r="647" customFormat="1" hidden="1" x14ac:dyDescent="0.25"/>
    <row r="648" customFormat="1" hidden="1" x14ac:dyDescent="0.25"/>
    <row r="649" customFormat="1" hidden="1" x14ac:dyDescent="0.25"/>
    <row r="650" customFormat="1" hidden="1" x14ac:dyDescent="0.25"/>
    <row r="651" customFormat="1" hidden="1" x14ac:dyDescent="0.25"/>
    <row r="652" customFormat="1" hidden="1" x14ac:dyDescent="0.25"/>
    <row r="653" customFormat="1" hidden="1" x14ac:dyDescent="0.25"/>
    <row r="654" customFormat="1" hidden="1" x14ac:dyDescent="0.25"/>
    <row r="655" customFormat="1" hidden="1" x14ac:dyDescent="0.25"/>
    <row r="656" customFormat="1" hidden="1" x14ac:dyDescent="0.25"/>
    <row r="657" customFormat="1" hidden="1" x14ac:dyDescent="0.25"/>
    <row r="658" customFormat="1" hidden="1" x14ac:dyDescent="0.25"/>
    <row r="659" customFormat="1" hidden="1" x14ac:dyDescent="0.25"/>
    <row r="660" customFormat="1" hidden="1" x14ac:dyDescent="0.25"/>
    <row r="661" customFormat="1" hidden="1" x14ac:dyDescent="0.25"/>
    <row r="662" customFormat="1" hidden="1" x14ac:dyDescent="0.25"/>
    <row r="663" customFormat="1" hidden="1" x14ac:dyDescent="0.25"/>
    <row r="664" customFormat="1" hidden="1" x14ac:dyDescent="0.25"/>
    <row r="665" customFormat="1" hidden="1" x14ac:dyDescent="0.25"/>
    <row r="666" customFormat="1" hidden="1" x14ac:dyDescent="0.25"/>
    <row r="667" customFormat="1" hidden="1" x14ac:dyDescent="0.25"/>
    <row r="668" customFormat="1" hidden="1" x14ac:dyDescent="0.25"/>
    <row r="669" customFormat="1" hidden="1" x14ac:dyDescent="0.25"/>
    <row r="670" customFormat="1" hidden="1" x14ac:dyDescent="0.25"/>
    <row r="671" customFormat="1" hidden="1" x14ac:dyDescent="0.25"/>
    <row r="672" customFormat="1" hidden="1" x14ac:dyDescent="0.25"/>
    <row r="673" customFormat="1" hidden="1" x14ac:dyDescent="0.25"/>
    <row r="674" customFormat="1" hidden="1" x14ac:dyDescent="0.25"/>
    <row r="675" customFormat="1" hidden="1" x14ac:dyDescent="0.25"/>
    <row r="676" customFormat="1" hidden="1" x14ac:dyDescent="0.25"/>
    <row r="677" customFormat="1" hidden="1" x14ac:dyDescent="0.25"/>
    <row r="678" customFormat="1" hidden="1" x14ac:dyDescent="0.25"/>
    <row r="679" customFormat="1" hidden="1" x14ac:dyDescent="0.25"/>
    <row r="680" customFormat="1" hidden="1" x14ac:dyDescent="0.25"/>
    <row r="681" customFormat="1" hidden="1" x14ac:dyDescent="0.25"/>
    <row r="682" customFormat="1" hidden="1" x14ac:dyDescent="0.25"/>
    <row r="683" customFormat="1" hidden="1" x14ac:dyDescent="0.25"/>
    <row r="684" customFormat="1" hidden="1" x14ac:dyDescent="0.25"/>
    <row r="685" customFormat="1" hidden="1" x14ac:dyDescent="0.25"/>
    <row r="686" customFormat="1" hidden="1" x14ac:dyDescent="0.25"/>
    <row r="687" customFormat="1" hidden="1" x14ac:dyDescent="0.25"/>
    <row r="688" customFormat="1" hidden="1" x14ac:dyDescent="0.25"/>
    <row r="689" customFormat="1" hidden="1" x14ac:dyDescent="0.25"/>
    <row r="690" customFormat="1" hidden="1" x14ac:dyDescent="0.25"/>
    <row r="691" customFormat="1" hidden="1" x14ac:dyDescent="0.25"/>
    <row r="692" customFormat="1" hidden="1" x14ac:dyDescent="0.25"/>
    <row r="693" customFormat="1" hidden="1" x14ac:dyDescent="0.25"/>
    <row r="694" customFormat="1" hidden="1" x14ac:dyDescent="0.25"/>
    <row r="695" customFormat="1" hidden="1" x14ac:dyDescent="0.25"/>
    <row r="696" customFormat="1" hidden="1" x14ac:dyDescent="0.25"/>
    <row r="697" customFormat="1" hidden="1" x14ac:dyDescent="0.25"/>
    <row r="698" customFormat="1" hidden="1" x14ac:dyDescent="0.25"/>
    <row r="699" customFormat="1" hidden="1" x14ac:dyDescent="0.25"/>
    <row r="700" customFormat="1" hidden="1" x14ac:dyDescent="0.25"/>
    <row r="701" customFormat="1" hidden="1" x14ac:dyDescent="0.25"/>
    <row r="702" customFormat="1" hidden="1" x14ac:dyDescent="0.25"/>
    <row r="703" customFormat="1" hidden="1" x14ac:dyDescent="0.25"/>
    <row r="704" customFormat="1" hidden="1" x14ac:dyDescent="0.25"/>
    <row r="705" customFormat="1" hidden="1" x14ac:dyDescent="0.25"/>
    <row r="706" customFormat="1" hidden="1" x14ac:dyDescent="0.25"/>
    <row r="707" customFormat="1" hidden="1" x14ac:dyDescent="0.25"/>
    <row r="708" customFormat="1" hidden="1" x14ac:dyDescent="0.25"/>
    <row r="709" customFormat="1" hidden="1" x14ac:dyDescent="0.25"/>
    <row r="710" customFormat="1" hidden="1" x14ac:dyDescent="0.25"/>
    <row r="711" customFormat="1" hidden="1" x14ac:dyDescent="0.25"/>
    <row r="712" customFormat="1" hidden="1" x14ac:dyDescent="0.25"/>
    <row r="713" customFormat="1" hidden="1" x14ac:dyDescent="0.25"/>
    <row r="714" customFormat="1" hidden="1" x14ac:dyDescent="0.25"/>
    <row r="715" customFormat="1" hidden="1" x14ac:dyDescent="0.25"/>
    <row r="716" customFormat="1" hidden="1" x14ac:dyDescent="0.25"/>
    <row r="717" customFormat="1" hidden="1" x14ac:dyDescent="0.25"/>
    <row r="718" customFormat="1" hidden="1" x14ac:dyDescent="0.25"/>
    <row r="719" customFormat="1" hidden="1" x14ac:dyDescent="0.25"/>
    <row r="720" customFormat="1" hidden="1" x14ac:dyDescent="0.25"/>
    <row r="721" customFormat="1" hidden="1" x14ac:dyDescent="0.25"/>
    <row r="722" customFormat="1" hidden="1" x14ac:dyDescent="0.25"/>
    <row r="723" customFormat="1" hidden="1" x14ac:dyDescent="0.25"/>
    <row r="724" customFormat="1" hidden="1" x14ac:dyDescent="0.25"/>
    <row r="725" customFormat="1" hidden="1" x14ac:dyDescent="0.25"/>
    <row r="726" customFormat="1" hidden="1" x14ac:dyDescent="0.25"/>
    <row r="727" customFormat="1" hidden="1" x14ac:dyDescent="0.25"/>
    <row r="728" customFormat="1" hidden="1" x14ac:dyDescent="0.25"/>
    <row r="729" customFormat="1" hidden="1" x14ac:dyDescent="0.25"/>
    <row r="730" customFormat="1" hidden="1" x14ac:dyDescent="0.25"/>
    <row r="731" customFormat="1" hidden="1" x14ac:dyDescent="0.25"/>
    <row r="732" customFormat="1" hidden="1" x14ac:dyDescent="0.25"/>
    <row r="733" customFormat="1" hidden="1" x14ac:dyDescent="0.25"/>
    <row r="734" customFormat="1" hidden="1" x14ac:dyDescent="0.25"/>
    <row r="735" customFormat="1" hidden="1" x14ac:dyDescent="0.25"/>
    <row r="736" customFormat="1" hidden="1" x14ac:dyDescent="0.25"/>
    <row r="737" customFormat="1" hidden="1" x14ac:dyDescent="0.25"/>
    <row r="738" customFormat="1" hidden="1" x14ac:dyDescent="0.25"/>
    <row r="739" customFormat="1" hidden="1" x14ac:dyDescent="0.25"/>
    <row r="740" customFormat="1" hidden="1" x14ac:dyDescent="0.25"/>
    <row r="741" customFormat="1" hidden="1" x14ac:dyDescent="0.25"/>
    <row r="742" customFormat="1" hidden="1" x14ac:dyDescent="0.25"/>
    <row r="743" customFormat="1" hidden="1" x14ac:dyDescent="0.25"/>
    <row r="744" customFormat="1" hidden="1" x14ac:dyDescent="0.25"/>
    <row r="745" customFormat="1" hidden="1" x14ac:dyDescent="0.25"/>
    <row r="746" customFormat="1" hidden="1" x14ac:dyDescent="0.25"/>
    <row r="747" customFormat="1" hidden="1" x14ac:dyDescent="0.25"/>
    <row r="748" customFormat="1" hidden="1" x14ac:dyDescent="0.25"/>
    <row r="749" customFormat="1" hidden="1" x14ac:dyDescent="0.25"/>
    <row r="750" customFormat="1" hidden="1" x14ac:dyDescent="0.25"/>
    <row r="751" customFormat="1" hidden="1" x14ac:dyDescent="0.25"/>
    <row r="752" customFormat="1" hidden="1" x14ac:dyDescent="0.25"/>
    <row r="753" customFormat="1" hidden="1" x14ac:dyDescent="0.25"/>
    <row r="754" customFormat="1" hidden="1" x14ac:dyDescent="0.25"/>
    <row r="755" customFormat="1" hidden="1" x14ac:dyDescent="0.25"/>
    <row r="756" customFormat="1" hidden="1" x14ac:dyDescent="0.25"/>
    <row r="757" customFormat="1" hidden="1" x14ac:dyDescent="0.25"/>
    <row r="758" customFormat="1" hidden="1" x14ac:dyDescent="0.25"/>
    <row r="759" customFormat="1" hidden="1" x14ac:dyDescent="0.25"/>
    <row r="760" customFormat="1" hidden="1" x14ac:dyDescent="0.25"/>
    <row r="761" customFormat="1" hidden="1" x14ac:dyDescent="0.25"/>
    <row r="762" customFormat="1" hidden="1" x14ac:dyDescent="0.25"/>
    <row r="763" customFormat="1" hidden="1" x14ac:dyDescent="0.25"/>
    <row r="764" customFormat="1" hidden="1" x14ac:dyDescent="0.25"/>
    <row r="765" customFormat="1" hidden="1" x14ac:dyDescent="0.25"/>
    <row r="766" customFormat="1" hidden="1" x14ac:dyDescent="0.25"/>
    <row r="767" customFormat="1" hidden="1" x14ac:dyDescent="0.25"/>
    <row r="768" customFormat="1" hidden="1" x14ac:dyDescent="0.25"/>
    <row r="769" customFormat="1" hidden="1" x14ac:dyDescent="0.25"/>
    <row r="770" customFormat="1" hidden="1" x14ac:dyDescent="0.25"/>
    <row r="771" customFormat="1" hidden="1" x14ac:dyDescent="0.25"/>
    <row r="772" customFormat="1" hidden="1" x14ac:dyDescent="0.25"/>
    <row r="773" customFormat="1" hidden="1" x14ac:dyDescent="0.25"/>
    <row r="774" customFormat="1" hidden="1" x14ac:dyDescent="0.25"/>
    <row r="775" customFormat="1" hidden="1" x14ac:dyDescent="0.25"/>
    <row r="776" customFormat="1" hidden="1" x14ac:dyDescent="0.25"/>
    <row r="777" customFormat="1" hidden="1" x14ac:dyDescent="0.25"/>
    <row r="778" customFormat="1" hidden="1" x14ac:dyDescent="0.25"/>
    <row r="779" customFormat="1" hidden="1" x14ac:dyDescent="0.25"/>
    <row r="780" customFormat="1" hidden="1" x14ac:dyDescent="0.25"/>
    <row r="781" customFormat="1" hidden="1" x14ac:dyDescent="0.25"/>
    <row r="782" customFormat="1" hidden="1" x14ac:dyDescent="0.25"/>
    <row r="783" customFormat="1" hidden="1" x14ac:dyDescent="0.25"/>
    <row r="784" customFormat="1" hidden="1" x14ac:dyDescent="0.25"/>
    <row r="785" customFormat="1" hidden="1" x14ac:dyDescent="0.25"/>
    <row r="786" customFormat="1" hidden="1" x14ac:dyDescent="0.25"/>
    <row r="787" customFormat="1" hidden="1" x14ac:dyDescent="0.25"/>
    <row r="788" customFormat="1" hidden="1" x14ac:dyDescent="0.25"/>
    <row r="789" customFormat="1" hidden="1" x14ac:dyDescent="0.25"/>
    <row r="790" customFormat="1" hidden="1" x14ac:dyDescent="0.25"/>
    <row r="791" customFormat="1" hidden="1" x14ac:dyDescent="0.25"/>
    <row r="792" customFormat="1" hidden="1" x14ac:dyDescent="0.25"/>
    <row r="793" customFormat="1" hidden="1" x14ac:dyDescent="0.25"/>
    <row r="794" customFormat="1" hidden="1" x14ac:dyDescent="0.25"/>
    <row r="795" customFormat="1" hidden="1" x14ac:dyDescent="0.25"/>
    <row r="796" customFormat="1" hidden="1" x14ac:dyDescent="0.25"/>
    <row r="797" customFormat="1" hidden="1" x14ac:dyDescent="0.25"/>
    <row r="798" customFormat="1" hidden="1" x14ac:dyDescent="0.25"/>
    <row r="799" customFormat="1" hidden="1" x14ac:dyDescent="0.25"/>
    <row r="800" customFormat="1" hidden="1" x14ac:dyDescent="0.25"/>
    <row r="801" customFormat="1" hidden="1" x14ac:dyDescent="0.25"/>
    <row r="802" customFormat="1" hidden="1" x14ac:dyDescent="0.25"/>
    <row r="803" customFormat="1" hidden="1" x14ac:dyDescent="0.25"/>
    <row r="804" customFormat="1" hidden="1" x14ac:dyDescent="0.25"/>
    <row r="805" customFormat="1" hidden="1" x14ac:dyDescent="0.25"/>
    <row r="806" customFormat="1" hidden="1" x14ac:dyDescent="0.25"/>
    <row r="807" customFormat="1" hidden="1" x14ac:dyDescent="0.25"/>
    <row r="808" customFormat="1" hidden="1" x14ac:dyDescent="0.25"/>
    <row r="809" customFormat="1" hidden="1" x14ac:dyDescent="0.25"/>
    <row r="810" customFormat="1" hidden="1" x14ac:dyDescent="0.25"/>
    <row r="811" customFormat="1" hidden="1" x14ac:dyDescent="0.25"/>
    <row r="812" customFormat="1" hidden="1" x14ac:dyDescent="0.25"/>
    <row r="813" customFormat="1" hidden="1" x14ac:dyDescent="0.25"/>
    <row r="814" customFormat="1" hidden="1" x14ac:dyDescent="0.25"/>
    <row r="815" customFormat="1" hidden="1" x14ac:dyDescent="0.25"/>
    <row r="816" customFormat="1" hidden="1" x14ac:dyDescent="0.25"/>
    <row r="817" customFormat="1" hidden="1" x14ac:dyDescent="0.25"/>
    <row r="818" customFormat="1" hidden="1" x14ac:dyDescent="0.25"/>
    <row r="819" customFormat="1" hidden="1" x14ac:dyDescent="0.25"/>
    <row r="820" customFormat="1" hidden="1" x14ac:dyDescent="0.25"/>
    <row r="821" customFormat="1" hidden="1" x14ac:dyDescent="0.25"/>
    <row r="822" customFormat="1" hidden="1" x14ac:dyDescent="0.25"/>
    <row r="823" customFormat="1" hidden="1" x14ac:dyDescent="0.25"/>
    <row r="824" customFormat="1" hidden="1" x14ac:dyDescent="0.25"/>
    <row r="825" customFormat="1" hidden="1" x14ac:dyDescent="0.25"/>
    <row r="826" customFormat="1" hidden="1" x14ac:dyDescent="0.25"/>
    <row r="827" customFormat="1" hidden="1" x14ac:dyDescent="0.25"/>
    <row r="828" customFormat="1" hidden="1" x14ac:dyDescent="0.25"/>
    <row r="829" customFormat="1" hidden="1" x14ac:dyDescent="0.25"/>
    <row r="830" customFormat="1" hidden="1" x14ac:dyDescent="0.25"/>
    <row r="831" customFormat="1" hidden="1" x14ac:dyDescent="0.25"/>
    <row r="832" customFormat="1" hidden="1" x14ac:dyDescent="0.25"/>
    <row r="833" customFormat="1" hidden="1" x14ac:dyDescent="0.25"/>
    <row r="834" customFormat="1" hidden="1" x14ac:dyDescent="0.25"/>
    <row r="835" customFormat="1" hidden="1" x14ac:dyDescent="0.25"/>
    <row r="836" customFormat="1" hidden="1" x14ac:dyDescent="0.25"/>
    <row r="837" customFormat="1" hidden="1" x14ac:dyDescent="0.25"/>
    <row r="838" customFormat="1" hidden="1" x14ac:dyDescent="0.25"/>
    <row r="839" customFormat="1" hidden="1" x14ac:dyDescent="0.25"/>
    <row r="840" customFormat="1" hidden="1" x14ac:dyDescent="0.25"/>
    <row r="841" customFormat="1" hidden="1" x14ac:dyDescent="0.25"/>
    <row r="842" customFormat="1" hidden="1" x14ac:dyDescent="0.25"/>
    <row r="843" customFormat="1" hidden="1" x14ac:dyDescent="0.25"/>
    <row r="844" customFormat="1" hidden="1" x14ac:dyDescent="0.25"/>
    <row r="845" customFormat="1" hidden="1" x14ac:dyDescent="0.25"/>
    <row r="846" customFormat="1" hidden="1" x14ac:dyDescent="0.25"/>
    <row r="847" customFormat="1" hidden="1" x14ac:dyDescent="0.25"/>
    <row r="848" customFormat="1" hidden="1" x14ac:dyDescent="0.25"/>
    <row r="849" customFormat="1" hidden="1" x14ac:dyDescent="0.25"/>
    <row r="850" customFormat="1" hidden="1" x14ac:dyDescent="0.25"/>
    <row r="851" customFormat="1" hidden="1" x14ac:dyDescent="0.25"/>
    <row r="852" customFormat="1" hidden="1" x14ac:dyDescent="0.25"/>
    <row r="853" customFormat="1" hidden="1" x14ac:dyDescent="0.25"/>
    <row r="854" customFormat="1" hidden="1" x14ac:dyDescent="0.25"/>
    <row r="855" customFormat="1" hidden="1" x14ac:dyDescent="0.25"/>
    <row r="856" customFormat="1" hidden="1" x14ac:dyDescent="0.25"/>
    <row r="857" customFormat="1" hidden="1" x14ac:dyDescent="0.25"/>
    <row r="858" customFormat="1" hidden="1" x14ac:dyDescent="0.25"/>
    <row r="859" customFormat="1" hidden="1" x14ac:dyDescent="0.25"/>
    <row r="860" customFormat="1" hidden="1" x14ac:dyDescent="0.25"/>
    <row r="861" customFormat="1" hidden="1" x14ac:dyDescent="0.25"/>
    <row r="862" customFormat="1" hidden="1" x14ac:dyDescent="0.25"/>
    <row r="863" customFormat="1" hidden="1" x14ac:dyDescent="0.25"/>
    <row r="864" customFormat="1" hidden="1" x14ac:dyDescent="0.25"/>
    <row r="865" customFormat="1" hidden="1" x14ac:dyDescent="0.25"/>
    <row r="866" customFormat="1" hidden="1" x14ac:dyDescent="0.25"/>
    <row r="867" customFormat="1" hidden="1" x14ac:dyDescent="0.25"/>
    <row r="868" customFormat="1" hidden="1" x14ac:dyDescent="0.25"/>
    <row r="869" customFormat="1" hidden="1" x14ac:dyDescent="0.25"/>
    <row r="870" customFormat="1" hidden="1" x14ac:dyDescent="0.25"/>
    <row r="871" customFormat="1" hidden="1" x14ac:dyDescent="0.25"/>
    <row r="872" customFormat="1" hidden="1" x14ac:dyDescent="0.25"/>
    <row r="873" customFormat="1" hidden="1" x14ac:dyDescent="0.25"/>
    <row r="874" customFormat="1" hidden="1" x14ac:dyDescent="0.25"/>
    <row r="875" customFormat="1" hidden="1" x14ac:dyDescent="0.25"/>
    <row r="876" customFormat="1" hidden="1" x14ac:dyDescent="0.25"/>
    <row r="877" customFormat="1" hidden="1" x14ac:dyDescent="0.25"/>
    <row r="878" customFormat="1" hidden="1" x14ac:dyDescent="0.25"/>
    <row r="879" customFormat="1" hidden="1" x14ac:dyDescent="0.25"/>
    <row r="880" customFormat="1" hidden="1" x14ac:dyDescent="0.25"/>
    <row r="881" customFormat="1" hidden="1" x14ac:dyDescent="0.25"/>
    <row r="882" customFormat="1" hidden="1" x14ac:dyDescent="0.25"/>
    <row r="883" customFormat="1" hidden="1" x14ac:dyDescent="0.25"/>
    <row r="884" customFormat="1" hidden="1" x14ac:dyDescent="0.25"/>
    <row r="885" customFormat="1" hidden="1" x14ac:dyDescent="0.25"/>
    <row r="886" customFormat="1" hidden="1" x14ac:dyDescent="0.25"/>
    <row r="887" customFormat="1" hidden="1" x14ac:dyDescent="0.25"/>
    <row r="888" customFormat="1" hidden="1" x14ac:dyDescent="0.25"/>
    <row r="889" customFormat="1" hidden="1" x14ac:dyDescent="0.25"/>
    <row r="890" customFormat="1" hidden="1" x14ac:dyDescent="0.25"/>
    <row r="891" customFormat="1" hidden="1" x14ac:dyDescent="0.25"/>
    <row r="892" customFormat="1" hidden="1" x14ac:dyDescent="0.25"/>
    <row r="893" customFormat="1" hidden="1" x14ac:dyDescent="0.25"/>
    <row r="894" customFormat="1" hidden="1" x14ac:dyDescent="0.25"/>
    <row r="895" customFormat="1" hidden="1" x14ac:dyDescent="0.25"/>
    <row r="896" customFormat="1" hidden="1" x14ac:dyDescent="0.25"/>
    <row r="897" customFormat="1" hidden="1" x14ac:dyDescent="0.25"/>
    <row r="898" customFormat="1" hidden="1" x14ac:dyDescent="0.25"/>
    <row r="899" customFormat="1" hidden="1" x14ac:dyDescent="0.25"/>
    <row r="900" customFormat="1" hidden="1" x14ac:dyDescent="0.25"/>
    <row r="901" customFormat="1" hidden="1" x14ac:dyDescent="0.25"/>
    <row r="902" customFormat="1" hidden="1" x14ac:dyDescent="0.25"/>
    <row r="903" customFormat="1" hidden="1" x14ac:dyDescent="0.25"/>
    <row r="904" customFormat="1" hidden="1" x14ac:dyDescent="0.25"/>
    <row r="905" customFormat="1" hidden="1" x14ac:dyDescent="0.25"/>
    <row r="906" customFormat="1" hidden="1" x14ac:dyDescent="0.25"/>
    <row r="907" customFormat="1" hidden="1" x14ac:dyDescent="0.25"/>
    <row r="908" customFormat="1" hidden="1" x14ac:dyDescent="0.25"/>
    <row r="909" customFormat="1" hidden="1" x14ac:dyDescent="0.25"/>
    <row r="910" customFormat="1" hidden="1" x14ac:dyDescent="0.25"/>
    <row r="911" customFormat="1" hidden="1" x14ac:dyDescent="0.25"/>
    <row r="912" customFormat="1" hidden="1" x14ac:dyDescent="0.25"/>
    <row r="913" customFormat="1" hidden="1" x14ac:dyDescent="0.25"/>
    <row r="914" customFormat="1" hidden="1" x14ac:dyDescent="0.25"/>
    <row r="915" customFormat="1" hidden="1" x14ac:dyDescent="0.25"/>
    <row r="916" customFormat="1" hidden="1" x14ac:dyDescent="0.25"/>
    <row r="917" customFormat="1" hidden="1" x14ac:dyDescent="0.25"/>
    <row r="918" customFormat="1" hidden="1" x14ac:dyDescent="0.25"/>
    <row r="919" customFormat="1" hidden="1" x14ac:dyDescent="0.25"/>
    <row r="920" customFormat="1" hidden="1" x14ac:dyDescent="0.25"/>
    <row r="921" customFormat="1" hidden="1" x14ac:dyDescent="0.25"/>
    <row r="922" customFormat="1" hidden="1" x14ac:dyDescent="0.25"/>
    <row r="923" customFormat="1" hidden="1" x14ac:dyDescent="0.25"/>
    <row r="924" customFormat="1" hidden="1" x14ac:dyDescent="0.25"/>
    <row r="925" customFormat="1" hidden="1" x14ac:dyDescent="0.25"/>
    <row r="926" customFormat="1" hidden="1" x14ac:dyDescent="0.25"/>
    <row r="927" customFormat="1" hidden="1" x14ac:dyDescent="0.25"/>
    <row r="928" customFormat="1" hidden="1" x14ac:dyDescent="0.25"/>
    <row r="929" customFormat="1" hidden="1" x14ac:dyDescent="0.25"/>
    <row r="930" customFormat="1" hidden="1" x14ac:dyDescent="0.25"/>
    <row r="931" customFormat="1" hidden="1" x14ac:dyDescent="0.25"/>
    <row r="932" customFormat="1" hidden="1" x14ac:dyDescent="0.25"/>
    <row r="933" customFormat="1" hidden="1" x14ac:dyDescent="0.25"/>
    <row r="934" customFormat="1" hidden="1" x14ac:dyDescent="0.25"/>
    <row r="935" customFormat="1" hidden="1" x14ac:dyDescent="0.25"/>
    <row r="936" customFormat="1" hidden="1" x14ac:dyDescent="0.25"/>
    <row r="937" customFormat="1" hidden="1" x14ac:dyDescent="0.25"/>
    <row r="938" customFormat="1" hidden="1" x14ac:dyDescent="0.25"/>
    <row r="939" customFormat="1" hidden="1" x14ac:dyDescent="0.25"/>
    <row r="940" customFormat="1" hidden="1" x14ac:dyDescent="0.25"/>
    <row r="941" customFormat="1" hidden="1" x14ac:dyDescent="0.25"/>
    <row r="942" customFormat="1" hidden="1" x14ac:dyDescent="0.25"/>
    <row r="943" customFormat="1" hidden="1" x14ac:dyDescent="0.25"/>
    <row r="944" customFormat="1" hidden="1" x14ac:dyDescent="0.25"/>
    <row r="945" customFormat="1" hidden="1" x14ac:dyDescent="0.25"/>
    <row r="946" customFormat="1" hidden="1" x14ac:dyDescent="0.25"/>
    <row r="947" customFormat="1" hidden="1" x14ac:dyDescent="0.25"/>
    <row r="948" customFormat="1" hidden="1" x14ac:dyDescent="0.25"/>
    <row r="949" customFormat="1" hidden="1" x14ac:dyDescent="0.25"/>
    <row r="950" customFormat="1" hidden="1" x14ac:dyDescent="0.25"/>
    <row r="951" customFormat="1" hidden="1" x14ac:dyDescent="0.25"/>
    <row r="952" customFormat="1" hidden="1" x14ac:dyDescent="0.25"/>
    <row r="953" customFormat="1" hidden="1" x14ac:dyDescent="0.25"/>
    <row r="954" customFormat="1" hidden="1" x14ac:dyDescent="0.25"/>
    <row r="955" customFormat="1" hidden="1" x14ac:dyDescent="0.25"/>
    <row r="956" customFormat="1" hidden="1" x14ac:dyDescent="0.25"/>
    <row r="957" customFormat="1" hidden="1" x14ac:dyDescent="0.25"/>
    <row r="958" customFormat="1" hidden="1" x14ac:dyDescent="0.25"/>
    <row r="959" customFormat="1" hidden="1" x14ac:dyDescent="0.25"/>
    <row r="960" customFormat="1" hidden="1" x14ac:dyDescent="0.25"/>
    <row r="961" customFormat="1" hidden="1" x14ac:dyDescent="0.25"/>
    <row r="962" customFormat="1" hidden="1" x14ac:dyDescent="0.25"/>
    <row r="963" customFormat="1" hidden="1" x14ac:dyDescent="0.25"/>
    <row r="964" customFormat="1" hidden="1" x14ac:dyDescent="0.25"/>
    <row r="965" customFormat="1" hidden="1" x14ac:dyDescent="0.25"/>
    <row r="966" customFormat="1" hidden="1" x14ac:dyDescent="0.25"/>
    <row r="967" customFormat="1" hidden="1" x14ac:dyDescent="0.25"/>
    <row r="968" customFormat="1" hidden="1" x14ac:dyDescent="0.25"/>
    <row r="969" customFormat="1" hidden="1" x14ac:dyDescent="0.25"/>
    <row r="970" customFormat="1" hidden="1" x14ac:dyDescent="0.25"/>
    <row r="971" customFormat="1" hidden="1" x14ac:dyDescent="0.25"/>
    <row r="972" customFormat="1" hidden="1" x14ac:dyDescent="0.25"/>
    <row r="973" customFormat="1" hidden="1" x14ac:dyDescent="0.25"/>
    <row r="974" customFormat="1" hidden="1" x14ac:dyDescent="0.25"/>
    <row r="975" customFormat="1" hidden="1" x14ac:dyDescent="0.25"/>
    <row r="976" customFormat="1" hidden="1" x14ac:dyDescent="0.25"/>
    <row r="977" customFormat="1" hidden="1" x14ac:dyDescent="0.25"/>
    <row r="978" customFormat="1" hidden="1" x14ac:dyDescent="0.25"/>
    <row r="979" customFormat="1" hidden="1" x14ac:dyDescent="0.25"/>
    <row r="980" customFormat="1" hidden="1" x14ac:dyDescent="0.25"/>
    <row r="981" customFormat="1" hidden="1" x14ac:dyDescent="0.25"/>
    <row r="982" customFormat="1" hidden="1" x14ac:dyDescent="0.25"/>
    <row r="983" customFormat="1" hidden="1" x14ac:dyDescent="0.25"/>
    <row r="984" customFormat="1" hidden="1" x14ac:dyDescent="0.25"/>
    <row r="985" customFormat="1" hidden="1" x14ac:dyDescent="0.25"/>
    <row r="986" customFormat="1" hidden="1" x14ac:dyDescent="0.25"/>
    <row r="987" customFormat="1" hidden="1" x14ac:dyDescent="0.25"/>
    <row r="988" customFormat="1" hidden="1" x14ac:dyDescent="0.25"/>
    <row r="989" customFormat="1" hidden="1" x14ac:dyDescent="0.25"/>
    <row r="990" customFormat="1" hidden="1" x14ac:dyDescent="0.25"/>
    <row r="991" customFormat="1" hidden="1" x14ac:dyDescent="0.25"/>
    <row r="992" customFormat="1" hidden="1" x14ac:dyDescent="0.25"/>
    <row r="993" customFormat="1" hidden="1" x14ac:dyDescent="0.25"/>
    <row r="994" customFormat="1" hidden="1" x14ac:dyDescent="0.25"/>
    <row r="995" customFormat="1" hidden="1" x14ac:dyDescent="0.25"/>
    <row r="996" customFormat="1" hidden="1" x14ac:dyDescent="0.25"/>
    <row r="997" customFormat="1" hidden="1" x14ac:dyDescent="0.25"/>
    <row r="998" customFormat="1" hidden="1" x14ac:dyDescent="0.25"/>
    <row r="999" customFormat="1" hidden="1" x14ac:dyDescent="0.25"/>
    <row r="1000" customFormat="1" hidden="1" x14ac:dyDescent="0.25"/>
  </sheetData>
  <sheetProtection algorithmName="SHA-512" hashValue="EBbW0f8izv/7W8rG3TatCBrw5oO2dZqq31uduLtOTRuYgLYFzkhizuFfTKGUf6JbsWLKQetZlRVPxcGNWlk6mw==" saltValue="W6Q8FjGv2n42cF9lLGVcuA==" spinCount="100000" sheet="1" objects="1" scenarios="1"/>
  <mergeCells count="14">
    <mergeCell ref="C3:E3"/>
    <mergeCell ref="F3:L3"/>
    <mergeCell ref="C4:C14"/>
    <mergeCell ref="E9:G9"/>
    <mergeCell ref="D4:F4"/>
    <mergeCell ref="D6:F6"/>
    <mergeCell ref="D5:F5"/>
    <mergeCell ref="E10:G10"/>
    <mergeCell ref="E11:G11"/>
    <mergeCell ref="D7:K7"/>
    <mergeCell ref="D8:K8"/>
    <mergeCell ref="E12:G12"/>
    <mergeCell ref="E13:G13"/>
    <mergeCell ref="E14:G14"/>
  </mergeCells>
  <dataValidations count="9">
    <dataValidation type="whole" allowBlank="1" showErrorMessage="1" error="Non negative, Numeric, no decimal, upto 99,999,999,999,999" sqref="I14:J14">
      <formula1>-99999999999999</formula1>
      <formula2>99999999999999</formula2>
    </dataValidation>
    <dataValidation type="whole" allowBlank="1" showErrorMessage="1" error="Non negative, Numeric, no decimal, upto 99,999,999,999,999" sqref="K14:L14">
      <formula1>0</formula1>
      <formula2>99999999999999</formula2>
    </dataValidation>
    <dataValidation type="textLength" allowBlank="1" showErrorMessage="1" error="Name of Spouse cannot exceed 125 characters" sqref="G4">
      <formula1>0</formula1>
      <formula2>125</formula2>
    </dataValidation>
    <dataValidation type="textLength" operator="equal" allowBlank="1" showErrorMessage="1" error="Enter 10 digit Valid PAN" sqref="G5">
      <formula1>10</formula1>
    </dataValidation>
    <dataValidation type="whole" allowBlank="1" showErrorMessage="1" error="Numeric, no decimal, upto 99,999,999,999,999" sqref="I10:I13 J10:J13">
      <formula1>-99999999999999</formula1>
      <formula2>99999999999999</formula2>
    </dataValidation>
    <dataValidation type="whole" allowBlank="1" showErrorMessage="1" error="Numeric, no decimal, upto 99,999,999,999,999" sqref="K10:K13 L10:L13">
      <formula1>0</formula1>
      <formula2>99999999999999</formula2>
    </dataValidation>
    <dataValidation type="textLength" operator="equal" allowBlank="1" showErrorMessage="1" error="Please enter valid Aadhaar number." sqref="G6">
      <formula1>12</formula1>
    </dataValidation>
    <dataValidation type="list" allowBlank="1" showInputMessage="1" showErrorMessage="1" errorTitle="44AB" error="Please Select From the List " sqref="L7">
      <formula1>"(Select),Yes,No"</formula1>
    </dataValidation>
    <dataValidation type="list" allowBlank="1" showInputMessage="1" showErrorMessage="1" sqref="L8">
      <formula1>"(Select),Yes,No"</formula1>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994" r:id="rId4" name="Button 2">
              <controlPr defaultSize="0" print="0" autoFill="0" autoPict="0" macro="[0]!Cmd_Validate_5A_Click">
                <anchor>
                  <from>
                    <xdr:col>13</xdr:col>
                    <xdr:colOff>247650</xdr:colOff>
                    <xdr:row>3</xdr:row>
                    <xdr:rowOff>19050</xdr:rowOff>
                  </from>
                  <to>
                    <xdr:col>13</xdr:col>
                    <xdr:colOff>1619250</xdr:colOff>
                    <xdr:row>4</xdr:row>
                    <xdr:rowOff>133350</xdr:rowOff>
                  </to>
                </anchor>
              </controlPr>
            </control>
          </mc:Choice>
        </mc:AlternateContent>
        <mc:AlternateContent xmlns:mc="http://schemas.openxmlformats.org/markup-compatibility/2006">
          <mc:Choice Requires="x14">
            <control shapeId="85015" r:id="rId5" name="Button 23">
              <controlPr defaultSize="0" print="0" autoFill="0" autoPict="0" macro="[0]!Img_Home_Click">
                <anchor>
                  <from>
                    <xdr:col>13</xdr:col>
                    <xdr:colOff>247650</xdr:colOff>
                    <xdr:row>1</xdr:row>
                    <xdr:rowOff>142875</xdr:rowOff>
                  </from>
                  <to>
                    <xdr:col>13</xdr:col>
                    <xdr:colOff>1619250</xdr:colOff>
                    <xdr:row>3</xdr:row>
                    <xdr:rowOff>0</xdr:rowOff>
                  </to>
                </anchor>
              </controlPr>
            </control>
          </mc:Choice>
        </mc:AlternateContent>
        <mc:AlternateContent xmlns:mc="http://schemas.openxmlformats.org/markup-compatibility/2006">
          <mc:Choice Requires="x14">
            <control shapeId="85017" r:id="rId6" name="Button 25">
              <controlPr defaultSize="0" print="0" autoFill="0" autoPict="0" macro="[0]!Next_Sheet">
                <anchor>
                  <from>
                    <xdr:col>13</xdr:col>
                    <xdr:colOff>247650</xdr:colOff>
                    <xdr:row>4</xdr:row>
                    <xdr:rowOff>133350</xdr:rowOff>
                  </from>
                  <to>
                    <xdr:col>13</xdr:col>
                    <xdr:colOff>1619250</xdr:colOff>
                    <xdr:row>6</xdr:row>
                    <xdr:rowOff>95250</xdr:rowOff>
                  </to>
                </anchor>
              </controlPr>
            </control>
          </mc:Choice>
        </mc:AlternateContent>
        <mc:AlternateContent xmlns:mc="http://schemas.openxmlformats.org/markup-compatibility/2006">
          <mc:Choice Requires="x14">
            <control shapeId="85018" r:id="rId7" name="Button 26">
              <controlPr defaultSize="0" print="0" autoFill="0" autoPict="0" macro="[0]!Instruction_Sheet">
                <anchor>
                  <from>
                    <xdr:col>13</xdr:col>
                    <xdr:colOff>247650</xdr:colOff>
                    <xdr:row>8</xdr:row>
                    <xdr:rowOff>247650</xdr:rowOff>
                  </from>
                  <to>
                    <xdr:col>13</xdr:col>
                    <xdr:colOff>1619250</xdr:colOff>
                    <xdr:row>8</xdr:row>
                    <xdr:rowOff>523875</xdr:rowOff>
                  </to>
                </anchor>
              </controlPr>
            </control>
          </mc:Choice>
        </mc:AlternateContent>
        <mc:AlternateContent xmlns:mc="http://schemas.openxmlformats.org/markup-compatibility/2006">
          <mc:Choice Requires="x14">
            <control shapeId="85019" r:id="rId8" name="Button 27">
              <controlPr defaultSize="0" print="0" autoFill="0" autoPict="0" macro="[0]!WorksheetsPrint">
                <anchor>
                  <from>
                    <xdr:col>13</xdr:col>
                    <xdr:colOff>247650</xdr:colOff>
                    <xdr:row>7</xdr:row>
                    <xdr:rowOff>304800</xdr:rowOff>
                  </from>
                  <to>
                    <xdr:col>13</xdr:col>
                    <xdr:colOff>1619250</xdr:colOff>
                    <xdr:row>8</xdr:row>
                    <xdr:rowOff>247650</xdr:rowOff>
                  </to>
                </anchor>
              </controlPr>
            </control>
          </mc:Choice>
        </mc:AlternateContent>
        <mc:AlternateContent xmlns:mc="http://schemas.openxmlformats.org/markup-compatibility/2006">
          <mc:Choice Requires="x14">
            <control shapeId="85020" r:id="rId9" name="Button 28">
              <controlPr defaultSize="0" print="0" autoFill="0" autoPict="0" macro="[0]!GenerateJSON.GenerateJSON">
                <anchor>
                  <from>
                    <xdr:col>13</xdr:col>
                    <xdr:colOff>247650</xdr:colOff>
                    <xdr:row>7</xdr:row>
                    <xdr:rowOff>19050</xdr:rowOff>
                  </from>
                  <to>
                    <xdr:col>13</xdr:col>
                    <xdr:colOff>1619250</xdr:colOff>
                    <xdr:row>7</xdr:row>
                    <xdr:rowOff>285750</xdr:rowOff>
                  </to>
                </anchor>
              </controlPr>
            </control>
          </mc:Choice>
        </mc:AlternateContent>
        <mc:AlternateContent xmlns:mc="http://schemas.openxmlformats.org/markup-compatibility/2006">
          <mc:Choice Requires="x14">
            <control shapeId="85021" r:id="rId10" name="Button 29">
              <controlPr defaultSize="0" print="0" autoFill="0" autoPict="0" macro="[0]!Prev_Sheet">
                <anchor>
                  <from>
                    <xdr:col>13</xdr:col>
                    <xdr:colOff>247650</xdr:colOff>
                    <xdr:row>6</xdr:row>
                    <xdr:rowOff>95250</xdr:rowOff>
                  </from>
                  <to>
                    <xdr:col>13</xdr:col>
                    <xdr:colOff>1619250</xdr:colOff>
                    <xdr:row>7</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R65536"/>
  <sheetViews>
    <sheetView showGridLines="0" showRowColHeaders="0" zoomScaleNormal="100" workbookViewId="0">
      <selection activeCell="J4" sqref="J4"/>
    </sheetView>
  </sheetViews>
  <sheetFormatPr defaultColWidth="0" defaultRowHeight="12.75" zeroHeight="1" x14ac:dyDescent="0.2"/>
  <cols>
    <col min="1" max="1" width="3.85546875" style="113" customWidth="1"/>
    <col min="2" max="3" width="3.7109375" style="113" customWidth="1"/>
    <col min="4" max="4" width="11" style="113" customWidth="1"/>
    <col min="5" max="13" width="12.7109375" style="113" customWidth="1"/>
    <col min="14" max="15" width="14.7109375" style="113" customWidth="1"/>
    <col min="16" max="16" width="24.28515625" style="113" customWidth="1"/>
    <col min="17" max="18" width="4.5703125" style="113" customWidth="1"/>
    <col min="19" max="16384" width="4.5703125" style="113" hidden="1"/>
  </cols>
  <sheetData>
    <row r="1" spans="2:17" ht="13.5" thickBot="1" x14ac:dyDescent="0.25"/>
    <row r="2" spans="2:17" x14ac:dyDescent="0.2">
      <c r="B2" s="1794"/>
      <c r="C2" s="1795"/>
      <c r="D2" s="1795"/>
      <c r="E2" s="1795"/>
      <c r="F2" s="1795"/>
      <c r="G2" s="1795"/>
      <c r="H2" s="1795"/>
      <c r="I2" s="1795"/>
      <c r="J2" s="1795"/>
      <c r="K2" s="1795"/>
      <c r="L2" s="1795"/>
      <c r="M2" s="1795"/>
      <c r="N2" s="1795"/>
      <c r="O2" s="1795"/>
      <c r="P2" s="1795"/>
      <c r="Q2" s="1831"/>
    </row>
    <row r="3" spans="2:17" ht="12.75" customHeight="1" x14ac:dyDescent="0.2">
      <c r="B3" s="1797"/>
      <c r="C3" s="3923" t="s">
        <v>1291</v>
      </c>
      <c r="D3" s="3844"/>
      <c r="E3" s="3111" t="s">
        <v>12677</v>
      </c>
      <c r="F3" s="3111"/>
      <c r="G3" s="3111"/>
      <c r="H3" s="3111"/>
      <c r="I3" s="3111"/>
      <c r="J3" s="3111"/>
      <c r="K3" s="3111"/>
      <c r="L3" s="3111"/>
      <c r="M3" s="3111"/>
      <c r="N3" s="3111"/>
      <c r="O3" s="3112"/>
      <c r="P3" s="848"/>
      <c r="Q3" s="1809"/>
    </row>
    <row r="4" spans="2:17" ht="12.75" customHeight="1" x14ac:dyDescent="0.2">
      <c r="B4" s="1797"/>
      <c r="C4" s="837"/>
      <c r="D4" s="23" t="s">
        <v>309</v>
      </c>
      <c r="E4" s="202" t="s">
        <v>7713</v>
      </c>
      <c r="F4" s="2059"/>
      <c r="G4" s="2059"/>
      <c r="H4" s="2059"/>
      <c r="I4" s="2060"/>
      <c r="J4" s="13" t="s">
        <v>12</v>
      </c>
      <c r="K4" s="2059"/>
      <c r="L4" s="2059"/>
      <c r="M4" s="2059"/>
      <c r="N4" s="2059"/>
      <c r="O4" s="2060"/>
      <c r="P4" s="848"/>
      <c r="Q4" s="1809"/>
    </row>
    <row r="5" spans="2:17" ht="12.75" customHeight="1" x14ac:dyDescent="0.2">
      <c r="B5" s="1797"/>
      <c r="C5" s="838"/>
      <c r="D5" s="3924" t="s">
        <v>7714</v>
      </c>
      <c r="E5" s="3925"/>
      <c r="F5" s="3925"/>
      <c r="G5" s="3925"/>
      <c r="H5" s="3925"/>
      <c r="I5" s="3925"/>
      <c r="J5" s="3925"/>
      <c r="K5" s="3925"/>
      <c r="L5" s="3925"/>
      <c r="M5" s="3925"/>
      <c r="N5" s="3925"/>
      <c r="O5" s="3926"/>
      <c r="P5" s="848"/>
      <c r="Q5" s="1809"/>
    </row>
    <row r="6" spans="2:17" x14ac:dyDescent="0.2">
      <c r="B6" s="1797"/>
      <c r="C6" s="839"/>
      <c r="D6" s="3927" t="s">
        <v>7715</v>
      </c>
      <c r="E6" s="3912" t="s">
        <v>7716</v>
      </c>
      <c r="F6" s="3718" t="s">
        <v>7717</v>
      </c>
      <c r="G6" s="3921"/>
      <c r="H6" s="3921"/>
      <c r="I6" s="3921"/>
      <c r="J6" s="3921"/>
      <c r="K6" s="3921"/>
      <c r="L6" s="3921"/>
      <c r="M6" s="3921"/>
      <c r="N6" s="3719"/>
      <c r="O6" s="3912" t="s">
        <v>7718</v>
      </c>
      <c r="P6" s="848"/>
      <c r="Q6" s="1809"/>
    </row>
    <row r="7" spans="2:17" ht="53.25" customHeight="1" x14ac:dyDescent="0.2">
      <c r="B7" s="1797"/>
      <c r="C7" s="839"/>
      <c r="D7" s="3857"/>
      <c r="E7" s="3913"/>
      <c r="F7" s="1554" t="s">
        <v>7719</v>
      </c>
      <c r="G7" s="1554" t="s">
        <v>7720</v>
      </c>
      <c r="H7" s="1554" t="s">
        <v>7721</v>
      </c>
      <c r="I7" s="1554" t="s">
        <v>7722</v>
      </c>
      <c r="J7" s="1554" t="s">
        <v>7723</v>
      </c>
      <c r="K7" s="1554" t="s">
        <v>7724</v>
      </c>
      <c r="L7" s="1554" t="s">
        <v>7725</v>
      </c>
      <c r="M7" s="1554" t="s">
        <v>748</v>
      </c>
      <c r="N7" s="1554" t="s">
        <v>8853</v>
      </c>
      <c r="O7" s="3913"/>
      <c r="P7" s="848"/>
      <c r="Q7" s="1809"/>
    </row>
    <row r="8" spans="2:17" x14ac:dyDescent="0.2">
      <c r="B8" s="1797"/>
      <c r="C8" s="839"/>
      <c r="D8" s="707">
        <v>1</v>
      </c>
      <c r="E8" s="2649"/>
      <c r="F8" s="2649"/>
      <c r="G8" s="2649"/>
      <c r="H8" s="2649"/>
      <c r="I8" s="2649"/>
      <c r="J8" s="2649"/>
      <c r="K8" s="2649"/>
      <c r="L8" s="2649"/>
      <c r="M8" s="2271"/>
      <c r="N8" s="2271"/>
      <c r="O8" s="2089"/>
      <c r="P8" s="848"/>
      <c r="Q8" s="1809"/>
    </row>
    <row r="9" spans="2:17" x14ac:dyDescent="0.2">
      <c r="B9" s="1797"/>
      <c r="C9" s="839"/>
      <c r="D9" s="707">
        <f>D8+1</f>
        <v>2</v>
      </c>
      <c r="E9" s="2649"/>
      <c r="F9" s="2649"/>
      <c r="G9" s="2649"/>
      <c r="H9" s="2649"/>
      <c r="I9" s="2649"/>
      <c r="J9" s="2649"/>
      <c r="K9" s="2649"/>
      <c r="L9" s="2649"/>
      <c r="M9" s="2271"/>
      <c r="N9" s="2271"/>
      <c r="O9" s="2089"/>
      <c r="P9" s="848"/>
      <c r="Q9" s="1809"/>
    </row>
    <row r="10" spans="2:17" x14ac:dyDescent="0.2">
      <c r="B10" s="1797"/>
      <c r="C10" s="839"/>
      <c r="D10" s="707">
        <f>D9+1</f>
        <v>3</v>
      </c>
      <c r="E10" s="2649"/>
      <c r="F10" s="2649"/>
      <c r="G10" s="2649"/>
      <c r="H10" s="2649"/>
      <c r="I10" s="2649"/>
      <c r="J10" s="2649"/>
      <c r="K10" s="2649"/>
      <c r="L10" s="2649"/>
      <c r="M10" s="2271"/>
      <c r="N10" s="2271"/>
      <c r="O10" s="2089"/>
      <c r="P10" s="848"/>
      <c r="Q10" s="1809"/>
    </row>
    <row r="11" spans="2:17" x14ac:dyDescent="0.2">
      <c r="B11" s="1797"/>
      <c r="C11" s="839"/>
      <c r="D11" s="707">
        <f>D10+1</f>
        <v>4</v>
      </c>
      <c r="E11" s="2649"/>
      <c r="F11" s="2649"/>
      <c r="G11" s="2649"/>
      <c r="H11" s="2649"/>
      <c r="I11" s="2649"/>
      <c r="J11" s="2649"/>
      <c r="K11" s="2649"/>
      <c r="L11" s="2649"/>
      <c r="M11" s="2271"/>
      <c r="N11" s="2271"/>
      <c r="O11" s="2089"/>
      <c r="P11" s="848"/>
      <c r="Q11" s="1809"/>
    </row>
    <row r="12" spans="2:17" x14ac:dyDescent="0.2">
      <c r="B12" s="1797"/>
      <c r="C12" s="839"/>
      <c r="D12" s="1105"/>
      <c r="E12" s="841"/>
      <c r="F12" s="841"/>
      <c r="G12" s="841"/>
      <c r="H12" s="841"/>
      <c r="I12" s="841"/>
      <c r="J12" s="841"/>
      <c r="K12" s="841"/>
      <c r="L12" s="841"/>
      <c r="M12" s="841"/>
      <c r="N12" s="841"/>
      <c r="O12" s="842"/>
      <c r="P12" s="848"/>
      <c r="Q12" s="1809"/>
    </row>
    <row r="13" spans="2:17" ht="27.75" customHeight="1" x14ac:dyDescent="0.2">
      <c r="B13" s="1797"/>
      <c r="C13" s="839"/>
      <c r="D13" s="3922"/>
      <c r="E13" s="3914"/>
      <c r="F13" s="3914"/>
      <c r="G13" s="3914"/>
      <c r="H13" s="3914"/>
      <c r="I13" s="3914"/>
      <c r="J13" s="3914"/>
      <c r="K13" s="3914"/>
      <c r="L13" s="3914"/>
      <c r="M13" s="3914"/>
      <c r="N13" s="3914"/>
      <c r="O13" s="3915"/>
      <c r="P13" s="848"/>
      <c r="Q13" s="1809"/>
    </row>
    <row r="14" spans="2:17" ht="12.75" customHeight="1" x14ac:dyDescent="0.2">
      <c r="B14" s="1797"/>
      <c r="C14" s="839"/>
      <c r="D14" s="1950" t="s">
        <v>312</v>
      </c>
      <c r="E14" s="3916" t="s">
        <v>7726</v>
      </c>
      <c r="F14" s="3917"/>
      <c r="G14" s="3917"/>
      <c r="H14" s="3917"/>
      <c r="I14" s="3917"/>
      <c r="J14" s="3917"/>
      <c r="K14" s="3917"/>
      <c r="L14" s="3917"/>
      <c r="M14" s="3917"/>
      <c r="N14" s="3917"/>
      <c r="O14" s="3918"/>
      <c r="P14" s="848"/>
      <c r="Q14" s="1809"/>
    </row>
    <row r="15" spans="2:17" ht="38.25" x14ac:dyDescent="0.2">
      <c r="B15" s="1797"/>
      <c r="C15" s="839"/>
      <c r="D15" s="314" t="s">
        <v>7727</v>
      </c>
      <c r="E15" s="3919" t="s">
        <v>7728</v>
      </c>
      <c r="F15" s="3920"/>
      <c r="G15" s="3920"/>
      <c r="H15" s="3920"/>
      <c r="I15" s="3920"/>
      <c r="J15" s="3920"/>
      <c r="K15" s="3920"/>
      <c r="L15" s="3920"/>
      <c r="M15" s="3856"/>
      <c r="N15" s="2077" t="s">
        <v>7729</v>
      </c>
      <c r="O15" s="844"/>
      <c r="P15" s="848"/>
      <c r="Q15" s="1809"/>
    </row>
    <row r="16" spans="2:17" ht="12.75" customHeight="1" x14ac:dyDescent="0.2">
      <c r="B16" s="1797"/>
      <c r="C16" s="839"/>
      <c r="D16" s="1949" t="s">
        <v>7565</v>
      </c>
      <c r="E16" s="3063" t="s">
        <v>1309</v>
      </c>
      <c r="F16" s="3091"/>
      <c r="G16" s="3091"/>
      <c r="H16" s="3091"/>
      <c r="I16" s="3091"/>
      <c r="J16" s="3091"/>
      <c r="K16" s="3091"/>
      <c r="L16" s="3091"/>
      <c r="M16" s="3092"/>
      <c r="N16" s="1556"/>
      <c r="O16" s="845"/>
      <c r="P16" s="848"/>
      <c r="Q16" s="1809"/>
    </row>
    <row r="17" spans="2:17" ht="12.75" customHeight="1" x14ac:dyDescent="0.2">
      <c r="B17" s="1797"/>
      <c r="C17" s="839"/>
      <c r="D17" s="1949" t="s">
        <v>7566</v>
      </c>
      <c r="E17" s="3063" t="s">
        <v>1310</v>
      </c>
      <c r="F17" s="3091"/>
      <c r="G17" s="3091"/>
      <c r="H17" s="3091"/>
      <c r="I17" s="3091"/>
      <c r="J17" s="3091"/>
      <c r="K17" s="3091"/>
      <c r="L17" s="3091"/>
      <c r="M17" s="3092"/>
      <c r="N17" s="1401"/>
      <c r="O17" s="845"/>
      <c r="P17" s="848"/>
      <c r="Q17" s="1809"/>
    </row>
    <row r="18" spans="2:17" ht="12.75" customHeight="1" x14ac:dyDescent="0.2">
      <c r="B18" s="1797"/>
      <c r="C18" s="839"/>
      <c r="D18" s="1949" t="s">
        <v>7567</v>
      </c>
      <c r="E18" s="1951" t="s">
        <v>1311</v>
      </c>
      <c r="F18" s="846"/>
      <c r="G18" s="846"/>
      <c r="H18" s="846"/>
      <c r="I18" s="846"/>
      <c r="J18" s="846"/>
      <c r="K18" s="846"/>
      <c r="L18" s="846"/>
      <c r="M18" s="847"/>
      <c r="N18" s="1557"/>
      <c r="O18" s="845"/>
      <c r="P18" s="848"/>
      <c r="Q18" s="1809"/>
    </row>
    <row r="19" spans="2:17" ht="12.75" customHeight="1" x14ac:dyDescent="0.2">
      <c r="B19" s="1797"/>
      <c r="C19" s="839"/>
      <c r="D19" s="1949" t="s">
        <v>7730</v>
      </c>
      <c r="E19" s="3063" t="s">
        <v>7731</v>
      </c>
      <c r="F19" s="3091"/>
      <c r="G19" s="3091"/>
      <c r="H19" s="3091"/>
      <c r="I19" s="3091"/>
      <c r="J19" s="3091"/>
      <c r="K19" s="3091"/>
      <c r="L19" s="3091"/>
      <c r="M19" s="3091"/>
      <c r="N19" s="3092"/>
      <c r="O19" s="840"/>
      <c r="P19" s="848"/>
      <c r="Q19" s="1809"/>
    </row>
    <row r="20" spans="2:17" ht="12.75" customHeight="1" x14ac:dyDescent="0.2">
      <c r="B20" s="1797"/>
      <c r="C20" s="839"/>
      <c r="D20" s="841"/>
      <c r="E20" s="3063" t="s">
        <v>7732</v>
      </c>
      <c r="F20" s="3091"/>
      <c r="G20" s="3091"/>
      <c r="H20" s="3091"/>
      <c r="I20" s="3091"/>
      <c r="J20" s="3091"/>
      <c r="K20" s="3091"/>
      <c r="L20" s="3091"/>
      <c r="M20" s="3092"/>
      <c r="N20" s="1557"/>
      <c r="O20" s="845"/>
      <c r="P20" s="848"/>
      <c r="Q20" s="1809"/>
    </row>
    <row r="21" spans="2:17" ht="12.75" customHeight="1" x14ac:dyDescent="0.2">
      <c r="B21" s="1797"/>
      <c r="C21" s="839"/>
      <c r="D21" s="848"/>
      <c r="E21" s="3063" t="s">
        <v>7733</v>
      </c>
      <c r="F21" s="3091"/>
      <c r="G21" s="3091"/>
      <c r="H21" s="3091"/>
      <c r="I21" s="3091"/>
      <c r="J21" s="3091"/>
      <c r="K21" s="3091"/>
      <c r="L21" s="3091"/>
      <c r="M21" s="3092"/>
      <c r="N21" s="1557"/>
      <c r="O21" s="840"/>
      <c r="P21" s="848"/>
      <c r="Q21" s="1809"/>
    </row>
    <row r="22" spans="2:17" ht="12.75" customHeight="1" x14ac:dyDescent="0.2">
      <c r="B22" s="1797"/>
      <c r="C22" s="839"/>
      <c r="D22" s="848"/>
      <c r="E22" s="3063" t="s">
        <v>7734</v>
      </c>
      <c r="F22" s="3091"/>
      <c r="G22" s="3091"/>
      <c r="H22" s="3091"/>
      <c r="I22" s="3091"/>
      <c r="J22" s="3091"/>
      <c r="K22" s="3091"/>
      <c r="L22" s="3091"/>
      <c r="M22" s="3092"/>
      <c r="N22" s="1557"/>
      <c r="O22" s="840"/>
      <c r="P22" s="848"/>
      <c r="Q22" s="1809"/>
    </row>
    <row r="23" spans="2:17" ht="12.75" customHeight="1" x14ac:dyDescent="0.2">
      <c r="B23" s="1797"/>
      <c r="C23" s="839"/>
      <c r="D23" s="848"/>
      <c r="E23" s="3063" t="s">
        <v>7735</v>
      </c>
      <c r="F23" s="3091"/>
      <c r="G23" s="3091"/>
      <c r="H23" s="3091"/>
      <c r="I23" s="3091"/>
      <c r="J23" s="3091"/>
      <c r="K23" s="3091"/>
      <c r="L23" s="3091"/>
      <c r="M23" s="3092"/>
      <c r="N23" s="1557"/>
      <c r="O23" s="840"/>
      <c r="P23" s="848"/>
      <c r="Q23" s="1809"/>
    </row>
    <row r="24" spans="2:17" ht="12.75" customHeight="1" x14ac:dyDescent="0.2">
      <c r="B24" s="1797"/>
      <c r="C24" s="839"/>
      <c r="D24" s="849"/>
      <c r="E24" s="3063" t="s">
        <v>7736</v>
      </c>
      <c r="F24" s="3091"/>
      <c r="G24" s="3091"/>
      <c r="H24" s="3091"/>
      <c r="I24" s="3091"/>
      <c r="J24" s="3091"/>
      <c r="K24" s="3091"/>
      <c r="L24" s="3091"/>
      <c r="M24" s="3092"/>
      <c r="N24" s="1401"/>
      <c r="O24" s="840"/>
      <c r="P24" s="848"/>
      <c r="Q24" s="1809"/>
    </row>
    <row r="25" spans="2:17" ht="12.75" customHeight="1" x14ac:dyDescent="0.2">
      <c r="B25" s="1797"/>
      <c r="C25" s="839"/>
      <c r="D25" s="707" t="s">
        <v>315</v>
      </c>
      <c r="E25" s="745" t="s">
        <v>7737</v>
      </c>
      <c r="F25" s="718"/>
      <c r="G25" s="718"/>
      <c r="H25" s="718"/>
      <c r="I25" s="718"/>
      <c r="J25" s="718"/>
      <c r="K25" s="718"/>
      <c r="L25" s="1558"/>
      <c r="M25" s="1559" t="s">
        <v>12</v>
      </c>
      <c r="N25" s="718"/>
      <c r="O25" s="850"/>
      <c r="P25" s="848"/>
      <c r="Q25" s="1809"/>
    </row>
    <row r="26" spans="2:17" ht="12.75" customHeight="1" x14ac:dyDescent="0.2">
      <c r="B26" s="1797"/>
      <c r="C26" s="839"/>
      <c r="D26" s="3856" t="s">
        <v>7715</v>
      </c>
      <c r="E26" s="3912" t="s">
        <v>7738</v>
      </c>
      <c r="F26" s="3718" t="s">
        <v>7739</v>
      </c>
      <c r="G26" s="3921"/>
      <c r="H26" s="3921"/>
      <c r="I26" s="3921"/>
      <c r="J26" s="3921"/>
      <c r="K26" s="3921"/>
      <c r="L26" s="3921"/>
      <c r="M26" s="3921"/>
      <c r="N26" s="3719"/>
      <c r="O26" s="3912" t="s">
        <v>7740</v>
      </c>
      <c r="P26" s="3912" t="s">
        <v>7741</v>
      </c>
      <c r="Q26" s="1809"/>
    </row>
    <row r="27" spans="2:17" ht="53.25" customHeight="1" x14ac:dyDescent="0.2">
      <c r="B27" s="1797"/>
      <c r="C27" s="839"/>
      <c r="D27" s="3857"/>
      <c r="E27" s="3913"/>
      <c r="F27" s="1554" t="s">
        <v>7719</v>
      </c>
      <c r="G27" s="1554" t="s">
        <v>7720</v>
      </c>
      <c r="H27" s="1554" t="s">
        <v>7721</v>
      </c>
      <c r="I27" s="1554" t="s">
        <v>7722</v>
      </c>
      <c r="J27" s="1554" t="s">
        <v>7723</v>
      </c>
      <c r="K27" s="1554" t="s">
        <v>7724</v>
      </c>
      <c r="L27" s="1554" t="s">
        <v>7725</v>
      </c>
      <c r="M27" s="1554" t="s">
        <v>748</v>
      </c>
      <c r="N27" s="1554" t="s">
        <v>8853</v>
      </c>
      <c r="O27" s="3913"/>
      <c r="P27" s="3913"/>
      <c r="Q27" s="1809"/>
    </row>
    <row r="28" spans="2:17" x14ac:dyDescent="0.2">
      <c r="B28" s="1797"/>
      <c r="C28" s="839"/>
      <c r="D28" s="707">
        <v>1</v>
      </c>
      <c r="E28" s="2601"/>
      <c r="F28" s="2601"/>
      <c r="G28" s="2601"/>
      <c r="H28" s="2601"/>
      <c r="I28" s="2601"/>
      <c r="J28" s="2601"/>
      <c r="K28" s="2601"/>
      <c r="L28" s="2601"/>
      <c r="M28" s="2271"/>
      <c r="N28" s="2271"/>
      <c r="O28" s="2601"/>
      <c r="P28" s="2089"/>
      <c r="Q28" s="1809"/>
    </row>
    <row r="29" spans="2:17" x14ac:dyDescent="0.2">
      <c r="B29" s="1797"/>
      <c r="C29" s="839"/>
      <c r="D29" s="707">
        <f>D28+1</f>
        <v>2</v>
      </c>
      <c r="E29" s="2601"/>
      <c r="F29" s="2601"/>
      <c r="G29" s="2601"/>
      <c r="H29" s="2601"/>
      <c r="I29" s="2601"/>
      <c r="J29" s="2601"/>
      <c r="K29" s="2601"/>
      <c r="L29" s="2601"/>
      <c r="M29" s="2271"/>
      <c r="N29" s="2271"/>
      <c r="O29" s="2601"/>
      <c r="P29" s="2089"/>
      <c r="Q29" s="1809"/>
    </row>
    <row r="30" spans="2:17" x14ac:dyDescent="0.2">
      <c r="B30" s="1797"/>
      <c r="C30" s="839"/>
      <c r="D30" s="707">
        <f>D29+1</f>
        <v>3</v>
      </c>
      <c r="E30" s="2601"/>
      <c r="F30" s="2601"/>
      <c r="G30" s="2601"/>
      <c r="H30" s="2601"/>
      <c r="I30" s="2601"/>
      <c r="J30" s="2601"/>
      <c r="K30" s="2601"/>
      <c r="L30" s="2601"/>
      <c r="M30" s="2271"/>
      <c r="N30" s="2271"/>
      <c r="O30" s="2601"/>
      <c r="P30" s="2089"/>
      <c r="Q30" s="1809"/>
    </row>
    <row r="31" spans="2:17" x14ac:dyDescent="0.2">
      <c r="B31" s="1797"/>
      <c r="C31" s="839"/>
      <c r="D31" s="707">
        <f>D30+1</f>
        <v>4</v>
      </c>
      <c r="E31" s="2601"/>
      <c r="F31" s="2601"/>
      <c r="G31" s="2601"/>
      <c r="H31" s="2601"/>
      <c r="I31" s="2601"/>
      <c r="J31" s="2601"/>
      <c r="K31" s="2601"/>
      <c r="L31" s="2601"/>
      <c r="M31" s="2271"/>
      <c r="N31" s="2271"/>
      <c r="O31" s="2601"/>
      <c r="P31" s="2089"/>
      <c r="Q31" s="1809"/>
    </row>
    <row r="32" spans="2:17" x14ac:dyDescent="0.2">
      <c r="B32" s="1797"/>
      <c r="C32" s="839"/>
      <c r="D32" s="841"/>
      <c r="E32" s="841"/>
      <c r="F32" s="841"/>
      <c r="G32" s="841"/>
      <c r="H32" s="841"/>
      <c r="I32" s="841"/>
      <c r="J32" s="841"/>
      <c r="K32" s="841"/>
      <c r="L32" s="841"/>
      <c r="M32" s="841"/>
      <c r="N32" s="842"/>
      <c r="O32" s="840"/>
      <c r="P32" s="848"/>
      <c r="Q32" s="1809"/>
    </row>
    <row r="33" spans="2:17" ht="33" customHeight="1" x14ac:dyDescent="0.2">
      <c r="B33" s="1797"/>
      <c r="C33" s="839"/>
      <c r="D33" s="3914"/>
      <c r="E33" s="3914"/>
      <c r="F33" s="3914"/>
      <c r="G33" s="3914"/>
      <c r="H33" s="3914"/>
      <c r="I33" s="3914"/>
      <c r="J33" s="3914"/>
      <c r="K33" s="3914"/>
      <c r="L33" s="3914"/>
      <c r="M33" s="3914"/>
      <c r="N33" s="3915"/>
      <c r="O33" s="843"/>
      <c r="P33" s="848"/>
      <c r="Q33" s="1809"/>
    </row>
    <row r="34" spans="2:17" ht="12.75" customHeight="1" x14ac:dyDescent="0.2">
      <c r="B34" s="1797"/>
      <c r="C34" s="851"/>
      <c r="D34" s="707" t="s">
        <v>355</v>
      </c>
      <c r="E34" s="3063" t="s">
        <v>9727</v>
      </c>
      <c r="F34" s="3091"/>
      <c r="G34" s="3091"/>
      <c r="H34" s="3091"/>
      <c r="I34" s="3091"/>
      <c r="J34" s="3091"/>
      <c r="K34" s="3091"/>
      <c r="L34" s="3091"/>
      <c r="M34" s="3091"/>
      <c r="N34" s="3091"/>
      <c r="O34" s="1935"/>
      <c r="P34" s="848"/>
      <c r="Q34" s="1809"/>
    </row>
    <row r="35" spans="2:17" ht="13.5" thickBot="1" x14ac:dyDescent="0.25">
      <c r="B35" s="1824"/>
      <c r="C35" s="1825"/>
      <c r="D35" s="1825"/>
      <c r="E35" s="1825"/>
      <c r="F35" s="1825"/>
      <c r="G35" s="1825"/>
      <c r="H35" s="1825"/>
      <c r="I35" s="1825"/>
      <c r="J35" s="1825"/>
      <c r="K35" s="1825"/>
      <c r="L35" s="1825"/>
      <c r="M35" s="1825"/>
      <c r="N35" s="1825"/>
      <c r="O35" s="1825"/>
      <c r="P35" s="1825"/>
      <c r="Q35" s="1842"/>
    </row>
    <row r="36" spans="2:17" x14ac:dyDescent="0.2"/>
    <row r="113" spans="14:16" hidden="1" x14ac:dyDescent="0.2">
      <c r="N113" s="113" t="s">
        <v>147</v>
      </c>
      <c r="O113" s="446"/>
      <c r="P113" s="1614"/>
    </row>
    <row r="65536" ht="15.75" hidden="1" customHeight="1" x14ac:dyDescent="0.2"/>
  </sheetData>
  <sheetProtection algorithmName="SHA-512" hashValue="3rI2GtreGVrBqYtdlZmxINC9WEB4bqvTaeNjlIYMNgrp4SB9h/nnkHB7keUJ7RP9Kqn8ppUN4Cb+ots1TH8y6g==" saltValue="NVnVHpIXsYZgtl6p0lVg0Q==" spinCount="100000" sheet="1" objects="1" scenarios="1"/>
  <mergeCells count="25">
    <mergeCell ref="E20:M20"/>
    <mergeCell ref="D13:O13"/>
    <mergeCell ref="F6:N6"/>
    <mergeCell ref="C3:D3"/>
    <mergeCell ref="E3:O3"/>
    <mergeCell ref="D5:O5"/>
    <mergeCell ref="D6:D7"/>
    <mergeCell ref="E6:E7"/>
    <mergeCell ref="O6:O7"/>
    <mergeCell ref="E21:M21"/>
    <mergeCell ref="P26:P27"/>
    <mergeCell ref="D33:N33"/>
    <mergeCell ref="E34:N34"/>
    <mergeCell ref="E14:O14"/>
    <mergeCell ref="E15:M15"/>
    <mergeCell ref="D26:D27"/>
    <mergeCell ref="E26:E27"/>
    <mergeCell ref="O26:O27"/>
    <mergeCell ref="E17:M17"/>
    <mergeCell ref="E22:M22"/>
    <mergeCell ref="E23:M23"/>
    <mergeCell ref="E19:N19"/>
    <mergeCell ref="E24:M24"/>
    <mergeCell ref="F26:N26"/>
    <mergeCell ref="E16:M16"/>
  </mergeCells>
  <dataValidations count="25">
    <dataValidation type="list" operator="lessThanOrEqual" allowBlank="1" showInputMessage="1" showErrorMessage="1" errorTitle="Do you have any interest held ?" error="Please select from the list" sqref="M25">
      <formula1>"(Select),Yes,No"</formula1>
    </dataValidation>
    <dataValidation type="list" operator="lessThanOrEqual" allowBlank="1" showInputMessage="1" showErrorMessage="1" errorTitle="Do you own any immovable asset?" error="Please select from the list" sqref="J4">
      <formula1>"(Select),Yes,No"</formula1>
    </dataValidation>
    <dataValidation type="whole" allowBlank="1" showErrorMessage="1" errorTitle="Liability in relation to Assets" error="Amount should be numeric, non negative, no decimal, upto 14 digits." sqref="O34">
      <formula1>0</formula1>
      <formula2>99999999999999</formula2>
    </dataValidation>
    <dataValidation type="textLength" operator="lessThanOrEqual" allowBlank="1" showInputMessage="1" showErrorMessage="1" errorTitle="Description" error="Description  should not exceed 25 characters " sqref="E8:E11">
      <formula1>25</formula1>
    </dataValidation>
    <dataValidation type="whole" allowBlank="1" showErrorMessage="1" errorTitle="Amount(cost)" error="Amount should be numeric, non negative, no decimal, upto 14 digits." sqref="O8:O11">
      <formula1>0</formula1>
      <formula2>99999999999999</formula2>
    </dataValidation>
    <dataValidation type="whole" allowBlank="1" showErrorMessage="1" errorTitle="Jwellery, bullion etc." error="Amount should be numeric, non negative, no decimal, upto 14 digits." sqref="N16">
      <formula1>0</formula1>
      <formula2>99999999999999</formula2>
    </dataValidation>
    <dataValidation type="whole" allowBlank="1" showErrorMessage="1" errorTitle="Any work art" error="Amount should be numeric, non negative, no decimal, upto 14 digits." sqref="N17">
      <formula1>0</formula1>
      <formula2>99999999999999</formula2>
    </dataValidation>
    <dataValidation type="whole" allowBlank="1" showErrorMessage="1" errorTitle="Vehicles, yachts, boats.." error="Amount should be numeric, non negative, no decimal, upto 14 digits._x000a__x000a_" sqref="N18">
      <formula1>0</formula1>
      <formula2>99999999999999</formula2>
    </dataValidation>
    <dataValidation type="whole" allowBlank="1" showErrorMessage="1" errorTitle="Bank(including all deposits)" error="Amount should be numeric, non negative, no decimal, upto 14 digits." sqref="N20">
      <formula1>0</formula1>
      <formula2>99999999999999</formula2>
    </dataValidation>
    <dataValidation type="whole" allowBlank="1" showErrorMessage="1" errorTitle="Share and securities" error="Amount should be numeric, non negative, no decimal, upto 14 digits." sqref="N21">
      <formula1>0</formula1>
      <formula2>99999999999999</formula2>
    </dataValidation>
    <dataValidation type="whole" allowBlank="1" showErrorMessage="1" errorTitle="Insurance policies" error="Amount should be numeric, non negative, no decimal, upto 14 digits." sqref="N22">
      <formula1>0</formula1>
      <formula2>99999999999999</formula2>
    </dataValidation>
    <dataValidation type="whole" allowBlank="1" showErrorMessage="1" errorTitle="Loans and advances given" error="Amount should be numeric, non negative, no decimal, upto 14 digits." sqref="N23">
      <formula1>0</formula1>
      <formula2>99999999999999</formula2>
    </dataValidation>
    <dataValidation type="whole" allowBlank="1" showErrorMessage="1" errorTitle="Cash in Hand" error="Amount should be numeric, non negative, no decimal, upto 14 digits." sqref="N24">
      <formula1>0</formula1>
      <formula2>99999999999999</formula2>
    </dataValidation>
    <dataValidation type="textLength" operator="lessThanOrEqual" allowBlank="1" showInputMessage="1" showErrorMessage="1" errorTitle="Name of the Firm" error="Name of the Firm should not exceed 50 characters " sqref="E28:E31">
      <formula1>50</formula1>
    </dataValidation>
    <dataValidation type="whole" allowBlank="1" showErrorMessage="1" errorTitle="Assesse's Investement" error="Amount should be numeric, non negative, no decimal, upto 14 digits." sqref="P28:P31">
      <formula1>0</formula1>
      <formula2>99999999999999</formula2>
    </dataValidation>
    <dataValidation type="textLength" operator="equal" allowBlank="1" showInputMessage="1" showErrorMessage="1" errorTitle="PAN Invalid" error="Enter 10 digit valid PAN" sqref="O28:O31">
      <formula1>10</formula1>
    </dataValidation>
    <dataValidation type="textLength" operator="lessThanOrEqual" allowBlank="1" showInputMessage="1" showErrorMessage="1" errorTitle="Town/City/District" error="Town/City/District should not exceed 50 characters " sqref="J28:J31 J8:J11">
      <formula1>50</formula1>
    </dataValidation>
    <dataValidation type="textLength" operator="lessThanOrEqual" allowBlank="1" showInputMessage="1" showErrorMessage="1" errorTitle="Area" error="Area should not exceed 50 characters " sqref="I28:I31 I8:I11">
      <formula1>50</formula1>
    </dataValidation>
    <dataValidation type="textLength" operator="lessThanOrEqual" allowBlank="1" showInputMessage="1" showErrorMessage="1" errorTitle="Road/Street/Post Office" error="Road/Street/Post Office should not exceed 50 characters " sqref="H28:H31 H8:H11">
      <formula1>50</formula1>
    </dataValidation>
    <dataValidation type="textLength" operator="lessThanOrEqual" allowBlank="1" showInputMessage="1" showErrorMessage="1" errorTitle="Name of Premises" error="Name of Premises should not exceed 50 characters " sqref="G28:G31 G8:G11">
      <formula1>50</formula1>
    </dataValidation>
    <dataValidation type="textLength" operator="lessThanOrEqual" allowBlank="1" showInputMessage="1" showErrorMessage="1" errorTitle="Flat/Door/Block No." error="Flat/Door/Block No. should not exceed 50 characters " sqref="F28:F31 F8:F11">
      <formula1>50</formula1>
    </dataValidation>
    <dataValidation type="list" operator="lessThanOrEqual" allowBlank="1" showInputMessage="1" showErrorMessage="1" errorTitle="Country" error="Please select from the list" sqref="L28:L31 L8:L11">
      <formula1>Country</formula1>
    </dataValidation>
    <dataValidation type="list" allowBlank="1" showInputMessage="1" showErrorMessage="1" errorTitle="State" error="Please select from the list" sqref="K8:K11 K28:K31">
      <formula1>State</formula1>
    </dataValidation>
    <dataValidation type="whole" allowBlank="1" showInputMessage="1" showErrorMessage="1" errorTitle="Pincode" error="Pincode must be exactly 6 digits and should not start with zero" sqref="M8:M11 M28:M31">
      <formula1>100000</formula1>
      <formula2>999999</formula2>
    </dataValidation>
    <dataValidation type="textLength" operator="lessThanOrEqual" allowBlank="1" showInputMessage="1" showErrorMessage="1" errorTitle="ZipCode" error="Zipcode should be contain minimum of 1 or maximum of 8 Characters" sqref="N28:N31 N8:N11">
      <formula1>8</formula1>
    </dataValidation>
  </dataValidations>
  <printOptions horizontalCentered="1"/>
  <pageMargins left="5.5555555555555558E-3" right="5.5555555555555558E-3" top="0.75" bottom="0.75" header="0.3" footer="0.3"/>
  <pageSetup paperSize="9" orientation="landscape" blackAndWhite="1"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Button 1">
              <controlPr defaultSize="0" print="0" autoFill="0" autoPict="0" macro="[0]!AddRows_ImmovableAssets">
                <anchor moveWithCells="1">
                  <from>
                    <xdr:col>3</xdr:col>
                    <xdr:colOff>0</xdr:colOff>
                    <xdr:row>12</xdr:row>
                    <xdr:rowOff>0</xdr:rowOff>
                  </from>
                  <to>
                    <xdr:col>4</xdr:col>
                    <xdr:colOff>638175</xdr:colOff>
                    <xdr:row>12</xdr:row>
                    <xdr:rowOff>285750</xdr:rowOff>
                  </to>
                </anchor>
              </controlPr>
            </control>
          </mc:Choice>
        </mc:AlternateContent>
        <mc:AlternateContent xmlns:mc="http://schemas.openxmlformats.org/markup-compatibility/2006">
          <mc:Choice Requires="x14">
            <control shapeId="169986" r:id="rId5" name="Button 2">
              <controlPr defaultSize="0" print="0" autoFill="0" autoPict="0" macro="[0]!AddRows_InterestHeld">
                <anchor moveWithCells="1">
                  <from>
                    <xdr:col>3</xdr:col>
                    <xdr:colOff>0</xdr:colOff>
                    <xdr:row>32</xdr:row>
                    <xdr:rowOff>0</xdr:rowOff>
                  </from>
                  <to>
                    <xdr:col>4</xdr:col>
                    <xdr:colOff>638175</xdr:colOff>
                    <xdr:row>32</xdr:row>
                    <xdr:rowOff>285750</xdr:rowOff>
                  </to>
                </anchor>
              </controlPr>
            </control>
          </mc:Choice>
        </mc:AlternateContent>
        <mc:AlternateContent xmlns:mc="http://schemas.openxmlformats.org/markup-compatibility/2006">
          <mc:Choice Requires="x14">
            <control shapeId="169988" r:id="rId6" name="Button 4">
              <controlPr defaultSize="0" print="0" autoFill="0" autoPict="0" macro="[0]!Cmd_Validate_AL_Click">
                <anchor>
                  <from>
                    <xdr:col>15</xdr:col>
                    <xdr:colOff>180975</xdr:colOff>
                    <xdr:row>4</xdr:row>
                    <xdr:rowOff>66675</xdr:rowOff>
                  </from>
                  <to>
                    <xdr:col>15</xdr:col>
                    <xdr:colOff>1552575</xdr:colOff>
                    <xdr:row>6</xdr:row>
                    <xdr:rowOff>57150</xdr:rowOff>
                  </to>
                </anchor>
              </controlPr>
            </control>
          </mc:Choice>
        </mc:AlternateContent>
        <mc:AlternateContent xmlns:mc="http://schemas.openxmlformats.org/markup-compatibility/2006">
          <mc:Choice Requires="x14">
            <control shapeId="169989" r:id="rId7" name="Button 5">
              <controlPr defaultSize="0" print="0" autoFill="0" autoPict="0" macro="[0]!Prev_Sheet">
                <anchor>
                  <from>
                    <xdr:col>15</xdr:col>
                    <xdr:colOff>190500</xdr:colOff>
                    <xdr:row>6</xdr:row>
                    <xdr:rowOff>400050</xdr:rowOff>
                  </from>
                  <to>
                    <xdr:col>15</xdr:col>
                    <xdr:colOff>1562100</xdr:colOff>
                    <xdr:row>6</xdr:row>
                    <xdr:rowOff>666750</xdr:rowOff>
                  </to>
                </anchor>
              </controlPr>
            </control>
          </mc:Choice>
        </mc:AlternateContent>
        <mc:AlternateContent xmlns:mc="http://schemas.openxmlformats.org/markup-compatibility/2006">
          <mc:Choice Requires="x14">
            <control shapeId="169990" r:id="rId8" name="Button 6">
              <controlPr defaultSize="0" print="0" autoFill="0" autoPict="0" macro="[0]!Img_Home_Click">
                <anchor>
                  <from>
                    <xdr:col>15</xdr:col>
                    <xdr:colOff>180975</xdr:colOff>
                    <xdr:row>2</xdr:row>
                    <xdr:rowOff>95250</xdr:rowOff>
                  </from>
                  <to>
                    <xdr:col>15</xdr:col>
                    <xdr:colOff>1552575</xdr:colOff>
                    <xdr:row>4</xdr:row>
                    <xdr:rowOff>38100</xdr:rowOff>
                  </to>
                </anchor>
              </controlPr>
            </control>
          </mc:Choice>
        </mc:AlternateContent>
        <mc:AlternateContent xmlns:mc="http://schemas.openxmlformats.org/markup-compatibility/2006">
          <mc:Choice Requires="x14">
            <control shapeId="169991" r:id="rId9" name="Button 7">
              <controlPr defaultSize="0" print="0" autoFill="0" autoPict="0" macro="[0]!Instruction_Sheet">
                <anchor>
                  <from>
                    <xdr:col>15</xdr:col>
                    <xdr:colOff>190500</xdr:colOff>
                    <xdr:row>10</xdr:row>
                    <xdr:rowOff>142875</xdr:rowOff>
                  </from>
                  <to>
                    <xdr:col>15</xdr:col>
                    <xdr:colOff>1562100</xdr:colOff>
                    <xdr:row>12</xdr:row>
                    <xdr:rowOff>95250</xdr:rowOff>
                  </to>
                </anchor>
              </controlPr>
            </control>
          </mc:Choice>
        </mc:AlternateContent>
        <mc:AlternateContent xmlns:mc="http://schemas.openxmlformats.org/markup-compatibility/2006">
          <mc:Choice Requires="x14">
            <control shapeId="169992" r:id="rId10" name="Button 8">
              <controlPr defaultSize="0" print="0" autoFill="0" autoPict="0" macro="[0]!WorksheetsPrint">
                <anchor>
                  <from>
                    <xdr:col>15</xdr:col>
                    <xdr:colOff>190500</xdr:colOff>
                    <xdr:row>9</xdr:row>
                    <xdr:rowOff>0</xdr:rowOff>
                  </from>
                  <to>
                    <xdr:col>15</xdr:col>
                    <xdr:colOff>1562100</xdr:colOff>
                    <xdr:row>10</xdr:row>
                    <xdr:rowOff>114300</xdr:rowOff>
                  </to>
                </anchor>
              </controlPr>
            </control>
          </mc:Choice>
        </mc:AlternateContent>
        <mc:AlternateContent xmlns:mc="http://schemas.openxmlformats.org/markup-compatibility/2006">
          <mc:Choice Requires="x14">
            <control shapeId="169993" r:id="rId11" name="Button 9">
              <controlPr defaultSize="0" print="0" autoFill="0" autoPict="0" macro="[0]!GenerateJSON.GenerateJSON">
                <anchor>
                  <from>
                    <xdr:col>15</xdr:col>
                    <xdr:colOff>190500</xdr:colOff>
                    <xdr:row>7</xdr:row>
                    <xdr:rowOff>19050</xdr:rowOff>
                  </from>
                  <to>
                    <xdr:col>15</xdr:col>
                    <xdr:colOff>1562100</xdr:colOff>
                    <xdr:row>8</xdr:row>
                    <xdr:rowOff>133350</xdr:rowOff>
                  </to>
                </anchor>
              </controlPr>
            </control>
          </mc:Choice>
        </mc:AlternateContent>
        <mc:AlternateContent xmlns:mc="http://schemas.openxmlformats.org/markup-compatibility/2006">
          <mc:Choice Requires="x14">
            <control shapeId="170008" r:id="rId12" name="Button 24">
              <controlPr defaultSize="0" print="0" autoFill="0" autoPict="0" macro="[0]!Next_Sheet">
                <anchor>
                  <from>
                    <xdr:col>15</xdr:col>
                    <xdr:colOff>190500</xdr:colOff>
                    <xdr:row>6</xdr:row>
                    <xdr:rowOff>95250</xdr:rowOff>
                  </from>
                  <to>
                    <xdr:col>15</xdr:col>
                    <xdr:colOff>1562100</xdr:colOff>
                    <xdr:row>6</xdr:row>
                    <xdr:rowOff>361950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IU65522"/>
  <sheetViews>
    <sheetView showGridLines="0" showRowColHeaders="0" workbookViewId="0">
      <selection activeCell="F3" sqref="F3:G3"/>
    </sheetView>
  </sheetViews>
  <sheetFormatPr defaultColWidth="0" defaultRowHeight="15" zeroHeight="1" x14ac:dyDescent="0.25"/>
  <cols>
    <col min="1" max="1" width="4.42578125" customWidth="1"/>
    <col min="2" max="2" width="3" customWidth="1"/>
    <col min="3" max="3" width="3.5703125" customWidth="1"/>
    <col min="4" max="4" width="9.140625" customWidth="1"/>
    <col min="5" max="5" width="6.140625" customWidth="1"/>
    <col min="6" max="6" width="40.140625" customWidth="1"/>
    <col min="7" max="7" width="31.85546875" customWidth="1"/>
    <col min="8" max="8" width="3.5703125" customWidth="1"/>
    <col min="9" max="10" width="9.140625" customWidth="1"/>
    <col min="11" max="11" width="6.140625" customWidth="1"/>
    <col min="12" max="255" width="9.140625" hidden="1" customWidth="1"/>
    <col min="256" max="16384" width="2" hidden="1"/>
  </cols>
  <sheetData>
    <row r="1" spans="2:8" ht="15.75" thickBot="1" x14ac:dyDescent="0.3"/>
    <row r="2" spans="2:8" ht="13.5" customHeight="1" x14ac:dyDescent="0.25">
      <c r="B2" s="1251"/>
      <c r="C2" s="1250"/>
      <c r="D2" s="1250"/>
      <c r="E2" s="1250"/>
      <c r="F2" s="1250"/>
      <c r="G2" s="1250"/>
      <c r="H2" s="1249"/>
    </row>
    <row r="3" spans="2:8" x14ac:dyDescent="0.25">
      <c r="B3" s="1248"/>
      <c r="C3" s="3928" t="s">
        <v>8281</v>
      </c>
      <c r="D3" s="3928"/>
      <c r="E3" s="3928"/>
      <c r="F3" s="3068" t="s">
        <v>9362</v>
      </c>
      <c r="G3" s="3068"/>
      <c r="H3" s="1247"/>
    </row>
    <row r="4" spans="2:8" ht="25.5" x14ac:dyDescent="0.25">
      <c r="B4" s="1248"/>
      <c r="C4" s="1290"/>
      <c r="D4" s="1999"/>
      <c r="E4" s="2066" t="s">
        <v>1056</v>
      </c>
      <c r="F4" s="1998" t="s">
        <v>9363</v>
      </c>
      <c r="G4" s="2077" t="s">
        <v>9364</v>
      </c>
      <c r="H4" s="1247"/>
    </row>
    <row r="5" spans="2:8" x14ac:dyDescent="0.25">
      <c r="B5" s="1248"/>
      <c r="C5" s="1289"/>
      <c r="D5" s="2000"/>
      <c r="E5" s="2066">
        <v>1</v>
      </c>
      <c r="F5" s="1899"/>
      <c r="G5" s="1935"/>
      <c r="H5" s="1247"/>
    </row>
    <row r="6" spans="2:8" x14ac:dyDescent="0.25">
      <c r="B6" s="1248"/>
      <c r="C6" s="1289"/>
      <c r="D6" s="2000"/>
      <c r="E6" s="2066">
        <f>E5+1</f>
        <v>2</v>
      </c>
      <c r="F6" s="1899"/>
      <c r="G6" s="1935"/>
      <c r="H6" s="1247"/>
    </row>
    <row r="7" spans="2:8" x14ac:dyDescent="0.25">
      <c r="B7" s="1248"/>
      <c r="C7" s="1289"/>
      <c r="D7" s="2000"/>
      <c r="E7" s="2066">
        <f>E6+1</f>
        <v>3</v>
      </c>
      <c r="F7" s="1899"/>
      <c r="G7" s="1935"/>
      <c r="H7" s="1247"/>
    </row>
    <row r="8" spans="2:8" x14ac:dyDescent="0.25">
      <c r="B8" s="1248"/>
      <c r="C8" s="1289"/>
      <c r="D8" s="2000"/>
      <c r="E8" s="2066">
        <f>E7+1</f>
        <v>4</v>
      </c>
      <c r="F8" s="1899"/>
      <c r="G8" s="1935"/>
      <c r="H8" s="1247"/>
    </row>
    <row r="9" spans="2:8" ht="29.25" customHeight="1" x14ac:dyDescent="0.25">
      <c r="B9" s="1248"/>
      <c r="C9" s="2001"/>
      <c r="D9" s="2002"/>
      <c r="E9" s="3929"/>
      <c r="F9" s="3930"/>
      <c r="G9" s="3931"/>
      <c r="H9" s="1247"/>
    </row>
    <row r="10" spans="2:8" x14ac:dyDescent="0.25">
      <c r="B10" s="1248"/>
      <c r="C10" s="1952"/>
      <c r="D10" s="1952"/>
      <c r="E10" s="1952"/>
      <c r="F10" s="1952"/>
      <c r="G10" s="1952"/>
      <c r="H10" s="1247"/>
    </row>
    <row r="11" spans="2:8" x14ac:dyDescent="0.25">
      <c r="B11" s="1248"/>
      <c r="C11" s="3788" t="s">
        <v>9747</v>
      </c>
      <c r="D11" s="3789"/>
      <c r="E11" s="3789"/>
      <c r="F11" s="3789"/>
      <c r="G11" s="3790"/>
      <c r="H11" s="1247"/>
    </row>
    <row r="12" spans="2:8" ht="15.75" thickBot="1" x14ac:dyDescent="0.3">
      <c r="B12" s="1246"/>
      <c r="C12" s="1245"/>
      <c r="D12" s="1245"/>
      <c r="E12" s="1245"/>
      <c r="F12" s="1245"/>
      <c r="G12" s="1245"/>
      <c r="H12" s="1244"/>
    </row>
    <row r="13" spans="2:8" x14ac:dyDescent="0.25"/>
    <row r="65522" x14ac:dyDescent="0.25"/>
  </sheetData>
  <sheetProtection algorithmName="SHA-512" hashValue="seCI50kW64+ZQ6lzvAfp0kQuLDARRk99GWHvBS1VMgiA1SeT+1BFe9YSnFcRy776QeysTq94YTg6mqvSJ4fxgw==" saltValue="K9P68m6FQhUDhxE1L89Pvg==" spinCount="100000" sheet="1" objects="1" scenarios="1"/>
  <mergeCells count="4">
    <mergeCell ref="C3:E3"/>
    <mergeCell ref="F3:G3"/>
    <mergeCell ref="E9:G9"/>
    <mergeCell ref="C11:G11"/>
  </mergeCells>
  <dataValidations count="2">
    <dataValidation type="textLength" operator="equal" allowBlank="1" showInputMessage="1" showErrorMessage="1" errorTitle="GSTIN" error="Invaild GSTIN. GSTIN should be 15 characters" sqref="F5:F8">
      <formula1>15</formula1>
    </dataValidation>
    <dataValidation type="whole" allowBlank="1" showInputMessage="1" showErrorMessage="1" errorTitle="Annual value of outward " error="Annual value of outward supplies should be non negative numeric,upto 14 digits" sqref="G5:G8">
      <formula1>0</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Button 1">
              <controlPr defaultSize="0" print="0" autoFill="0" autoPict="0" macro="[0]!AddRowsGST_Click">
                <anchor moveWithCells="1">
                  <from>
                    <xdr:col>4</xdr:col>
                    <xdr:colOff>28575</xdr:colOff>
                    <xdr:row>8</xdr:row>
                    <xdr:rowOff>28575</xdr:rowOff>
                  </from>
                  <to>
                    <xdr:col>5</xdr:col>
                    <xdr:colOff>981075</xdr:colOff>
                    <xdr:row>8</xdr:row>
                    <xdr:rowOff>295275</xdr:rowOff>
                  </to>
                </anchor>
              </controlPr>
            </control>
          </mc:Choice>
        </mc:AlternateContent>
        <mc:AlternateContent xmlns:mc="http://schemas.openxmlformats.org/markup-compatibility/2006">
          <mc:Choice Requires="x14">
            <control shapeId="199682" r:id="rId5" name="Button 2">
              <controlPr defaultSize="0" print="0" autoFill="0" autoPict="0" macro="[0]!ValidateSheetGST_Click">
                <anchor>
                  <from>
                    <xdr:col>8</xdr:col>
                    <xdr:colOff>104775</xdr:colOff>
                    <xdr:row>2</xdr:row>
                    <xdr:rowOff>171450</xdr:rowOff>
                  </from>
                  <to>
                    <xdr:col>10</xdr:col>
                    <xdr:colOff>257175</xdr:colOff>
                    <xdr:row>3</xdr:row>
                    <xdr:rowOff>247650</xdr:rowOff>
                  </to>
                </anchor>
              </controlPr>
            </control>
          </mc:Choice>
        </mc:AlternateContent>
        <mc:AlternateContent xmlns:mc="http://schemas.openxmlformats.org/markup-compatibility/2006">
          <mc:Choice Requires="x14">
            <control shapeId="199683" r:id="rId6" name="Button 3">
              <controlPr defaultSize="0" print="0" autoFill="0" autoPict="0" macro="[0]!Prev_Sheet">
                <anchor>
                  <from>
                    <xdr:col>8</xdr:col>
                    <xdr:colOff>104775</xdr:colOff>
                    <xdr:row>5</xdr:row>
                    <xdr:rowOff>66675</xdr:rowOff>
                  </from>
                  <to>
                    <xdr:col>10</xdr:col>
                    <xdr:colOff>257175</xdr:colOff>
                    <xdr:row>6</xdr:row>
                    <xdr:rowOff>152400</xdr:rowOff>
                  </to>
                </anchor>
              </controlPr>
            </control>
          </mc:Choice>
        </mc:AlternateContent>
        <mc:AlternateContent xmlns:mc="http://schemas.openxmlformats.org/markup-compatibility/2006">
          <mc:Choice Requires="x14">
            <control shapeId="199684" r:id="rId7" name="Button 4">
              <controlPr defaultSize="0" print="0" autoFill="0" autoPict="0" macro="[0]!Img_Home_Click">
                <anchor>
                  <from>
                    <xdr:col>8</xdr:col>
                    <xdr:colOff>104775</xdr:colOff>
                    <xdr:row>1</xdr:row>
                    <xdr:rowOff>28575</xdr:rowOff>
                  </from>
                  <to>
                    <xdr:col>10</xdr:col>
                    <xdr:colOff>257175</xdr:colOff>
                    <xdr:row>2</xdr:row>
                    <xdr:rowOff>133350</xdr:rowOff>
                  </to>
                </anchor>
              </controlPr>
            </control>
          </mc:Choice>
        </mc:AlternateContent>
        <mc:AlternateContent xmlns:mc="http://schemas.openxmlformats.org/markup-compatibility/2006">
          <mc:Choice Requires="x14">
            <control shapeId="199685" r:id="rId8" name="Button 5">
              <controlPr defaultSize="0" print="0" autoFill="0" autoPict="0" macro="[0]!Instruction_Sheet">
                <anchor>
                  <from>
                    <xdr:col>8</xdr:col>
                    <xdr:colOff>104775</xdr:colOff>
                    <xdr:row>9</xdr:row>
                    <xdr:rowOff>57150</xdr:rowOff>
                  </from>
                  <to>
                    <xdr:col>10</xdr:col>
                    <xdr:colOff>257175</xdr:colOff>
                    <xdr:row>10</xdr:row>
                    <xdr:rowOff>133350</xdr:rowOff>
                  </to>
                </anchor>
              </controlPr>
            </control>
          </mc:Choice>
        </mc:AlternateContent>
        <mc:AlternateContent xmlns:mc="http://schemas.openxmlformats.org/markup-compatibility/2006">
          <mc:Choice Requires="x14">
            <control shapeId="199686" r:id="rId9" name="Button 6">
              <controlPr defaultSize="0" print="0" autoFill="0" autoPict="0" macro="[0]!WorksheetsPrint">
                <anchor>
                  <from>
                    <xdr:col>8</xdr:col>
                    <xdr:colOff>104775</xdr:colOff>
                    <xdr:row>8</xdr:row>
                    <xdr:rowOff>114300</xdr:rowOff>
                  </from>
                  <to>
                    <xdr:col>10</xdr:col>
                    <xdr:colOff>257175</xdr:colOff>
                    <xdr:row>9</xdr:row>
                    <xdr:rowOff>19050</xdr:rowOff>
                  </to>
                </anchor>
              </controlPr>
            </control>
          </mc:Choice>
        </mc:AlternateContent>
        <mc:AlternateContent xmlns:mc="http://schemas.openxmlformats.org/markup-compatibility/2006">
          <mc:Choice Requires="x14">
            <control shapeId="199687" r:id="rId10" name="Button 7">
              <controlPr defaultSize="0" print="0" autoFill="0" autoPict="0" macro="[0]!GenerateJSON.GenerateJSON">
                <anchor>
                  <from>
                    <xdr:col>8</xdr:col>
                    <xdr:colOff>104775</xdr:colOff>
                    <xdr:row>7</xdr:row>
                    <xdr:rowOff>0</xdr:rowOff>
                  </from>
                  <to>
                    <xdr:col>10</xdr:col>
                    <xdr:colOff>257175</xdr:colOff>
                    <xdr:row>8</xdr:row>
                    <xdr:rowOff>76200</xdr:rowOff>
                  </to>
                </anchor>
              </controlPr>
            </control>
          </mc:Choice>
        </mc:AlternateContent>
        <mc:AlternateContent xmlns:mc="http://schemas.openxmlformats.org/markup-compatibility/2006">
          <mc:Choice Requires="x14">
            <control shapeId="199689" r:id="rId11" name="Button 9">
              <controlPr defaultSize="0" print="0" autoFill="0" autoPict="0" macro="[0]!Next_Sheet">
                <anchor>
                  <from>
                    <xdr:col>10</xdr:col>
                    <xdr:colOff>381000</xdr:colOff>
                    <xdr:row>11</xdr:row>
                    <xdr:rowOff>114300</xdr:rowOff>
                  </from>
                  <to>
                    <xdr:col>10</xdr:col>
                    <xdr:colOff>381000</xdr:colOff>
                    <xdr:row>11</xdr:row>
                    <xdr:rowOff>114300</xdr:rowOff>
                  </to>
                </anchor>
              </controlPr>
            </control>
          </mc:Choice>
        </mc:AlternateContent>
        <mc:AlternateContent xmlns:mc="http://schemas.openxmlformats.org/markup-compatibility/2006">
          <mc:Choice Requires="x14">
            <control shapeId="199694" r:id="rId12" name="Button 14">
              <controlPr defaultSize="0" print="0" autoFill="0" autoPict="0" macro="[0]!Next_Sheet">
                <anchor>
                  <from>
                    <xdr:col>8</xdr:col>
                    <xdr:colOff>104775</xdr:colOff>
                    <xdr:row>3</xdr:row>
                    <xdr:rowOff>285750</xdr:rowOff>
                  </from>
                  <to>
                    <xdr:col>10</xdr:col>
                    <xdr:colOff>257175</xdr:colOff>
                    <xdr:row>5</xdr:row>
                    <xdr:rowOff>38100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0000"/>
  </sheetPr>
  <dimension ref="A1:AY344"/>
  <sheetViews>
    <sheetView showGridLines="0" topLeftCell="A274" zoomScale="70" zoomScaleNormal="70" workbookViewId="0">
      <selection activeCell="G295" sqref="G295"/>
    </sheetView>
  </sheetViews>
  <sheetFormatPr defaultColWidth="9.140625" defaultRowHeight="12.75" x14ac:dyDescent="0.2"/>
  <cols>
    <col min="1" max="1" width="33.28515625" style="873" customWidth="1"/>
    <col min="2" max="2" width="23.140625" style="873" customWidth="1"/>
    <col min="3" max="3" width="20.7109375" style="873" customWidth="1"/>
    <col min="4" max="4" width="33" style="873" bestFit="1" customWidth="1"/>
    <col min="5" max="5" width="21.85546875" style="873" customWidth="1"/>
    <col min="6" max="6" width="32.42578125" style="873" bestFit="1" customWidth="1"/>
    <col min="7" max="7" width="30.5703125" style="873" bestFit="1" customWidth="1"/>
    <col min="8" max="8" width="10.7109375" style="873" customWidth="1"/>
    <col min="9" max="9" width="24" style="873" customWidth="1"/>
    <col min="10" max="10" width="32.5703125" style="873" customWidth="1"/>
    <col min="11" max="11" width="21.5703125" style="873" customWidth="1"/>
    <col min="12" max="12" width="21.7109375" style="873" customWidth="1"/>
    <col min="13" max="13" width="26.85546875" style="873" customWidth="1"/>
    <col min="14" max="14" width="19.85546875" style="873" customWidth="1"/>
    <col min="15" max="15" width="22.42578125" style="873" customWidth="1"/>
    <col min="16" max="16" width="17.140625" style="873" customWidth="1"/>
    <col min="17" max="17" width="21" style="873" customWidth="1"/>
    <col min="18" max="18" width="18.42578125" style="873" customWidth="1"/>
    <col min="19" max="19" width="55.7109375" style="873" bestFit="1" customWidth="1"/>
    <col min="20" max="20" width="15.5703125" style="873" customWidth="1"/>
    <col min="21" max="29" width="9.140625" style="873"/>
    <col min="30" max="30" width="23.42578125" style="873" customWidth="1"/>
    <col min="31" max="31" width="31.5703125" style="873" customWidth="1"/>
    <col min="32" max="32" width="9.140625" style="873"/>
    <col min="33" max="33" width="12.85546875" style="873" customWidth="1"/>
    <col min="34" max="34" width="17.7109375" style="873" customWidth="1"/>
    <col min="35" max="35" width="14.5703125" style="873" customWidth="1"/>
    <col min="36" max="38" width="9.140625" style="873"/>
    <col min="39" max="39" width="31.42578125" style="873" customWidth="1"/>
    <col min="40" max="40" width="12.42578125" style="873" customWidth="1"/>
    <col min="41" max="41" width="9.140625" style="873"/>
    <col min="42" max="42" width="18.7109375" style="873" customWidth="1"/>
    <col min="43" max="43" width="14" style="873" customWidth="1"/>
    <col min="44" max="44" width="13.140625" style="873" customWidth="1"/>
    <col min="45" max="45" width="15.140625" style="873" customWidth="1"/>
    <col min="46" max="46" width="14.85546875" style="873" customWidth="1"/>
    <col min="47" max="47" width="20.28515625" style="873" customWidth="1"/>
    <col min="48" max="48" width="14.85546875" style="873" customWidth="1"/>
    <col min="49" max="49" width="15.140625" style="873" customWidth="1"/>
    <col min="50" max="50" width="13.85546875" style="873" customWidth="1"/>
    <col min="51" max="16384" width="9.140625" style="873"/>
  </cols>
  <sheetData>
    <row r="1" spans="1:8" x14ac:dyDescent="0.2">
      <c r="A1" s="870" t="s">
        <v>1714</v>
      </c>
      <c r="B1" s="871"/>
      <c r="C1" s="872" t="s">
        <v>6514</v>
      </c>
      <c r="D1" s="576" t="str">
        <f>CONCATENATE(YEAR(TODAY()),"-",IF(MONTH(TODAY())&lt;10,"0",""),MONTH(TODAY()),"-",IF(DAY(TODAY())&lt;10,"0",""),DAY(TODAY()))</f>
        <v>2022-08-09</v>
      </c>
      <c r="F1" s="1108"/>
    </row>
    <row r="2" spans="1:8" x14ac:dyDescent="0.2">
      <c r="C2" s="872" t="s">
        <v>7397</v>
      </c>
      <c r="D2" s="874" t="str">
        <f>CONCATENATE(IF(DAY(TODAY())&lt;10,"0",""),DAY(TODAY()),"-",IF(MONTH(TODAY())&lt;10,"0",""),MONTH(TODAY()),"-",YEAR(TODAY()))</f>
        <v>09-08-2022</v>
      </c>
      <c r="F2" s="1108" t="str">
        <f>MID(sheet1.StateCode1,1,2)</f>
        <v/>
      </c>
    </row>
    <row r="3" spans="1:8" x14ac:dyDescent="0.2">
      <c r="A3" s="872" t="s">
        <v>1715</v>
      </c>
      <c r="B3" s="875">
        <f>MAX(Sheet9.NetTaxLiability-Sheet9.AdvanceTax-Sheet9.TDS-Sheet9.TCS-matchedSAT,0)</f>
        <v>0</v>
      </c>
      <c r="C3" s="876" t="s">
        <v>6537</v>
      </c>
      <c r="D3" s="877">
        <f>IF(Temp_lakhcheck&gt;100000,IF(Flag92E=1,IT_Sat_1+IT_Sat_2+IT_Sat_3+IT_Sat_4+IT_Sat_5+IT_Sat_6+IT_Sat_7+IT_Sat_8,IF(OR(Flag44AB=1,Flag92EO=1,FlagSchIFYes=1,FlagAuditTable=1),IT_Sat_1+IT_Sat_2+IT_Sat_3+IT_Sat_4+IT_Sat_5+IT_Sat_6+IT_Sat_7,IT_Sat_1+IT_Sat_2+IT_Sat_3+IT_Sat_4)),IF(Flag92E=1,IT_Sat_1+IT_Sat_2+IT_Sat_3+IT_Sat_4+IT_Sat_5+IT_Sat_6+IT_Sat_7+IT_Sat_8,IF(OR(Flag44AB=1,Flag92EO=1,FlagSchIFYes=1,FlagAuditTable=1),IT_Sat_1+IT_Sat_2+IT_Sat_3+IT_Sat_4+IT_Sat_5+IT_Sat_6+IT_Sat_7,IT_Sat_1+IT_Sat_2+IT_Sat_3+IT_Sat_4)))</f>
        <v>0</v>
      </c>
    </row>
    <row r="4" spans="1:8" x14ac:dyDescent="0.2">
      <c r="A4" s="872" t="s">
        <v>1716</v>
      </c>
      <c r="B4" s="875">
        <f>IF(intsrt234AprincTemp&gt;100,FLOOR(intsrt234AprincTemp,100),intsrt234AprincTemp)</f>
        <v>0</v>
      </c>
      <c r="D4" s="872" t="s">
        <v>1728</v>
      </c>
      <c r="E4" s="576">
        <f>COUNTIF(isLiableForAudit,"=1")</f>
        <v>0</v>
      </c>
    </row>
    <row r="5" spans="1:8" x14ac:dyDescent="0.2">
      <c r="A5" s="872" t="s">
        <v>1717</v>
      </c>
      <c r="B5" s="878">
        <v>43842</v>
      </c>
    </row>
    <row r="6" spans="1:8" x14ac:dyDescent="0.2">
      <c r="A6" s="872" t="s">
        <v>1718</v>
      </c>
      <c r="B6" s="878">
        <v>43842</v>
      </c>
      <c r="C6" s="879" t="s">
        <v>7332</v>
      </c>
      <c r="D6" s="576">
        <f>IF(MID(sheet1.LiableSec44ABflg,1,1)="Y",1,0)</f>
        <v>0</v>
      </c>
    </row>
    <row r="7" spans="1:8" x14ac:dyDescent="0.2">
      <c r="A7" s="872" t="s">
        <v>1719</v>
      </c>
      <c r="B7" s="878">
        <f>IF(COUNTIF(isLiableForAudit,"=1")&gt;0,IF(OR(TempK="14",TempK="37"),B14,B6),B5)</f>
        <v>43842</v>
      </c>
      <c r="C7" s="879" t="s">
        <v>276</v>
      </c>
      <c r="D7" s="576">
        <f>IF(MID(sheet1.LiableSec92Eflg,1,1)="Y",1,0)</f>
        <v>0</v>
      </c>
    </row>
    <row r="8" spans="1:8" x14ac:dyDescent="0.2">
      <c r="A8" s="872" t="s">
        <v>1720</v>
      </c>
      <c r="B8" s="878">
        <f>sheet9.Date</f>
        <v>0</v>
      </c>
      <c r="C8" s="879" t="s">
        <v>7398</v>
      </c>
      <c r="D8" s="576">
        <f>IF(COUNTIF(sheet1.AuditedSection,"&lt;&gt;92E")-COUNTIF(sheet1.AuditedSection,"(Select)")-COUNTIF(sheet1.AuditedSection,"")&gt;=1,1,0)</f>
        <v>0</v>
      </c>
    </row>
    <row r="9" spans="1:8" x14ac:dyDescent="0.2">
      <c r="A9" s="872" t="s">
        <v>1721</v>
      </c>
      <c r="B9" s="875" t="str">
        <f>MID(sheet1.ReturnFileSec1,1,2)</f>
        <v>(S</v>
      </c>
      <c r="C9" s="879" t="s">
        <v>7399</v>
      </c>
      <c r="D9" s="576">
        <f>IF(COUNTIF(IF.IsLiableToAudit,"Y")&gt;=1,1,0)</f>
        <v>0</v>
      </c>
      <c r="H9" s="880"/>
    </row>
    <row r="10" spans="1:8" x14ac:dyDescent="0.2">
      <c r="A10" s="872" t="s">
        <v>1722</v>
      </c>
      <c r="B10" s="878">
        <f>TODAY()</f>
        <v>44782</v>
      </c>
      <c r="C10" s="1580" t="s">
        <v>9679</v>
      </c>
      <c r="D10" s="576">
        <v>0</v>
      </c>
    </row>
    <row r="11" spans="1:8" x14ac:dyDescent="0.2">
      <c r="A11" s="872" t="s">
        <v>1723</v>
      </c>
      <c r="B11" s="878">
        <f>IF(systemDate&gt;currentVerDate,systemDate,currentVerDate)</f>
        <v>44782</v>
      </c>
    </row>
    <row r="12" spans="1:8" x14ac:dyDescent="0.2">
      <c r="A12" s="872" t="s">
        <v>1724</v>
      </c>
      <c r="B12" s="878">
        <f>IF(AND(OR(filingType="17",filingType="18"),sheet1.OrigRetFiledDate&lt;&gt;""),sheet1.OrigRetFiledDate,B11)</f>
        <v>44782</v>
      </c>
    </row>
    <row r="13" spans="1:8" x14ac:dyDescent="0.2">
      <c r="A13" s="872" t="s">
        <v>1725</v>
      </c>
      <c r="B13" s="875">
        <f>IF(dueDate=currentDate,1,IF(currentDate&lt;dueDate,0,DATEDIF(dueDate,currentDate,"m")+1))</f>
        <v>31</v>
      </c>
      <c r="D13" s="872" t="s">
        <v>1727</v>
      </c>
      <c r="E13" s="576">
        <f>IF(ISERROR(calculate234Amonths(currentDate)),0,calculate234Amonths(currentDate))</f>
        <v>1</v>
      </c>
    </row>
    <row r="14" spans="1:8" x14ac:dyDescent="0.2">
      <c r="A14" s="1571" t="s">
        <v>11917</v>
      </c>
      <c r="B14" s="878">
        <v>43842</v>
      </c>
    </row>
    <row r="15" spans="1:8" x14ac:dyDescent="0.2">
      <c r="A15" s="881" t="s">
        <v>1726</v>
      </c>
      <c r="B15" s="875">
        <f>intsrt234Aprinc*0.01*DelayedNoOfMonths</f>
        <v>0</v>
      </c>
    </row>
    <row r="16" spans="1:8" x14ac:dyDescent="0.2">
      <c r="A16" s="881" t="s">
        <v>12673</v>
      </c>
      <c r="B16" s="875">
        <f>MAX(Sheet9.NetTaxLiability-Sheet9.AdvanceTax-Sheet9.TDS-Sheet9.TCS,0)</f>
        <v>0</v>
      </c>
      <c r="C16" s="1834"/>
    </row>
    <row r="19" spans="1:8" ht="33" customHeight="1" x14ac:dyDescent="0.2">
      <c r="A19" s="882" t="s">
        <v>1729</v>
      </c>
      <c r="B19" s="871"/>
      <c r="E19" s="882" t="s">
        <v>1730</v>
      </c>
      <c r="F19" s="871"/>
    </row>
    <row r="20" spans="1:8" x14ac:dyDescent="0.2">
      <c r="A20" s="576" t="s">
        <v>1731</v>
      </c>
      <c r="B20" s="576" t="str">
        <f>MID(sheet1.Status,1,1)</f>
        <v>(</v>
      </c>
      <c r="E20" s="576" t="s">
        <v>1743</v>
      </c>
      <c r="F20" s="576">
        <f>Sheet8b.NetAgricultureIncomeOrOtherIncomeForRate</f>
        <v>0</v>
      </c>
    </row>
    <row r="21" spans="1:8" x14ac:dyDescent="0.2">
      <c r="A21" s="576" t="s">
        <v>1732</v>
      </c>
      <c r="B21" s="875" t="str">
        <f>MID(sheet1.ResidentialStatus1,1,3)</f>
        <v>(Se</v>
      </c>
      <c r="E21" s="576" t="s">
        <v>1736</v>
      </c>
      <c r="F21" s="576">
        <f>F20+exemption</f>
        <v>0</v>
      </c>
    </row>
    <row r="22" spans="1:8" x14ac:dyDescent="0.2">
      <c r="A22" s="576" t="s">
        <v>1733</v>
      </c>
      <c r="B22" s="576">
        <f>IF(ISERROR(age),0,age)</f>
        <v>2022</v>
      </c>
      <c r="E22" s="576" t="s">
        <v>1738</v>
      </c>
      <c r="F22" s="576">
        <f>IF(bacValue=1,G25,H22)</f>
        <v>0</v>
      </c>
      <c r="G22" s="883" t="s">
        <v>6536</v>
      </c>
      <c r="H22" s="873">
        <f>IF(AND(F21&gt;=0,F21&lt;=300000),0,IF(AND(F21&gt;=300001,F21&lt;=500000),ROUND((F21-300000)*0.05,0),IF(AND(F21&gt;=500001,F21&lt;=1000000),ROUND(((F21-500000)*0.2)+10000,0),IF(F21&gt;=1000001,ROUND(((F21-1000000)*0.3)+110000,0)))))</f>
        <v>0</v>
      </c>
    </row>
    <row r="23" spans="1:8" x14ac:dyDescent="0.2">
      <c r="A23" s="576" t="s">
        <v>1734</v>
      </c>
      <c r="B23" s="576">
        <f>Sheet8b.AggregateIncome</f>
        <v>0</v>
      </c>
      <c r="E23" s="576" t="s">
        <v>1739</v>
      </c>
      <c r="F23" s="576">
        <f>IF(bacValue=1,G25,H23)</f>
        <v>0</v>
      </c>
      <c r="G23" s="883" t="s">
        <v>6535</v>
      </c>
      <c r="H23" s="873">
        <f>IF(AND(F21&gt;=0,F21&lt;=500000),0,IF(AND(F21&gt;=500001,F21&lt;=1000000),ROUND((F21-500000)*0.2,0),IF(F21&gt;=1000001,ROUND(((F21-1000000)*0.3)+100000,0))))</f>
        <v>0</v>
      </c>
    </row>
    <row r="24" spans="1:8" x14ac:dyDescent="0.2">
      <c r="A24" s="576" t="s">
        <v>1735</v>
      </c>
      <c r="B24" s="576" t="str">
        <f>MID(sheet1.PAN,4,1)</f>
        <v/>
      </c>
      <c r="E24" s="576" t="s">
        <v>1740</v>
      </c>
      <c r="F24" s="576">
        <f>IF(bacValue=1,G25,H24)</f>
        <v>0</v>
      </c>
      <c r="G24" s="883" t="s">
        <v>6534</v>
      </c>
      <c r="H24" s="873">
        <f>IF(AND(F21&gt;=0,F21&lt;=250000),0,IF(AND(F21&gt;=250001,F21&lt;=500000),ROUND((F21-250000)*0.05,0),IF(AND(F21&gt;=500001,F21&lt;=1000000),ROUND(((F21-500000)*0.2)+12500,0),IF(F21&gt;1000001,ROUND(((F21-1000000)*0.3)+112500,0)))))</f>
        <v>0</v>
      </c>
    </row>
    <row r="25" spans="1:8" x14ac:dyDescent="0.2">
      <c r="A25" s="576" t="s">
        <v>1736</v>
      </c>
      <c r="B25" s="576">
        <f>totalIncm</f>
        <v>0</v>
      </c>
      <c r="E25" s="576" t="s">
        <v>1744</v>
      </c>
      <c r="F25" s="576" cm="1">
        <f t="array" ref="F25">IF(bacValue=1,MAX(0,G25-DefAgriRebate),MAX(0,G26-DefAgriRebate))</f>
        <v>0</v>
      </c>
      <c r="G25" s="873">
        <f>IF(AND(F21&gt;=0,F21&lt;=250000),0,IF(AND(F21&gt;=250001,F21&lt;=500000),ROUND((F21-250000)*0.05,0),IF(AND(F21&gt;=500001,F21&lt;=750000),ROUND(((F21-500000)*0.1)+12500,0),IF(AND(F21&gt;=750001,F21&lt;=1000000),ROUND(((F21-750000)*0.15)+37500,0),IF(AND(F21&gt;=1000001,F21&lt;=1250000),ROUND(((F21-1000000)*0.2)+75000,0),IF(AND(F21&gt;=1250001,F21&lt;=1500000),ROUND(((F21-1250000)*0.25)+125000,0),IF(F21&gt;1500001,ROUND(((F21-1500000)*0.3)+187500,0))))))))</f>
        <v>0</v>
      </c>
    </row>
    <row r="26" spans="1:8" x14ac:dyDescent="0.2">
      <c r="A26" s="576" t="s">
        <v>1737</v>
      </c>
      <c r="B26" s="576" t="b">
        <f>IF(AND(Pan="P",taxPayerStatus="I",bacValue=2,age&gt;59,age&lt;80,OR(resStatus="RES",resStatus="NOR")),1,IF(AND(Pan="P",taxPayerStatus="I",bacValue=2,age&gt;=80,OR(resStatus="RES",resStatus="NOR")),2,IF(OR(taxPayerStatus="I",taxPayerStatus="H"),3)))</f>
        <v>0</v>
      </c>
      <c r="F26" s="873">
        <f>IF(totalIncm&gt;0,IF(B26=1,F22,IF(B26=2,F23,IF(B26=3,F24,0))),0)</f>
        <v>0</v>
      </c>
      <c r="G26" s="873">
        <f>IF(totalIncm&gt;0,IF(B26=1,F22,IF(B26=2,F23,IF(B26=3,F24,0))),0)</f>
        <v>0</v>
      </c>
    </row>
    <row r="27" spans="1:8" x14ac:dyDescent="0.2">
      <c r="A27" s="576" t="s">
        <v>1738</v>
      </c>
      <c r="B27" s="576">
        <f>IF(AND(B25&gt;=0,B25&lt;=300000),0,IF(AND(B25&gt;=300001,B25&lt;=500000),ROUND((B25-300000)*0.05,0),IF(AND(B25&gt;=500001,B25&lt;=1000000),ROUND(((B25-500000)*0.2)+10000,0),IF(B25&gt;=1000001,ROUND(((B25-1000000)*0.3)+110000,0)))))</f>
        <v>0</v>
      </c>
      <c r="C27" s="883" t="s">
        <v>6536</v>
      </c>
      <c r="G27" s="873">
        <f>IF(totalIncm&gt;0,IF(B26=1,F22,IF(B26=2,F23,IF(B26=3,F24,0))),0)</f>
        <v>0</v>
      </c>
    </row>
    <row r="28" spans="1:8" x14ac:dyDescent="0.2">
      <c r="A28" s="576" t="s">
        <v>1739</v>
      </c>
      <c r="B28" s="576">
        <f>IF(AND(B25&gt;=0,B25&lt;=500000),0,IF(AND(B25&gt;=500001,B25&lt;=1000000),ROUND((B25-500000)*0.2,0),IF(B25&gt;=1000001,ROUND(((B25-1000000)*0.3)+100000,0))))</f>
        <v>0</v>
      </c>
      <c r="C28" s="883" t="s">
        <v>6535</v>
      </c>
    </row>
    <row r="29" spans="1:8" x14ac:dyDescent="0.2">
      <c r="A29" s="576" t="s">
        <v>1740</v>
      </c>
      <c r="B29" s="576">
        <f>IF(AND(B25&gt;=0,B25&lt;=250000),0,IF(AND(B25&gt;=250001,B25&lt;=500000),ROUND((B25-250000)*0.05,0),IF(AND(B25&gt;=500001,B25&lt;=1000000),ROUND(((B25-500000)*0.2)+12500,0),IF(B25&gt;1000001,ROUND(((B25-1000000)*0.3)+112500,0)))))</f>
        <v>0</v>
      </c>
      <c r="C29" s="883" t="s">
        <v>6534</v>
      </c>
      <c r="D29" s="873">
        <f>IF(AND(B25&gt;=0,B25&lt;=250000),0,IF(AND(B25&gt;=250001,B25&lt;=500000),ROUND((B25-250000)*0.05,0),IF(AND(B25&gt;=500001,B25&lt;=750000),ROUND(((B25-500000)*0.1)+12500,0),IF(AND(B25&gt;=750001,B25&lt;=1000000),ROUND(((B25-750000)*0.15)+37500,0),IF(AND(B25&gt;=1000001,B25&lt;=1250000),ROUND(((B25-1000000)*0.2)+75000,0),IF(AND(B25&gt;=1250001,B25&lt;=1500000),ROUND(((B25-1250000)*0.25)+125000,0),IF(B25&gt;1500001,ROUND(((B25-1500000)*0.3)+187500,0))))))))</f>
        <v>0</v>
      </c>
    </row>
    <row r="30" spans="1:8" x14ac:dyDescent="0.2">
      <c r="A30" s="576" t="s">
        <v>1741</v>
      </c>
      <c r="B30" s="576">
        <f>IF(bacValue=1,D29,D30)</f>
        <v>0</v>
      </c>
      <c r="D30" s="873">
        <f>IF(B26=1,B27,IF(B26=2,B28,IF(B26=3,B29,0)))</f>
        <v>0</v>
      </c>
    </row>
    <row r="33" spans="1:9" x14ac:dyDescent="0.2">
      <c r="A33" s="884" t="s">
        <v>1742</v>
      </c>
      <c r="B33" s="884">
        <f>IF(bacValue=1,C33,C34)</f>
        <v>0</v>
      </c>
      <c r="C33" s="873">
        <f>IF(AND(taxPayerStatus="I",age&gt;59,age&lt;80,OR(resStatus="RES",resStatus="NOR")),250000,IF(AND(taxPayerStatus="I",age&gt;=80,OR(resStatus="RES",resStatus="NOR")),250000,IF(OR(taxPayerStatus="I",taxPayerStatus="H"),250000,0)))</f>
        <v>0</v>
      </c>
    </row>
    <row r="34" spans="1:9" x14ac:dyDescent="0.2">
      <c r="C34" s="873">
        <f>IF(AND(taxPayerStatus="I",age&gt;59,age&lt;80,OR(resStatus="RES",resStatus="NOR")),300000,IF(AND(taxPayerStatus="I",age&gt;=80,OR(resStatus="RES",resStatus="NOR")),500000,IF(OR(taxPayerStatus="I",taxPayerStatus="H"),250000,0)))</f>
        <v>0</v>
      </c>
    </row>
    <row r="36" spans="1:9" s="887" customFormat="1" hidden="1" x14ac:dyDescent="0.2">
      <c r="A36" s="885" t="s">
        <v>7673</v>
      </c>
      <c r="B36" s="886"/>
      <c r="C36" s="886"/>
      <c r="D36" s="886"/>
      <c r="E36" s="886"/>
      <c r="F36" s="886"/>
      <c r="G36" s="886"/>
      <c r="H36" s="886"/>
      <c r="I36" s="886"/>
    </row>
    <row r="37" spans="1:9" hidden="1" x14ac:dyDescent="0.2">
      <c r="A37" s="886" t="s">
        <v>1664</v>
      </c>
      <c r="B37" s="886">
        <f>sheet9.GrossTaxPayable</f>
        <v>0</v>
      </c>
      <c r="C37" s="886"/>
      <c r="D37" s="886"/>
      <c r="E37" s="886"/>
      <c r="F37" s="886"/>
      <c r="G37" s="886"/>
      <c r="H37" s="886"/>
      <c r="I37" s="886"/>
    </row>
    <row r="38" spans="1:9" hidden="1" x14ac:dyDescent="0.2">
      <c r="A38" s="886" t="s">
        <v>1666</v>
      </c>
      <c r="B38" s="886">
        <f>Sheet8b.TotalIncome</f>
        <v>0</v>
      </c>
      <c r="C38" s="886"/>
      <c r="D38" s="888" t="s">
        <v>1763</v>
      </c>
      <c r="E38" s="886"/>
      <c r="F38" s="886"/>
      <c r="G38" s="885" t="s">
        <v>1764</v>
      </c>
      <c r="H38" s="886"/>
      <c r="I38" s="886"/>
    </row>
    <row r="39" spans="1:9" hidden="1" x14ac:dyDescent="0.2">
      <c r="A39" s="886" t="s">
        <v>1745</v>
      </c>
      <c r="B39" s="886">
        <f>Sheet8b.IncChargeableTaxSplRates</f>
        <v>0</v>
      </c>
      <c r="C39" s="886"/>
      <c r="D39" s="889" t="s">
        <v>1765</v>
      </c>
      <c r="E39" s="886" t="b">
        <f>IF(AND(taxPayerStatus="I",age&gt;59,age&lt;80,,OR(resStatus="RES",resStatus="NOR")),1,IF(AND(taxPayerStatus="I",age&gt;=80,,OR(resStatus="RES",resStatus="NOR")),2,IF(OR(taxPayerStatus="I",taxPayerStatus="H"),3)))</f>
        <v>0</v>
      </c>
      <c r="F39" s="886"/>
      <c r="G39" s="886" t="s">
        <v>1782</v>
      </c>
      <c r="H39" s="886" t="e">
        <f>IF(AND(B57&gt;=0,B57&lt;=250000),0,IF(AND(B57&gt;=250001,B57&lt;=500000),ROUND((B57-250000)*0.1,0),IF(AND(B57&gt;=500001,B57&lt;=1000000),ROUND(((B57-500000)*0.2)+25000,0),IF(B57&gt;=1000001,ROUND(((B57-1000000)*0.3)+125000,0)))))</f>
        <v>#REF!</v>
      </c>
      <c r="I39" s="886"/>
    </row>
    <row r="40" spans="1:9" ht="25.5" hidden="1" x14ac:dyDescent="0.2">
      <c r="A40" s="889" t="s">
        <v>1746</v>
      </c>
      <c r="B40" s="886">
        <f>B38-B39</f>
        <v>0</v>
      </c>
      <c r="C40" s="886"/>
      <c r="D40" s="889" t="s">
        <v>1766</v>
      </c>
      <c r="E40" s="890">
        <f>IF(AND(B40&gt;=0,B40&lt;=250000),0,IF(AND(B40&gt;=250001,B40&lt;=500000),ROUND((B40-250000)*0.1,0),IF(AND(B40&gt;=500001,B40&lt;=1000000),ROUND(((B40-500000)*0.2)+25000,0),IF(B40&gt;=1000001,ROUND(((B40-1000000)*0.3)+125000,0)))))</f>
        <v>0</v>
      </c>
      <c r="F40" s="886"/>
      <c r="G40" s="886" t="s">
        <v>1783</v>
      </c>
      <c r="H40" s="886" t="e">
        <f>IF(AND(B57&gt;=0,B57&lt;=500000),0,IF(AND(B57&gt;=500001,B57&lt;=1000000),ROUND((B57-500000)*0.2,0),IF(B57&gt;=1000001,ROUND(((B57-1000000)*0.3)+100000,0))))</f>
        <v>#REF!</v>
      </c>
      <c r="I40" s="886"/>
    </row>
    <row r="41" spans="1:9" hidden="1" x14ac:dyDescent="0.2">
      <c r="A41" s="886" t="s">
        <v>1747</v>
      </c>
      <c r="B41" s="886">
        <f>sheet9.TaxAtSpecialRates</f>
        <v>0</v>
      </c>
      <c r="C41" s="886"/>
      <c r="D41" s="889" t="s">
        <v>1767</v>
      </c>
      <c r="E41" s="890">
        <f>IF(AND(B40&gt;=0,B40&lt;=500000),0,IF(AND(B40&gt;=500001,B40&lt;=1000000),ROUND((B40-500000)*0.2,0),IF(B40&gt;=1000001,ROUND(((B40-1000000)*0.3)+100000,0))))</f>
        <v>0</v>
      </c>
      <c r="F41" s="886"/>
      <c r="G41" s="886" t="s">
        <v>1784</v>
      </c>
      <c r="H41" s="886" t="e">
        <f>IF(AND(B57&gt;=0,B57&lt;=200000),0,IF(AND(B57&gt;=200001,B57&lt;=500000),ROUND((B57-200000)*0.1,0),IF(AND(B57&gt;=500001,B57&lt;=1000000),ROUND(((B57-500000)*0.2)+30000,0),IF(B57&gt;1000001,ROUND(((B57-1000000)*0.3)+130000,0)))))</f>
        <v>#REF!</v>
      </c>
      <c r="I41" s="886"/>
    </row>
    <row r="42" spans="1:9" hidden="1" x14ac:dyDescent="0.2">
      <c r="A42" s="886" t="s">
        <v>1669</v>
      </c>
      <c r="B42" s="886" t="e">
        <f>DTAA_Inc</f>
        <v>#REF!</v>
      </c>
      <c r="C42" s="886"/>
      <c r="D42" s="889" t="s">
        <v>1768</v>
      </c>
      <c r="E42" s="890">
        <f>IF(AND(B40&gt;=0,B40&lt;=200000),0,IF(AND(B40&gt;=200001,B40&lt;=500000),ROUND((B40-200000)*0.1,0),IF(AND(B40&gt;=500001,B40&lt;=1000000),ROUND(((B40-500000)*0.2)+30000,0),IF(B40&gt;1000001,ROUND(((B40-1000000)*0.3)+130000,0)))))</f>
        <v>0</v>
      </c>
      <c r="F42" s="886"/>
      <c r="G42" s="886" t="s">
        <v>1785</v>
      </c>
      <c r="H42" s="886">
        <f>IF(E39=1,H39,IF(E39=2,H40,IF(E39=3,H41,0)))</f>
        <v>0</v>
      </c>
      <c r="I42" s="886"/>
    </row>
    <row r="43" spans="1:9" hidden="1" x14ac:dyDescent="0.2">
      <c r="A43" s="886" t="s">
        <v>1670</v>
      </c>
      <c r="B43" s="886" t="e">
        <f>DTAA_TAX</f>
        <v>#REF!</v>
      </c>
      <c r="C43" s="886"/>
      <c r="D43" s="889" t="s">
        <v>1769</v>
      </c>
      <c r="E43" s="886">
        <f>IF(E39=1,E40,IF(E39=2,E41,IF(E39=3,E42,0)))</f>
        <v>0</v>
      </c>
      <c r="F43" s="886"/>
      <c r="G43" s="886"/>
      <c r="H43" s="886"/>
      <c r="I43" s="886"/>
    </row>
    <row r="44" spans="1:9" hidden="1" x14ac:dyDescent="0.2">
      <c r="A44" s="886" t="s">
        <v>1619</v>
      </c>
      <c r="B44" s="886" t="e">
        <f>B38+B42</f>
        <v>#REF!</v>
      </c>
      <c r="C44" s="886"/>
      <c r="D44" s="886"/>
      <c r="E44" s="886"/>
      <c r="F44" s="886"/>
      <c r="G44" s="886"/>
      <c r="H44" s="886"/>
      <c r="I44" s="886"/>
    </row>
    <row r="45" spans="1:9" hidden="1" x14ac:dyDescent="0.2">
      <c r="A45" s="886" t="s">
        <v>1748</v>
      </c>
      <c r="B45" s="886">
        <f>E43+B41</f>
        <v>0</v>
      </c>
      <c r="C45" s="886"/>
      <c r="D45" s="885" t="s">
        <v>1770</v>
      </c>
      <c r="E45" s="886"/>
      <c r="F45" s="886"/>
      <c r="G45" s="886"/>
      <c r="H45" s="886"/>
      <c r="I45" s="886"/>
    </row>
    <row r="46" spans="1:9" hidden="1" x14ac:dyDescent="0.2">
      <c r="A46" s="886" t="s">
        <v>1749</v>
      </c>
      <c r="B46" s="886">
        <f>exemption-B52-B53-B54</f>
        <v>0</v>
      </c>
      <c r="C46" s="886"/>
      <c r="D46" s="886" t="s">
        <v>1771</v>
      </c>
      <c r="E46" s="886">
        <f>IF(AND(B40&gt;=0,B40&lt;=250000),11,IF(AND(B40&gt;=250001,B40&lt;=500000),12,IF(AND(B40&gt;=500001,B40&lt;=1000000),13,IF(B40&gt;=1000001,14))))</f>
        <v>11</v>
      </c>
      <c r="F46" s="886"/>
      <c r="G46" s="886"/>
      <c r="H46" s="886"/>
      <c r="I46" s="886"/>
    </row>
    <row r="47" spans="1:9" hidden="1" x14ac:dyDescent="0.2">
      <c r="A47" s="886" t="s">
        <v>1750</v>
      </c>
      <c r="B47" s="886">
        <f>BFLAtemp10SecPro+BFLAtemp10Sec115ACA1+BFLAtemp10Sec115Eb+BFLAtemp10Sec1121c2+BFLAtemp10Sec115AC1+BFLAtemp10Sec115AD3</f>
        <v>0</v>
      </c>
      <c r="C47" s="886"/>
      <c r="D47" s="886" t="s">
        <v>1772</v>
      </c>
      <c r="E47" s="886">
        <f>IF(AND(B40&gt;=0,B40&lt;=500000),21,IF(AND(B40&gt;=500001,B40&lt;=1000000),22,IF(B40&gt;=1000001,23)))</f>
        <v>21</v>
      </c>
      <c r="F47" s="886"/>
      <c r="G47" s="886"/>
      <c r="H47" s="886"/>
      <c r="I47" s="886"/>
    </row>
    <row r="48" spans="1:9" hidden="1" x14ac:dyDescent="0.2">
      <c r="A48" s="886" t="s">
        <v>1751</v>
      </c>
      <c r="B48" s="886">
        <f>BFLAtemp15Sec111a+BFLAtemp15Sec115ad1bii</f>
        <v>0</v>
      </c>
      <c r="C48" s="886"/>
      <c r="D48" s="886" t="s">
        <v>1773</v>
      </c>
      <c r="E48" s="886">
        <f>IF(AND(B40&gt;=0,B40&lt;=200000),31,IF(AND(B40&gt;=200001,B40&lt;=500000),32,IF(AND(B40&gt;=500001,B40&lt;=1000000),33,IF(B40&gt;1000001,34))))</f>
        <v>31</v>
      </c>
      <c r="F48" s="886"/>
      <c r="G48" s="886"/>
      <c r="H48" s="886"/>
      <c r="I48" s="886"/>
    </row>
    <row r="49" spans="1:9" hidden="1" x14ac:dyDescent="0.2">
      <c r="A49" s="886" t="s">
        <v>1752</v>
      </c>
      <c r="B49" s="886">
        <f>BFLAtemp20Sec112+BFLAtemp20Sec11EA</f>
        <v>0</v>
      </c>
      <c r="C49" s="886"/>
      <c r="D49" s="886" t="s">
        <v>1774</v>
      </c>
      <c r="E49" s="886">
        <f>IF(E39=1,IF(E46=11,0,IF(E46=12,B40-250000,IF(E46=13,250000,IF(E46=14,250000,0)))),IF(E39=2,IF(E47=21,0,IF(E47=22,0,IF(E47=23,0,0))),IF(E39=3,IF(E48=31,0,IF(E48=32,B40-200000,IF(E48=33,300000,IF(E48=34,300000,0)))),0)))</f>
        <v>0</v>
      </c>
      <c r="F49" s="886"/>
      <c r="G49" s="886"/>
      <c r="H49" s="886"/>
      <c r="I49" s="886"/>
    </row>
    <row r="50" spans="1:9" hidden="1" x14ac:dyDescent="0.2">
      <c r="A50" s="886" t="s">
        <v>1753</v>
      </c>
      <c r="B50" s="886">
        <f>stcg.IncOfCurYrAfterSetOffBFLosses3a</f>
        <v>0</v>
      </c>
      <c r="C50" s="886"/>
      <c r="D50" s="886" t="s">
        <v>1775</v>
      </c>
      <c r="E50" s="886">
        <f>IF(E39=1,IF(E46=11,0,IF(E46=12,0,IF(E46=13,B40-500000,IF(E46=14,500000,0)))),IF(E39=2,IF(E47=21,0,IF(E47=22,B40-500000,IF(E47=23,500000,0))),IF(E39=3,IF(E48=31,0,IF(E48=32,0,IF(E48=33,B40-500000,IF(E48=34,500000,0)))),0)))</f>
        <v>0</v>
      </c>
      <c r="F50" s="886"/>
      <c r="G50" s="886"/>
      <c r="H50" s="886"/>
      <c r="I50" s="886"/>
    </row>
    <row r="51" spans="1:9" hidden="1" x14ac:dyDescent="0.2">
      <c r="A51" s="886" t="s">
        <v>1754</v>
      </c>
      <c r="B51" s="886" t="e">
        <f>MAX((10000000-B42)-E49-MIN(B46,B40),0)</f>
        <v>#REF!</v>
      </c>
      <c r="C51" s="886"/>
      <c r="D51" s="886" t="s">
        <v>1776</v>
      </c>
      <c r="E51" s="886">
        <f>IF(E39=1,IF(E46=11,0,IF(E46=12,0,IF(E46=13,0,IF(E46=14,B40-1000000,0)))),IF(E39=2,IF(E47=21,0,IF(E47=220,IF(E47=23,B40-1000000,0))),IF(E39=3,IF(E48=31,0,IF(E48=32,0,IF(E48=33,0,IF(E48=34,B40-1000000,0)))),0)))</f>
        <v>0</v>
      </c>
      <c r="F51" s="886"/>
      <c r="G51" s="886"/>
      <c r="H51" s="886"/>
      <c r="I51" s="886"/>
    </row>
    <row r="52" spans="1:9" hidden="1" x14ac:dyDescent="0.2">
      <c r="A52" s="886" t="s">
        <v>1755</v>
      </c>
      <c r="B52" s="886">
        <f>(splRateInc22-taxableInc22)</f>
        <v>0</v>
      </c>
      <c r="C52" s="886"/>
      <c r="D52" s="886"/>
      <c r="E52" s="886"/>
      <c r="F52" s="886"/>
      <c r="G52" s="886"/>
      <c r="H52" s="886"/>
      <c r="I52" s="886"/>
    </row>
    <row r="53" spans="1:9" hidden="1" x14ac:dyDescent="0.2">
      <c r="A53" s="886" t="s">
        <v>1756</v>
      </c>
      <c r="B53" s="886">
        <f>(splRateInc1A-taxableInc1A)</f>
        <v>0</v>
      </c>
      <c r="C53" s="886"/>
      <c r="D53" s="888" t="s">
        <v>1777</v>
      </c>
      <c r="E53" s="886"/>
      <c r="F53" s="886"/>
      <c r="G53" s="886"/>
      <c r="H53" s="886"/>
      <c r="I53" s="886"/>
    </row>
    <row r="54" spans="1:9" hidden="1" x14ac:dyDescent="0.2">
      <c r="A54" s="886" t="s">
        <v>1757</v>
      </c>
      <c r="B54" s="886">
        <f>(splRateInc21-taxableInc21)</f>
        <v>0</v>
      </c>
      <c r="C54" s="886"/>
      <c r="D54" s="889" t="s">
        <v>1778</v>
      </c>
      <c r="E54" s="886" t="e">
        <f>IF(B47&lt;B51,TRUE,FALSE)</f>
        <v>#REF!</v>
      </c>
      <c r="F54" s="886"/>
      <c r="G54" s="886"/>
      <c r="H54" s="886"/>
      <c r="I54" s="886"/>
    </row>
    <row r="55" spans="1:9" hidden="1" x14ac:dyDescent="0.2">
      <c r="A55" s="886" t="s">
        <v>1758</v>
      </c>
      <c r="B55" s="886" t="e">
        <f>MAX(E62-E50,0)</f>
        <v>#REF!</v>
      </c>
      <c r="C55" s="886"/>
      <c r="D55" s="889" t="s">
        <v>1779</v>
      </c>
      <c r="E55" s="886" t="e">
        <f>IF(B48&lt;D62,TRUE,FALSE)</f>
        <v>#REF!</v>
      </c>
      <c r="F55" s="886"/>
      <c r="G55" s="886"/>
      <c r="H55" s="886"/>
      <c r="I55" s="886"/>
    </row>
    <row r="56" spans="1:9" hidden="1" x14ac:dyDescent="0.2">
      <c r="A56" s="886" t="s">
        <v>1759</v>
      </c>
      <c r="B56" s="890" t="e">
        <f>MAX(F62-E51,0)</f>
        <v>#REF!</v>
      </c>
      <c r="C56" s="886"/>
      <c r="D56" s="889" t="s">
        <v>1780</v>
      </c>
      <c r="E56" s="886" t="e">
        <f>IF(B49&lt;B55,TRUE,FALSE)</f>
        <v>#REF!</v>
      </c>
      <c r="F56" s="886"/>
      <c r="G56" s="886"/>
      <c r="H56" s="886"/>
      <c r="I56" s="886"/>
    </row>
    <row r="57" spans="1:9" hidden="1" x14ac:dyDescent="0.2">
      <c r="A57" s="886" t="s">
        <v>1760</v>
      </c>
      <c r="B57" s="890" t="e">
        <f>10000000-G61-B42</f>
        <v>#REF!</v>
      </c>
      <c r="C57" s="886"/>
      <c r="D57" s="889" t="s">
        <v>1781</v>
      </c>
      <c r="E57" s="886" t="e">
        <f>IF(B50&lt;B56,TRUE,FALSE)</f>
        <v>#REF!</v>
      </c>
      <c r="F57" s="886"/>
      <c r="G57" s="886"/>
      <c r="H57" s="886"/>
      <c r="I57" s="886"/>
    </row>
    <row r="58" spans="1:9" hidden="1" x14ac:dyDescent="0.2">
      <c r="A58" s="886" t="s">
        <v>1621</v>
      </c>
      <c r="B58" s="890" t="e">
        <f>H42+G60+B43</f>
        <v>#REF!</v>
      </c>
      <c r="C58" s="886"/>
      <c r="D58" s="886"/>
      <c r="E58" s="886"/>
      <c r="F58" s="886"/>
      <c r="G58" s="886"/>
      <c r="H58" s="886"/>
      <c r="I58" s="886"/>
    </row>
    <row r="59" spans="1:9" hidden="1" x14ac:dyDescent="0.2">
      <c r="A59" s="886" t="s">
        <v>1624</v>
      </c>
      <c r="B59" s="890" t="e">
        <f>IF(FLOOR(B44,10)&gt;10000000,B37*0.1,0)</f>
        <v>#REF!</v>
      </c>
      <c r="C59" s="891"/>
      <c r="D59" s="891" t="s">
        <v>1786</v>
      </c>
      <c r="E59" s="891" t="s">
        <v>1751</v>
      </c>
      <c r="F59" s="891" t="s">
        <v>1752</v>
      </c>
      <c r="G59" s="891" t="s">
        <v>1753</v>
      </c>
      <c r="H59" s="886"/>
      <c r="I59" s="886"/>
    </row>
    <row r="60" spans="1:9" hidden="1" x14ac:dyDescent="0.2">
      <c r="A60" s="886" t="s">
        <v>1626</v>
      </c>
      <c r="B60" s="890" t="e">
        <f>MAX(FLOOR(B44,10)-10000000,0)</f>
        <v>#REF!</v>
      </c>
      <c r="C60" s="892" t="s">
        <v>1787</v>
      </c>
      <c r="D60" s="893" t="e">
        <f>IF(E54,(B47-B52)*0.1,(B51-B52)*0.1)</f>
        <v>#REF!</v>
      </c>
      <c r="E60" s="892" t="e">
        <f>IF(E55,D60+(B48-B53)*0.15,D60+(D62-B53)*0.15)</f>
        <v>#REF!</v>
      </c>
      <c r="F60" s="892" t="e">
        <f>IF(E56,E60+(B49-B54)*0.2,E60+(E62-B54)*0.2)</f>
        <v>#REF!</v>
      </c>
      <c r="G60" s="892" t="e">
        <f>IF(E57,F60+(B50*0.3),F60+(F62*0.3))</f>
        <v>#REF!</v>
      </c>
      <c r="H60" s="886"/>
      <c r="I60" s="886"/>
    </row>
    <row r="61" spans="1:9" hidden="1" x14ac:dyDescent="0.2">
      <c r="A61" s="886" t="s">
        <v>1761</v>
      </c>
      <c r="B61" s="890" t="e">
        <f>MAX(B45+B59-B58-B60,0)</f>
        <v>#REF!</v>
      </c>
      <c r="C61" s="892" t="s">
        <v>1788</v>
      </c>
      <c r="D61" s="893" t="e">
        <f>IF(E54,B47,B51)</f>
        <v>#REF!</v>
      </c>
      <c r="E61" s="892" t="e">
        <f>IF(E55,D61+B48,D61+D62)</f>
        <v>#REF!</v>
      </c>
      <c r="F61" s="892" t="e">
        <f>IF(E56,E61+B49,E62+E61)</f>
        <v>#REF!</v>
      </c>
      <c r="G61" s="892" t="e">
        <f>IF(E57,B50+F61,F61+F62)</f>
        <v>#REF!</v>
      </c>
      <c r="H61" s="886"/>
      <c r="I61" s="886"/>
    </row>
    <row r="62" spans="1:9" hidden="1" x14ac:dyDescent="0.2">
      <c r="A62" s="886" t="s">
        <v>1762</v>
      </c>
      <c r="B62" s="890">
        <v>0</v>
      </c>
      <c r="C62" s="892" t="s">
        <v>1754</v>
      </c>
      <c r="D62" s="893" t="e">
        <f>IF(E54,B51-B47,0)</f>
        <v>#REF!</v>
      </c>
      <c r="E62" s="892" t="e">
        <f>IF(E55,D62-B48,0)</f>
        <v>#REF!</v>
      </c>
      <c r="F62" s="892" t="e">
        <f>IF(E56,E62-B49,0)</f>
        <v>#REF!</v>
      </c>
      <c r="G62" s="892" t="e">
        <f>IF(E57,F62-B50,0)</f>
        <v>#REF!</v>
      </c>
      <c r="H62" s="886"/>
      <c r="I62" s="886"/>
    </row>
    <row r="64" spans="1:9" s="871" customFormat="1" x14ac:dyDescent="0.2">
      <c r="A64" s="894" t="s">
        <v>1789</v>
      </c>
    </row>
    <row r="65" spans="1:51" ht="30.75" customHeight="1" x14ac:dyDescent="0.25">
      <c r="A65" s="872" t="s">
        <v>1790</v>
      </c>
      <c r="B65" s="576">
        <f>section234A</f>
        <v>0</v>
      </c>
      <c r="D65" s="872" t="s">
        <v>6515</v>
      </c>
      <c r="E65" s="576">
        <f>scvia.TotPartCchapterVIA_Calc</f>
        <v>0</v>
      </c>
      <c r="AB65" s="3384" t="s">
        <v>6521</v>
      </c>
      <c r="AC65" s="3384"/>
      <c r="AD65" s="3384"/>
      <c r="AE65" s="3384"/>
      <c r="AF65" s="895"/>
      <c r="AG65" s="895"/>
      <c r="AH65" s="895"/>
      <c r="AI65" s="895"/>
      <c r="AJ65" s="896"/>
      <c r="AK65" s="896"/>
      <c r="AL65" s="896"/>
      <c r="AM65" s="896"/>
      <c r="AN65" s="896"/>
      <c r="AO65" s="896"/>
      <c r="AP65" s="896"/>
      <c r="AQ65" s="896"/>
      <c r="AR65" s="896"/>
      <c r="AS65" s="896"/>
      <c r="AT65" s="896"/>
      <c r="AU65" s="896"/>
      <c r="AV65" s="896"/>
      <c r="AW65" s="896"/>
      <c r="AX65" s="896"/>
      <c r="AY65" s="897"/>
    </row>
    <row r="66" spans="1:51" x14ac:dyDescent="0.2">
      <c r="A66" s="872" t="s">
        <v>1791</v>
      </c>
      <c r="B66" s="576">
        <f>interest234C</f>
        <v>0</v>
      </c>
      <c r="D66" s="872" t="s">
        <v>6516</v>
      </c>
      <c r="E66" s="576">
        <f>SEZA10.TotalDedUs10Sub</f>
        <v>0</v>
      </c>
      <c r="AB66" s="898"/>
      <c r="AC66" s="899"/>
      <c r="AD66" s="900" t="s">
        <v>1731</v>
      </c>
      <c r="AE66" s="901" t="str">
        <f>MID(sheet1.Status,1,1)</f>
        <v>(</v>
      </c>
      <c r="AF66" s="899"/>
      <c r="AG66" s="899"/>
      <c r="AH66" s="902" t="s">
        <v>1743</v>
      </c>
      <c r="AI66" s="901">
        <f>Sheet8b.NetAgricultureIncomeOrOtherIncomeForRate</f>
        <v>0</v>
      </c>
      <c r="AJ66" s="899"/>
      <c r="AK66" s="899"/>
      <c r="AL66" s="899"/>
      <c r="AM66" s="899"/>
      <c r="AN66" s="899"/>
      <c r="AO66" s="899"/>
      <c r="AP66" s="899"/>
      <c r="AQ66" s="899"/>
      <c r="AR66" s="899"/>
      <c r="AS66" s="899"/>
      <c r="AT66" s="899"/>
      <c r="AU66" s="899"/>
      <c r="AV66" s="899"/>
      <c r="AW66" s="899"/>
      <c r="AX66" s="899"/>
      <c r="AY66" s="903"/>
    </row>
    <row r="67" spans="1:51" x14ac:dyDescent="0.2">
      <c r="A67" s="872" t="s">
        <v>1792</v>
      </c>
      <c r="B67" s="576">
        <f>Sheet9.AdvanceTax</f>
        <v>0</v>
      </c>
      <c r="D67" s="872" t="s">
        <v>6517</v>
      </c>
      <c r="E67" s="576">
        <f>AA10.TotalDedUs10Sub</f>
        <v>0</v>
      </c>
      <c r="AB67" s="898"/>
      <c r="AC67" s="899"/>
      <c r="AD67" s="904" t="s">
        <v>1732</v>
      </c>
      <c r="AE67" s="875" t="str">
        <f>MID(sheet1.ResidentialStatus1,1,3)</f>
        <v>(Se</v>
      </c>
      <c r="AF67" s="899"/>
      <c r="AG67" s="899"/>
      <c r="AH67" s="905" t="s">
        <v>1736</v>
      </c>
      <c r="AI67" s="576">
        <f>AI66+AE78</f>
        <v>0</v>
      </c>
      <c r="AJ67" s="899"/>
      <c r="AK67" s="899"/>
      <c r="AL67" s="899"/>
      <c r="AM67" s="906" t="s">
        <v>1899</v>
      </c>
      <c r="AN67" s="907"/>
      <c r="AO67" s="907"/>
      <c r="AP67" s="907"/>
      <c r="AQ67" s="907"/>
      <c r="AR67" s="907"/>
      <c r="AS67" s="907"/>
      <c r="AT67" s="907"/>
      <c r="AU67" s="907"/>
      <c r="AV67" s="907"/>
      <c r="AW67" s="907"/>
      <c r="AX67" s="908"/>
      <c r="AY67" s="903"/>
    </row>
    <row r="68" spans="1:51" x14ac:dyDescent="0.2">
      <c r="A68" s="872" t="s">
        <v>1793</v>
      </c>
      <c r="B68" s="576">
        <f>Sheet9.TDS</f>
        <v>0</v>
      </c>
      <c r="D68" s="872" t="s">
        <v>6519</v>
      </c>
      <c r="E68" s="875" t="b">
        <f>IF(B75&gt;0,IF(OR(E65&gt;0,E66&gt;0,E67&gt;0),FALSE,TRUE),FALSE)</f>
        <v>0</v>
      </c>
      <c r="AB68" s="898"/>
      <c r="AC68" s="899"/>
      <c r="AD68" s="904" t="s">
        <v>1733</v>
      </c>
      <c r="AE68" s="576">
        <f>age</f>
        <v>2022</v>
      </c>
      <c r="AF68" s="899"/>
      <c r="AG68" s="899"/>
      <c r="AH68" s="905" t="s">
        <v>1738</v>
      </c>
      <c r="AI68" s="576">
        <f>IF(AND(AI67&gt;=0,AI67&lt;=300000),0,IF(AND(AI67&gt;=300001,AI67&lt;=500000),ROUND((AI67-300000)*0.05,0),IF(AND(AI67&gt;=500001,AI67&lt;=1000000),ROUND(((AI67-500000)*0.2)+10000,0),IF(AI67&gt;=1000001,ROUND(((AI67-1000000)*0.3)+110000,0)))))</f>
        <v>0</v>
      </c>
      <c r="AJ68" s="899"/>
      <c r="AK68" s="899"/>
      <c r="AL68" s="899"/>
      <c r="AM68" s="898"/>
      <c r="AN68" s="899"/>
      <c r="AO68" s="899"/>
      <c r="AX68" s="903"/>
      <c r="AY68" s="903"/>
    </row>
    <row r="69" spans="1:51" ht="17.25" customHeight="1" x14ac:dyDescent="0.2">
      <c r="A69" s="872" t="s">
        <v>1794</v>
      </c>
      <c r="B69" s="576">
        <f>Sheet9.TCS</f>
        <v>0</v>
      </c>
      <c r="D69" s="872" t="s">
        <v>8161</v>
      </c>
      <c r="E69" s="576">
        <f>Sheet9.IntrstPayUs234F</f>
        <v>0</v>
      </c>
      <c r="AB69" s="898"/>
      <c r="AC69" s="899"/>
      <c r="AD69" s="904" t="s">
        <v>1734</v>
      </c>
      <c r="AE69" s="576">
        <f>Sheet8b.TotalIncome</f>
        <v>0</v>
      </c>
      <c r="AF69" s="899"/>
      <c r="AG69" s="899"/>
      <c r="AH69" s="905" t="s">
        <v>1739</v>
      </c>
      <c r="AI69" s="576">
        <f>IF(AND(AI67&gt;=0,AI67&lt;=500000),0,IF(AND(AI67&gt;=500001,AI67&lt;=1000000),ROUND((AI67-500000)*0.2,0),IF(AI67&gt;=1000001,ROUND(((AI67-1000000)*0.3)+100000,0))))</f>
        <v>0</v>
      </c>
      <c r="AJ69" s="899"/>
      <c r="AK69" s="899"/>
      <c r="AL69" s="899"/>
      <c r="AM69" s="898"/>
      <c r="AN69" s="899"/>
      <c r="AO69" s="899"/>
      <c r="AX69" s="903"/>
      <c r="AY69" s="903"/>
    </row>
    <row r="70" spans="1:51" ht="32.25" customHeight="1" x14ac:dyDescent="0.2">
      <c r="A70" s="872" t="s">
        <v>1795</v>
      </c>
      <c r="B70" s="576">
        <f xml:space="preserve"> Sheet9.NetTaxLiability</f>
        <v>0</v>
      </c>
      <c r="C70" s="873" t="s">
        <v>7683</v>
      </c>
      <c r="AB70" s="898"/>
      <c r="AC70" s="899"/>
      <c r="AD70" s="904" t="s">
        <v>1735</v>
      </c>
      <c r="AE70" s="576" t="str">
        <f>MID(sheet1.PAN,4,1)</f>
        <v/>
      </c>
      <c r="AF70" s="899"/>
      <c r="AG70" s="899"/>
      <c r="AH70" s="905" t="s">
        <v>1740</v>
      </c>
      <c r="AI70" s="576">
        <f>IF(AND(AI67&gt;=0,AI67&lt;=250000),0,IF(AND(AI67&gt;=250001,AI67&lt;=500000),ROUND((AI67-250000)*0.05,0),IF(AND(AI67&gt;=500001,AI67&lt;=1000000),ROUND(((AI67-500000)*0.2)+12500,0),IF(AI67&gt;1000001,ROUND(((AI67-1000000)*0.3)+112500,0)))))</f>
        <v>0</v>
      </c>
      <c r="AJ70" s="899"/>
      <c r="AK70" s="899"/>
      <c r="AL70" s="899"/>
      <c r="AM70" s="898" t="s">
        <v>1664</v>
      </c>
      <c r="AN70" s="909">
        <f>AG89</f>
        <v>0</v>
      </c>
      <c r="AO70" s="899"/>
      <c r="AX70" s="903"/>
      <c r="AY70" s="903"/>
    </row>
    <row r="71" spans="1:51" x14ac:dyDescent="0.2">
      <c r="A71" s="872" t="s">
        <v>1796</v>
      </c>
      <c r="B71" s="576">
        <f>FLOOR(IF(AND((B70-B68-B69)&gt;=10000,B67&lt;(0.9*(B70-B68-B69))),MAX(0,B70-B67-B68-B69),0),100)</f>
        <v>0</v>
      </c>
      <c r="AB71" s="898"/>
      <c r="AC71" s="899"/>
      <c r="AD71" s="904" t="s">
        <v>1736</v>
      </c>
      <c r="AE71" s="576">
        <f>MAX(Sheet8b.AggregateIncome-(sheet11.Section44AD+sheet11.Section44ADA),0)</f>
        <v>0</v>
      </c>
      <c r="AF71" s="899"/>
      <c r="AG71" s="899"/>
      <c r="AH71" s="905" t="s">
        <v>1744</v>
      </c>
      <c r="AI71" s="576">
        <f>IF(AE69&gt;0,IF(AE72=1,AI68,IF(AE72=2,AI69,IF(AE72=3,AI70,0))),0)</f>
        <v>0</v>
      </c>
      <c r="AJ71" s="899"/>
      <c r="AK71" s="899"/>
      <c r="AL71" s="899"/>
      <c r="AM71" s="898" t="s">
        <v>1666</v>
      </c>
      <c r="AN71" s="909">
        <f>Sheet8b.TotalIncome</f>
        <v>0</v>
      </c>
      <c r="AO71" s="899"/>
      <c r="AX71" s="903"/>
      <c r="AY71" s="903"/>
    </row>
    <row r="72" spans="1:51" x14ac:dyDescent="0.2">
      <c r="A72" s="872" t="s">
        <v>1797</v>
      </c>
      <c r="B72" s="910">
        <f>B11</f>
        <v>44782</v>
      </c>
      <c r="AB72" s="898"/>
      <c r="AC72" s="899"/>
      <c r="AD72" s="904" t="s">
        <v>1737</v>
      </c>
      <c r="AE72" s="576" t="b">
        <f>IF(AND(AE70="P",AE66="I",age&gt;59,age&lt;80,OR(AE67="RES",AE67="NOR")),1,IF(AND(AE70="P",AE66="I",age&gt;=80,OR(AE67="RES",AE67="NOR")),2,IF(OR(AE66="I",AE66="H"),3)))</f>
        <v>0</v>
      </c>
      <c r="AF72" s="899"/>
      <c r="AG72" s="899"/>
      <c r="AH72" s="899"/>
      <c r="AI72" s="899"/>
      <c r="AJ72" s="899"/>
      <c r="AK72" s="899"/>
      <c r="AL72" s="899"/>
      <c r="AM72" s="911"/>
      <c r="AN72" s="912"/>
      <c r="AO72" s="899"/>
      <c r="AX72" s="903"/>
      <c r="AY72" s="903"/>
    </row>
    <row r="73" spans="1:51" ht="15" customHeight="1" x14ac:dyDescent="0.2">
      <c r="A73" s="872" t="s">
        <v>1798</v>
      </c>
      <c r="B73" s="910">
        <v>43191</v>
      </c>
      <c r="AB73" s="898"/>
      <c r="AC73" s="899"/>
      <c r="AD73" s="904" t="s">
        <v>1738</v>
      </c>
      <c r="AE73" s="576">
        <f>IF(AND(AE71&gt;=0,AE71&lt;=300000),0,IF(AND(AE71&gt;=300001,AE71&lt;=500000),ROUND((AE71-300000)*0.05,0),IF(AND(AE71&gt;=500001,AE71&lt;=1000000),ROUND(((AE71-500000)*0.2)+10000,0),IF(AE71&gt;=1000001,ROUND(((AE71-1000000)*0.3)+110000,0)))))</f>
        <v>0</v>
      </c>
      <c r="AF73" s="899"/>
      <c r="AG73" s="899"/>
      <c r="AH73" s="899"/>
      <c r="AI73" s="899"/>
      <c r="AJ73" s="899"/>
      <c r="AK73" s="899"/>
      <c r="AL73" s="899"/>
      <c r="AM73" s="913"/>
      <c r="AN73" s="912"/>
      <c r="AO73" s="899"/>
      <c r="AX73" s="903"/>
      <c r="AY73" s="903"/>
    </row>
    <row r="74" spans="1:51" x14ac:dyDescent="0.2">
      <c r="A74" s="872" t="s">
        <v>1799</v>
      </c>
      <c r="B74" s="576">
        <f>IF(ISERROR(calculate234Bmonths(sheet9.Date)),0,calculate234Bmonths(sheet9.Date))</f>
        <v>5</v>
      </c>
      <c r="AB74" s="898"/>
      <c r="AC74" s="899"/>
      <c r="AD74" s="904" t="s">
        <v>1739</v>
      </c>
      <c r="AE74" s="576">
        <f>IF(AND(AE71&gt;=0,AE71&lt;=500000),0,IF(AND(AE71&gt;=500001,AE71&lt;=1000000),ROUND((AE71-500000)*0.2,0),IF(AE71&gt;=1000001,ROUND(((AE71-1000000)*0.3)+100000,0))))</f>
        <v>0</v>
      </c>
      <c r="AF74" s="899"/>
      <c r="AG74" s="899"/>
      <c r="AH74" s="899"/>
      <c r="AI74" s="899"/>
      <c r="AJ74" s="899"/>
      <c r="AK74" s="899"/>
      <c r="AL74" s="899"/>
      <c r="AM74" s="913"/>
      <c r="AN74" s="912"/>
      <c r="AO74" s="899"/>
      <c r="AX74" s="903"/>
      <c r="AY74" s="903"/>
    </row>
    <row r="75" spans="1:51" x14ac:dyDescent="0.2">
      <c r="A75" s="576" t="s">
        <v>6518</v>
      </c>
      <c r="B75" s="576">
        <f>IF(AND(sheet11.Section44AD= "",sheet11.Section44ADA= ""), 0,sheet11.Section44AD+sheet11.Section44ADA)</f>
        <v>0</v>
      </c>
      <c r="AB75" s="898"/>
      <c r="AC75" s="899"/>
      <c r="AD75" s="904" t="s">
        <v>1740</v>
      </c>
      <c r="AE75" s="576">
        <f>IF(AND(AE71&gt;=0,AE71&lt;=250000),0,IF(AND(AE71&gt;=250001,AE71&lt;=500000),ROUND((AE71-250000)*0.05,0),IF(AND(AE71&gt;=500001,AE71&lt;=1000000),ROUND(((AE71-500000)*0.2)+12500,0),IF(AE71&gt;1000001,ROUND(((AE71-1000000)*0.3)+112500,0)))))</f>
        <v>0</v>
      </c>
      <c r="AF75" s="899"/>
      <c r="AG75" s="899"/>
      <c r="AH75" s="899"/>
      <c r="AI75" s="899"/>
      <c r="AJ75" s="899"/>
      <c r="AK75" s="899"/>
      <c r="AL75" s="899"/>
      <c r="AM75" s="911"/>
      <c r="AN75" s="912"/>
      <c r="AO75" s="899"/>
      <c r="AX75" s="903"/>
      <c r="AY75" s="903"/>
    </row>
    <row r="76" spans="1:51" x14ac:dyDescent="0.2">
      <c r="A76" s="914" t="s">
        <v>1800</v>
      </c>
      <c r="B76" s="915" t="s">
        <v>1801</v>
      </c>
      <c r="C76" s="916" t="s">
        <v>1802</v>
      </c>
      <c r="D76" s="916" t="s">
        <v>1803</v>
      </c>
      <c r="E76" s="916" t="s">
        <v>1804</v>
      </c>
      <c r="F76" s="916" t="s">
        <v>1805</v>
      </c>
      <c r="G76" s="916" t="s">
        <v>1806</v>
      </c>
      <c r="H76" s="916" t="s">
        <v>1807</v>
      </c>
      <c r="I76" s="916" t="s">
        <v>1808</v>
      </c>
      <c r="J76" s="916" t="s">
        <v>1809</v>
      </c>
      <c r="K76" s="916" t="s">
        <v>1810</v>
      </c>
      <c r="L76" s="916" t="s">
        <v>1811</v>
      </c>
      <c r="M76" s="916" t="s">
        <v>1812</v>
      </c>
      <c r="N76" s="916" t="s">
        <v>1813</v>
      </c>
      <c r="O76" s="916" t="s">
        <v>1814</v>
      </c>
      <c r="P76" s="916" t="s">
        <v>1815</v>
      </c>
      <c r="Q76" s="916" t="s">
        <v>1816</v>
      </c>
      <c r="R76" s="916" t="s">
        <v>1817</v>
      </c>
      <c r="S76" s="916" t="s">
        <v>1818</v>
      </c>
      <c r="T76" s="916" t="s">
        <v>1819</v>
      </c>
      <c r="U76" s="916" t="s">
        <v>1820</v>
      </c>
      <c r="V76" s="916" t="s">
        <v>1821</v>
      </c>
      <c r="W76" s="916" t="s">
        <v>1822</v>
      </c>
      <c r="X76" s="916" t="s">
        <v>1823</v>
      </c>
      <c r="Y76" s="916" t="s">
        <v>1824</v>
      </c>
      <c r="AB76" s="898"/>
      <c r="AC76" s="899"/>
      <c r="AD76" s="904" t="s">
        <v>6520</v>
      </c>
      <c r="AE76" s="576">
        <f>IF(AE72=1,AE73,IF(AE72=2,AE74,IF(AE72=3,AE75,0)))</f>
        <v>0</v>
      </c>
      <c r="AF76" s="899"/>
      <c r="AG76" s="899"/>
      <c r="AH76" s="899"/>
      <c r="AI76" s="899"/>
      <c r="AJ76" s="899"/>
      <c r="AK76" s="899"/>
      <c r="AL76" s="899"/>
      <c r="AM76" s="911"/>
      <c r="AN76" s="912"/>
      <c r="AO76" s="899"/>
      <c r="AX76" s="903"/>
      <c r="AY76" s="903"/>
    </row>
    <row r="77" spans="1:51" x14ac:dyDescent="0.2">
      <c r="A77" s="892" t="s">
        <v>1825</v>
      </c>
      <c r="B77" s="917">
        <f>B71</f>
        <v>0</v>
      </c>
      <c r="C77" s="917">
        <f>IF(B74&gt;1,B84,0)</f>
        <v>0</v>
      </c>
      <c r="D77" s="917">
        <f>IF(B74&gt;2,C84,0)</f>
        <v>0</v>
      </c>
      <c r="E77" s="917">
        <f>IF(B74&gt;3,D84,0)</f>
        <v>0</v>
      </c>
      <c r="F77" s="917">
        <f>IF(B74&gt;4,E84,0)</f>
        <v>0</v>
      </c>
      <c r="G77" s="917">
        <f>IF(B74&gt;5,F84,0)</f>
        <v>0</v>
      </c>
      <c r="H77" s="917">
        <f>IF(B74&gt;6,G84,0)</f>
        <v>0</v>
      </c>
      <c r="I77" s="917">
        <f>IF(B74&gt;7,H84,0)</f>
        <v>0</v>
      </c>
      <c r="J77" s="917">
        <f>IF(B74&gt;8,I84,0)</f>
        <v>0</v>
      </c>
      <c r="K77" s="917">
        <f>IF(B74&gt;9,J84,0)</f>
        <v>0</v>
      </c>
      <c r="L77" s="917">
        <f>IF($B$74&gt;10,K84,0)</f>
        <v>0</v>
      </c>
      <c r="M77" s="917">
        <f>IF($B$74&gt;11,L84,0)</f>
        <v>0</v>
      </c>
      <c r="N77" s="917">
        <f>IF($B$74&gt;12,M84,0)</f>
        <v>0</v>
      </c>
      <c r="O77" s="917">
        <f>IF($B$74&gt;13,N84,0)</f>
        <v>0</v>
      </c>
      <c r="P77" s="917">
        <f>IF($B$74&gt;14,O84,0)</f>
        <v>0</v>
      </c>
      <c r="Q77" s="917">
        <f>IF($B$74&gt;15,P84,0)</f>
        <v>0</v>
      </c>
      <c r="R77" s="917">
        <f>IF($B$74&gt;16,Q84,0)</f>
        <v>0</v>
      </c>
      <c r="S77" s="917">
        <f>IF($B$74&gt;17,R84,0)</f>
        <v>0</v>
      </c>
      <c r="T77" s="917">
        <f>IF($B$74&gt;18,S84,0)</f>
        <v>0</v>
      </c>
      <c r="U77" s="917">
        <f>IF($B$74&gt;19,T84,0)</f>
        <v>0</v>
      </c>
      <c r="V77" s="917">
        <f>IF($B$74&gt;20,U84,0)</f>
        <v>0</v>
      </c>
      <c r="W77" s="917">
        <f>IF($B$74&gt;21,V84,0)</f>
        <v>0</v>
      </c>
      <c r="X77" s="917">
        <f>IF($B$74&gt;22,W84,0)</f>
        <v>0</v>
      </c>
      <c r="Y77" s="917">
        <f>IF($B$74&gt;23,X84,0)</f>
        <v>0</v>
      </c>
      <c r="AB77" s="898"/>
      <c r="AC77" s="899"/>
      <c r="AD77" s="576"/>
      <c r="AE77" s="576"/>
      <c r="AF77" s="899"/>
      <c r="AG77" s="899"/>
      <c r="AH77" s="899"/>
      <c r="AI77" s="899"/>
      <c r="AJ77" s="899"/>
      <c r="AK77" s="899"/>
      <c r="AL77" s="899"/>
      <c r="AM77" s="911"/>
      <c r="AN77" s="912"/>
      <c r="AO77" s="899"/>
      <c r="AX77" s="903"/>
      <c r="AY77" s="903"/>
    </row>
    <row r="78" spans="1:51" x14ac:dyDescent="0.2">
      <c r="A78" s="892" t="s">
        <v>1826</v>
      </c>
      <c r="B78" s="917">
        <f>ROUND(0.01*B77,0)</f>
        <v>0</v>
      </c>
      <c r="C78" s="917">
        <f>IF(B74&gt;1,ROUND(0.01*C77,0),0)</f>
        <v>0</v>
      </c>
      <c r="D78" s="917">
        <f>IF(B74&gt;2,ROUND(0.01*D77,0),0)</f>
        <v>0</v>
      </c>
      <c r="E78" s="917">
        <f>IF(B74&gt;3,ROUND(E77*0.01,0),0)</f>
        <v>0</v>
      </c>
      <c r="F78" s="917">
        <f>IF(B74&gt;4,ROUND(F77*0.01,0),0)</f>
        <v>0</v>
      </c>
      <c r="G78" s="917">
        <f>IF(B74&gt;5,ROUND(G77*0.01,0),0)</f>
        <v>0</v>
      </c>
      <c r="H78" s="917">
        <f>IF(B74&gt;6,ROUND(0.01*H77,0),0)</f>
        <v>0</v>
      </c>
      <c r="I78" s="917">
        <f>IF(B74&gt;7,ROUND(I77*0.01,0),0)</f>
        <v>0</v>
      </c>
      <c r="J78" s="917">
        <f>IF(B74&gt;8,ROUND(J77*0.01,0),0)</f>
        <v>0</v>
      </c>
      <c r="K78" s="917">
        <f>IF(B74&gt;9,ROUND(K77*0.01,0),0)</f>
        <v>0</v>
      </c>
      <c r="L78" s="917">
        <f>IF($B$74&gt;10,ROUND(L77*0.01,0),0)</f>
        <v>0</v>
      </c>
      <c r="M78" s="917">
        <f>IF($B$74&gt;11,ROUND(M77*0.01,0),0)</f>
        <v>0</v>
      </c>
      <c r="N78" s="917">
        <f>IF($B$74&gt;12,ROUND(N77*0.01,0),0)</f>
        <v>0</v>
      </c>
      <c r="O78" s="917">
        <f>IF($B$74&gt;13,ROUND(O77*0.01,0),0)</f>
        <v>0</v>
      </c>
      <c r="P78" s="917">
        <f>IF($B$74&gt;14,ROUND(P77*0.01,0),0)</f>
        <v>0</v>
      </c>
      <c r="Q78" s="917">
        <f>IF($B$74&gt;15,ROUND(Q77*0.01,0),0)</f>
        <v>0</v>
      </c>
      <c r="R78" s="917">
        <f>IF($B$74&gt;16,ROUND(R77*0.01,0),0)</f>
        <v>0</v>
      </c>
      <c r="S78" s="917">
        <f>IF($B$74&gt;17,ROUND(S77*0.01,0),0)</f>
        <v>0</v>
      </c>
      <c r="T78" s="917">
        <f>IF($B$74&gt;18,ROUND(T77*0.01,0),0)</f>
        <v>0</v>
      </c>
      <c r="U78" s="917">
        <f>IF($B$74&gt;19,ROUND(U77*0.01,0),0)</f>
        <v>0</v>
      </c>
      <c r="V78" s="917">
        <f>IF($B$74&gt;20,ROUND(V77*0.01,0),0)</f>
        <v>0</v>
      </c>
      <c r="W78" s="917">
        <f>IF($B$74&gt;21,ROUND(W77*0.01,0),0)</f>
        <v>0</v>
      </c>
      <c r="X78" s="917">
        <f>IF($B$74&gt;22,ROUND(X77*0.01,0),0)</f>
        <v>0</v>
      </c>
      <c r="Y78" s="917">
        <f>IF($B$74&gt;23,ROUND(Y77*0.01,0),0)</f>
        <v>0</v>
      </c>
      <c r="AB78" s="898"/>
      <c r="AC78" s="899"/>
      <c r="AD78" s="918" t="s">
        <v>1742</v>
      </c>
      <c r="AE78" s="918">
        <f>IF(AND(AE66="I",age&gt;59,age&lt;80,OR(AE67="RES",AE67="NOR")),300000,IF(AND(AE66="I",age&gt;=80,,OR(AE67="RES",AE67="NOR")),500000,IF(OR(AE66="I",AE66="H"),250000,0)))</f>
        <v>0</v>
      </c>
      <c r="AF78" s="899"/>
      <c r="AG78" s="899"/>
      <c r="AH78" s="899"/>
      <c r="AI78" s="899"/>
      <c r="AJ78" s="899"/>
      <c r="AK78" s="899"/>
      <c r="AL78" s="899"/>
      <c r="AM78" s="911"/>
      <c r="AN78" s="912"/>
      <c r="AO78" s="899"/>
      <c r="AX78" s="903"/>
      <c r="AY78" s="903"/>
    </row>
    <row r="79" spans="1:51" ht="15" customHeight="1" x14ac:dyDescent="0.2">
      <c r="A79" s="892" t="s">
        <v>1827</v>
      </c>
      <c r="B79" s="917">
        <f>B78</f>
        <v>0</v>
      </c>
      <c r="C79" s="917">
        <f>IF(B74&gt;1,C78+B79,0)</f>
        <v>0</v>
      </c>
      <c r="D79" s="917">
        <f>IF(B74&gt;2,D78+C79,0)</f>
        <v>0</v>
      </c>
      <c r="E79" s="917">
        <f>IF(B74&gt;3,E78+D79,0)</f>
        <v>0</v>
      </c>
      <c r="F79" s="917">
        <f>IF(B74&gt;4,F78+E79,0)</f>
        <v>0</v>
      </c>
      <c r="G79" s="917">
        <f>IF(B74&gt;5,G78+F79,0)</f>
        <v>0</v>
      </c>
      <c r="H79" s="917">
        <f>IF(B74&gt;6,H78+G79,0)</f>
        <v>0</v>
      </c>
      <c r="I79" s="917">
        <f>IF(B74&gt;7,I78+H79,0)</f>
        <v>0</v>
      </c>
      <c r="J79" s="917">
        <f>IF(B74&gt;8,J78+I79,0)</f>
        <v>0</v>
      </c>
      <c r="K79" s="917">
        <f>IF(B74&gt;9,K78+J79,0)</f>
        <v>0</v>
      </c>
      <c r="L79" s="917">
        <f>IF($B$74&gt;10,L78+K79,0)</f>
        <v>0</v>
      </c>
      <c r="M79" s="917">
        <f>IF($B$74&gt;11,M78+L79,0)</f>
        <v>0</v>
      </c>
      <c r="N79" s="917">
        <f>IF($B$74&gt;12,N78+M79,0)</f>
        <v>0</v>
      </c>
      <c r="O79" s="917">
        <f>IF($B$74&gt;13,O78+N79,0)</f>
        <v>0</v>
      </c>
      <c r="P79" s="917">
        <f>IF($B$74&gt;14,P78+O79,0)</f>
        <v>0</v>
      </c>
      <c r="Q79" s="917">
        <f>IF($B$74&gt;15,Q78+P79,0)</f>
        <v>0</v>
      </c>
      <c r="R79" s="917">
        <f>IF($B$74&gt;16,R78+Q79,0)</f>
        <v>0</v>
      </c>
      <c r="S79" s="917">
        <f>IF($B$74&gt;17,S78+R79,0)</f>
        <v>0</v>
      </c>
      <c r="T79" s="917">
        <f>IF($B$74&gt;18,T78+S79,0)</f>
        <v>0</v>
      </c>
      <c r="U79" s="917">
        <f>IF($B$74&gt;19,U78+T79,0)</f>
        <v>0</v>
      </c>
      <c r="V79" s="917">
        <f>IF($B$74&gt;20,V78+U79,0)</f>
        <v>0</v>
      </c>
      <c r="W79" s="917">
        <f>IF($B$74&gt;21,W78+V79,0)</f>
        <v>0</v>
      </c>
      <c r="X79" s="917">
        <f>IF($B$74&gt;22,X78+W79,0)</f>
        <v>0</v>
      </c>
      <c r="Y79" s="917">
        <f>IF($B$74&gt;23,Y78+X79,0)</f>
        <v>0</v>
      </c>
      <c r="AB79" s="898"/>
      <c r="AC79" s="899"/>
      <c r="AD79" s="899"/>
      <c r="AE79" s="899"/>
      <c r="AF79" s="899"/>
      <c r="AG79" s="899"/>
      <c r="AH79" s="899"/>
      <c r="AI79" s="899"/>
      <c r="AJ79" s="899"/>
      <c r="AK79" s="899"/>
      <c r="AL79" s="899"/>
      <c r="AM79" s="911"/>
      <c r="AN79" s="912"/>
      <c r="AO79" s="899"/>
      <c r="AP79" s="899"/>
      <c r="AQ79" s="899"/>
      <c r="AR79" s="899"/>
      <c r="AS79" s="899"/>
      <c r="AT79" s="899"/>
      <c r="AU79" s="899"/>
      <c r="AV79" s="899"/>
      <c r="AW79" s="899"/>
      <c r="AX79" s="903"/>
      <c r="AY79" s="903"/>
    </row>
    <row r="80" spans="1:51" ht="15" customHeight="1" x14ac:dyDescent="0.2">
      <c r="A80" s="892" t="s">
        <v>1828</v>
      </c>
      <c r="B80" s="917">
        <f>E69+section234A+IF(sheet9.GrossTaxPayable&lt;&gt;Sheet9.GrossTaxLiability,Total_234Cii,interest234C)+B78</f>
        <v>0</v>
      </c>
      <c r="C80" s="917">
        <f>IF(B74&gt;1,B85+C78,0)</f>
        <v>0</v>
      </c>
      <c r="D80" s="917">
        <f>IF(B74&gt;2,C85+D78,0)</f>
        <v>0</v>
      </c>
      <c r="E80" s="917">
        <f>IF(B74&gt;3,D85+E78,0)</f>
        <v>0</v>
      </c>
      <c r="F80" s="917">
        <f>IF(B74&gt;4,E85+F78,0)</f>
        <v>0</v>
      </c>
      <c r="G80" s="917">
        <f>IF(B74&gt;5,F85+G78,0)</f>
        <v>0</v>
      </c>
      <c r="H80" s="917">
        <f>IF(B74&gt;6,G85+H78,0)</f>
        <v>0</v>
      </c>
      <c r="I80" s="917">
        <f>IF(B74&gt;7,H85+I78,0)</f>
        <v>0</v>
      </c>
      <c r="J80" s="917">
        <f>IF(B74&gt;8,I85+J78,0)</f>
        <v>0</v>
      </c>
      <c r="K80" s="917">
        <f>IF(B74&gt;9,J85+K78,0)</f>
        <v>0</v>
      </c>
      <c r="L80" s="917">
        <f>IF($B$74&gt;10,K85+L78,0)</f>
        <v>0</v>
      </c>
      <c r="M80" s="917">
        <f>IF($B$74&gt;11,L85+M78,0)</f>
        <v>0</v>
      </c>
      <c r="N80" s="917">
        <f>IF($B$74&gt;12,M85+N78,0)</f>
        <v>0</v>
      </c>
      <c r="O80" s="917">
        <f>IF($B$74&gt;13,N85+O78,0)</f>
        <v>0</v>
      </c>
      <c r="P80" s="917">
        <f>IF($B$74&gt;14,O85+P78,0)</f>
        <v>0</v>
      </c>
      <c r="Q80" s="917">
        <f>IF($B$74&gt;15,P85+Q78,0)</f>
        <v>0</v>
      </c>
      <c r="R80" s="917">
        <f>IF($B$74&gt;16,Q85+R78,0)</f>
        <v>0</v>
      </c>
      <c r="S80" s="917">
        <f>IF($B$74&gt;17,R85+S78,0)</f>
        <v>0</v>
      </c>
      <c r="T80" s="917">
        <f>IF($B$74&gt;18,S85+T78,0)</f>
        <v>0</v>
      </c>
      <c r="U80" s="917">
        <f>IF($B$74&gt;19,T85+U78,0)</f>
        <v>0</v>
      </c>
      <c r="V80" s="917">
        <f>IF($B$74&gt;20,U85+V78,0)</f>
        <v>0</v>
      </c>
      <c r="W80" s="917">
        <f>IF($B$74&gt;21,V85+W78,0)</f>
        <v>0</v>
      </c>
      <c r="X80" s="917">
        <f>IF($B$74&gt;22,W85+X78,0)</f>
        <v>0</v>
      </c>
      <c r="Y80" s="917">
        <f>IF($B$74&gt;23,X85+Y78,0)</f>
        <v>0</v>
      </c>
      <c r="AB80" s="898"/>
      <c r="AC80" s="899"/>
      <c r="AD80" s="899"/>
      <c r="AE80" s="899"/>
      <c r="AF80" s="899"/>
      <c r="AG80" s="899"/>
      <c r="AH80" s="899"/>
      <c r="AI80" s="899"/>
      <c r="AJ80" s="899"/>
      <c r="AK80" s="899"/>
      <c r="AL80" s="899"/>
      <c r="AM80" s="911"/>
      <c r="AN80" s="912"/>
      <c r="AO80" s="899"/>
      <c r="AP80" s="899"/>
      <c r="AQ80" s="899"/>
      <c r="AR80" s="899"/>
      <c r="AS80" s="899"/>
      <c r="AT80" s="899"/>
      <c r="AU80" s="899"/>
      <c r="AV80" s="899"/>
      <c r="AW80" s="899"/>
      <c r="AX80" s="903"/>
      <c r="AY80" s="903"/>
    </row>
    <row r="81" spans="1:51" ht="15" customHeight="1" x14ac:dyDescent="0.25">
      <c r="A81" s="892" t="s">
        <v>1829</v>
      </c>
      <c r="B81" s="917">
        <f>IT_Sat_1</f>
        <v>0</v>
      </c>
      <c r="C81" s="917">
        <f>IF(B74&gt;1,IT_Sat_2,0)</f>
        <v>0</v>
      </c>
      <c r="D81" s="917">
        <f>IF(B74&gt;2,IT_Sat_3,0)</f>
        <v>0</v>
      </c>
      <c r="E81" s="917">
        <f>IF(B74&gt;3,IT_Sat_4,0)</f>
        <v>0</v>
      </c>
      <c r="F81" s="917">
        <f>IF(B74&gt;4,IT_Sat_5,0)</f>
        <v>0</v>
      </c>
      <c r="G81" s="917">
        <f>IF(B74&gt;5,IT_Sat_6,0)</f>
        <v>0</v>
      </c>
      <c r="H81" s="917">
        <f>IF(B74&gt;6,IT_Sat_7,0)</f>
        <v>0</v>
      </c>
      <c r="I81" s="917">
        <f>IF(B74&gt;7,IT_Sat_8,0)</f>
        <v>0</v>
      </c>
      <c r="J81" s="917">
        <f>IF(B74&gt;8,IT_Sat_9,0)</f>
        <v>0</v>
      </c>
      <c r="K81" s="917">
        <f>IF(B74&gt;9,IT_Sat_10,0)</f>
        <v>0</v>
      </c>
      <c r="L81" s="917">
        <f>IF($B$74&gt;10,IT_Sat_11,0)</f>
        <v>0</v>
      </c>
      <c r="M81" s="917">
        <f>IF($B$74&gt;11,IT_Sat_12,0)</f>
        <v>0</v>
      </c>
      <c r="N81" s="917">
        <f>IF($B$74&gt;12,IT_Sat_13,0)</f>
        <v>0</v>
      </c>
      <c r="O81" s="917">
        <f>IF($B$74&gt;13,IT_Sat_14,0)</f>
        <v>0</v>
      </c>
      <c r="P81" s="917">
        <f>IF($B$74&gt;14,IT_Sat_15,0)</f>
        <v>0</v>
      </c>
      <c r="Q81" s="917">
        <f>IF($B$74&gt;15,IT_Sat_16,0)</f>
        <v>0</v>
      </c>
      <c r="R81" s="917">
        <f>IF($B$74&gt;16,IT_Sat_17,0)</f>
        <v>0</v>
      </c>
      <c r="S81" s="917">
        <f>IF($B$74&gt;17,IT_Sat_18,0)</f>
        <v>0</v>
      </c>
      <c r="T81" s="917">
        <f>IF($B$74&gt;18,IT_Sat_19,0)</f>
        <v>0</v>
      </c>
      <c r="U81" s="917">
        <f>IF($B$74&gt;19,IT_Sat_20,0)</f>
        <v>0</v>
      </c>
      <c r="V81" s="917">
        <f>IF($B$74&gt;20,IT_Sat_21,0)</f>
        <v>0</v>
      </c>
      <c r="W81" s="917">
        <f>IF($B$74&gt;21,IT_Sat_22,0)</f>
        <v>0</v>
      </c>
      <c r="X81" s="917">
        <f>IF($B$74&gt;22,IT_Sat_23,0)</f>
        <v>0</v>
      </c>
      <c r="Y81" s="917">
        <f>IF($B$74&gt;23,IT_Sat_24,0)</f>
        <v>0</v>
      </c>
      <c r="AB81" s="898"/>
      <c r="AC81" s="3384" t="s">
        <v>696</v>
      </c>
      <c r="AD81" s="3384"/>
      <c r="AE81" s="3384"/>
      <c r="AF81" s="919"/>
      <c r="AG81" s="920">
        <f>AE76</f>
        <v>0</v>
      </c>
      <c r="AH81" s="899"/>
      <c r="AI81" s="899"/>
      <c r="AJ81" s="899"/>
      <c r="AK81" s="899"/>
      <c r="AL81" s="899"/>
      <c r="AM81" s="911"/>
      <c r="AN81" s="912"/>
      <c r="AO81" s="899"/>
      <c r="AP81" s="899"/>
      <c r="AQ81" s="899"/>
      <c r="AR81" s="899"/>
      <c r="AS81" s="899"/>
      <c r="AT81" s="899"/>
      <c r="AU81" s="899"/>
      <c r="AV81" s="899"/>
      <c r="AW81" s="899"/>
      <c r="AX81" s="903"/>
      <c r="AY81" s="903"/>
    </row>
    <row r="82" spans="1:51" ht="15" customHeight="1" x14ac:dyDescent="0.25">
      <c r="A82" s="892" t="s">
        <v>1830</v>
      </c>
      <c r="B82" s="917">
        <f>MIN(B81,B80)</f>
        <v>0</v>
      </c>
      <c r="C82" s="917">
        <f>IF(B74&gt;1,MIN(C81,C80),0)</f>
        <v>0</v>
      </c>
      <c r="D82" s="917">
        <f>IF(B74&gt;2,MIN(D81,D80),0)</f>
        <v>0</v>
      </c>
      <c r="E82" s="917">
        <f>IF(B74&gt;3,MIN(E81,E80),0)</f>
        <v>0</v>
      </c>
      <c r="F82" s="917">
        <f>IF(B74&gt;4,MIN(F81,F80),0)</f>
        <v>0</v>
      </c>
      <c r="G82" s="917">
        <f>IF(B74&gt;5,MIN(G81,G80),0)</f>
        <v>0</v>
      </c>
      <c r="H82" s="917">
        <f>IF(B74&gt;6,MIN(H81,H80),0)</f>
        <v>0</v>
      </c>
      <c r="I82" s="917">
        <f>IF(B74&gt;7,MIN(I81,I80),0)</f>
        <v>0</v>
      </c>
      <c r="J82" s="917">
        <f>IF(B74&gt;8,MIN(J81,J80),0)</f>
        <v>0</v>
      </c>
      <c r="K82" s="917">
        <f>IF(B74&gt;9,MIN(K81,K80),0)</f>
        <v>0</v>
      </c>
      <c r="L82" s="917">
        <f>IF($B$74&gt;10,MIN(L81,L80),0)</f>
        <v>0</v>
      </c>
      <c r="M82" s="917">
        <f>IF($B$74&gt;11,MIN(M81,M80),0)</f>
        <v>0</v>
      </c>
      <c r="N82" s="917">
        <f>IF($B$74&gt;12,MIN(N81,N80),0)</f>
        <v>0</v>
      </c>
      <c r="O82" s="917">
        <f>IF($B$74&gt;13,MIN(O81,O80),0)</f>
        <v>0</v>
      </c>
      <c r="P82" s="917">
        <f>IF($B$74&gt;14,MIN(P81,P80),0)</f>
        <v>0</v>
      </c>
      <c r="Q82" s="917">
        <f>IF($B$74&gt;15,MIN(Q81,Q80),0)</f>
        <v>0</v>
      </c>
      <c r="R82" s="917">
        <f>IF($B$74&gt;16,MIN(R81,R80),0)</f>
        <v>0</v>
      </c>
      <c r="S82" s="917">
        <f>IF($B$74&gt;17,MIN(S81,S80),0)</f>
        <v>0</v>
      </c>
      <c r="T82" s="917">
        <f>IF($B$74&gt;18,MIN(T81,T80),0)</f>
        <v>0</v>
      </c>
      <c r="U82" s="917">
        <f>IF($B$74&gt;19,MIN(U81,U80),0)</f>
        <v>0</v>
      </c>
      <c r="V82" s="917">
        <f>IF($B$74&gt;20,MIN(V81,V80),0)</f>
        <v>0</v>
      </c>
      <c r="W82" s="917">
        <f>IF($B$74&gt;21,MIN(W81,W80),0)</f>
        <v>0</v>
      </c>
      <c r="X82" s="917">
        <f>IF($B$74&gt;22,MIN(X81,X80),0)</f>
        <v>0</v>
      </c>
      <c r="Y82" s="917">
        <f>IF($B$74&gt;23,MIN(Y81,Y80),0)</f>
        <v>0</v>
      </c>
      <c r="AB82" s="898"/>
      <c r="AC82" s="3384" t="s">
        <v>698</v>
      </c>
      <c r="AD82" s="3384"/>
      <c r="AE82" s="3384"/>
      <c r="AF82" s="919"/>
      <c r="AG82" s="920">
        <f>SI.TotSplRateIncTax</f>
        <v>0</v>
      </c>
      <c r="AH82" s="899"/>
      <c r="AI82" s="899"/>
      <c r="AJ82" s="899"/>
      <c r="AK82" s="899"/>
      <c r="AL82" s="899"/>
      <c r="AM82" s="911"/>
      <c r="AN82" s="912"/>
      <c r="AO82" s="899"/>
      <c r="AP82" s="899"/>
      <c r="AQ82" s="899"/>
      <c r="AR82" s="899"/>
      <c r="AS82" s="899"/>
      <c r="AT82" s="899"/>
      <c r="AU82" s="899"/>
      <c r="AV82" s="899"/>
      <c r="AW82" s="899"/>
      <c r="AX82" s="903"/>
      <c r="AY82" s="903"/>
    </row>
    <row r="83" spans="1:51" ht="15" customHeight="1" x14ac:dyDescent="0.25">
      <c r="A83" s="892" t="s">
        <v>1831</v>
      </c>
      <c r="B83" s="917">
        <f>MAX(0,MIN(B81-B82,B77))</f>
        <v>0</v>
      </c>
      <c r="C83" s="917">
        <f>IF(B74&gt;1,MAX(0,MIN(C81-C82,C77)),0)</f>
        <v>0</v>
      </c>
      <c r="D83" s="917">
        <f>IF(B74&gt;2,MAX(0,MIN(D81-D82,D77)),0)</f>
        <v>0</v>
      </c>
      <c r="E83" s="917">
        <f>IF(B74&gt;3,MAX(0,MIN(E81-E82,E77)),0)</f>
        <v>0</v>
      </c>
      <c r="F83" s="917">
        <f>IF(B74&gt;4,MAX(0,MIN(F81-F82,F77)),0)</f>
        <v>0</v>
      </c>
      <c r="G83" s="917">
        <f>IF(B74&gt;5,MAX(0,MIN(G81-G82,G77)),0)</f>
        <v>0</v>
      </c>
      <c r="H83" s="917">
        <f>IF(B74&gt;6,MAX(0,MIN(H81-H82,H77)),0)</f>
        <v>0</v>
      </c>
      <c r="I83" s="917">
        <f>IF(B74&gt;7,MAX(0,MIN(I81-I82,I77)),0)</f>
        <v>0</v>
      </c>
      <c r="J83" s="917">
        <f>IF(CB74&gt;8,MAX(0,MIN(J81-J82,J77)),0)</f>
        <v>0</v>
      </c>
      <c r="K83" s="917">
        <f>IF(B74&gt;9,MAX(0,MIN(K81-K82,K77)),0)</f>
        <v>0</v>
      </c>
      <c r="L83" s="917">
        <f>IF($B$74&gt;10,MAX(0,MIN(L81-L82,L77)),0)</f>
        <v>0</v>
      </c>
      <c r="M83" s="917">
        <f>IF($B$74&gt;11,MAX(0,MIN(M81-M82,M77)),0)</f>
        <v>0</v>
      </c>
      <c r="N83" s="917">
        <f>IF($B$74&gt;12,MAX(0,MIN(N81-N82,N77)),0)</f>
        <v>0</v>
      </c>
      <c r="O83" s="917">
        <f>IF($B$74&gt;13,MAX(0,MIN(O81-O82,O77)),0)</f>
        <v>0</v>
      </c>
      <c r="P83" s="917">
        <f>IF($B$74&gt;14,MAX(0,MIN(P81-P82,P77)),0)</f>
        <v>0</v>
      </c>
      <c r="Q83" s="917">
        <f>IF($B$74&gt;15,MAX(0,MIN(Q81-Q82,Q77)),0)</f>
        <v>0</v>
      </c>
      <c r="R83" s="917">
        <f>IF($B$74&gt;16,MAX(0,MIN(R81-R82,R77)),0)</f>
        <v>0</v>
      </c>
      <c r="S83" s="917">
        <f>IF($B$74&gt;17,MAX(0,MIN(S81-S82,S77)),0)</f>
        <v>0</v>
      </c>
      <c r="T83" s="917">
        <f>IF($B$74&gt;18,MAX(0,MIN(T81-T82,T77)),0)</f>
        <v>0</v>
      </c>
      <c r="U83" s="917">
        <f>IF($B$74&gt;19,MAX(0,MIN(U81-U82,U77)),0)</f>
        <v>0</v>
      </c>
      <c r="V83" s="917">
        <f>IF($B$74&gt;20,MAX(0,MIN(V81-V82,V77)),0)</f>
        <v>0</v>
      </c>
      <c r="W83" s="917">
        <f>IF($B$74&gt;21,MAX(0,MIN(W81-W82,W77)),0)</f>
        <v>0</v>
      </c>
      <c r="X83" s="917">
        <f>IF($B$74&gt;22,MAX(0,MIN(X81-X82,X77)),0)</f>
        <v>0</v>
      </c>
      <c r="Y83" s="917">
        <f>IF($B$74&gt;23,MAX(0,MIN(Y81-Y82,Y77)),0)</f>
        <v>0</v>
      </c>
      <c r="AB83" s="898"/>
      <c r="AC83" s="3384" t="s">
        <v>700</v>
      </c>
      <c r="AD83" s="3384"/>
      <c r="AE83" s="3384"/>
      <c r="AF83" s="919"/>
      <c r="AG83" s="920">
        <f>AI71</f>
        <v>0</v>
      </c>
      <c r="AH83" s="899"/>
      <c r="AI83" s="899"/>
      <c r="AJ83" s="899"/>
      <c r="AK83" s="899"/>
      <c r="AL83" s="899"/>
      <c r="AM83" s="911"/>
      <c r="AN83" s="912"/>
      <c r="AO83" s="899"/>
      <c r="AP83" s="899"/>
      <c r="AQ83" s="899"/>
      <c r="AR83" s="899"/>
      <c r="AS83" s="899"/>
      <c r="AT83" s="899"/>
      <c r="AU83" s="899"/>
      <c r="AV83" s="899"/>
      <c r="AW83" s="899"/>
      <c r="AX83" s="903"/>
      <c r="AY83" s="903"/>
    </row>
    <row r="84" spans="1:51" ht="15" customHeight="1" x14ac:dyDescent="0.25">
      <c r="A84" s="892" t="s">
        <v>1832</v>
      </c>
      <c r="B84" s="917">
        <f>MAX(0,B77-B83)</f>
        <v>0</v>
      </c>
      <c r="C84" s="917">
        <f>IF(B74&gt;1,MAX(0,C77-C83),0)</f>
        <v>0</v>
      </c>
      <c r="D84" s="917">
        <f>IF(B74&gt;2,MAX(0,D77-D83),0)</f>
        <v>0</v>
      </c>
      <c r="E84" s="917">
        <f>IF(B74&gt;3,MAX(0,E77-E83),0)</f>
        <v>0</v>
      </c>
      <c r="F84" s="917">
        <f>IF(B74&gt;4,MAX(0,F77-F83),0)</f>
        <v>0</v>
      </c>
      <c r="G84" s="917">
        <f>IF(B74&gt;5,MAX(0,G77-G83),0)</f>
        <v>0</v>
      </c>
      <c r="H84" s="917">
        <f>IF(B74&gt;6,MAX(0,H77-H83),0)</f>
        <v>0</v>
      </c>
      <c r="I84" s="917">
        <f>IF(B74&gt;7,MAX(0,I77-I83),0)</f>
        <v>0</v>
      </c>
      <c r="J84" s="917">
        <f>IF(B74&gt;8,MAX(0,J77-J83),0)</f>
        <v>0</v>
      </c>
      <c r="K84" s="917">
        <f>IF(B74&gt;9,MAX(0,K77-K83),0)</f>
        <v>0</v>
      </c>
      <c r="L84" s="917">
        <f>IF($B$74&gt;10,MAX(0,L77-L83),0)</f>
        <v>0</v>
      </c>
      <c r="M84" s="917">
        <f>IF($B$74&gt;11,MAX(0,M77-M83),0)</f>
        <v>0</v>
      </c>
      <c r="N84" s="917">
        <f>IF($B$74&gt;12,MAX(0,N77-N83),0)</f>
        <v>0</v>
      </c>
      <c r="O84" s="917">
        <f>IF($B$74&gt;13,MAX(0,O77-O83),0)</f>
        <v>0</v>
      </c>
      <c r="P84" s="917">
        <f>IF($B$74&gt;14,MAX(0,P77-P83),0)</f>
        <v>0</v>
      </c>
      <c r="Q84" s="917">
        <f>IF($B$74&gt;15,MAX(0,Q77-Q83),0)</f>
        <v>0</v>
      </c>
      <c r="R84" s="917">
        <f>IF($B$74&gt;16,MAX(0,R77-R83),0)</f>
        <v>0</v>
      </c>
      <c r="S84" s="917">
        <f>IF($B$74&gt;17,MAX(0,S77-S83),0)</f>
        <v>0</v>
      </c>
      <c r="T84" s="917">
        <f>IF($B$74&gt;18,MAX(0,T77-T83),0)</f>
        <v>0</v>
      </c>
      <c r="U84" s="917">
        <f>IF($B$74&gt;19,MAX(0,U77-U83),0)</f>
        <v>0</v>
      </c>
      <c r="V84" s="917">
        <f>IF($B$74&gt;20,MAX(0,V77-V83),0)</f>
        <v>0</v>
      </c>
      <c r="W84" s="917">
        <f>IF($B$74&gt;21,MAX(0,W77-W83),0)</f>
        <v>0</v>
      </c>
      <c r="X84" s="917">
        <f>IF($B$74&gt;22,MAX(0,X77-X83),0)</f>
        <v>0</v>
      </c>
      <c r="Y84" s="917">
        <f>IF($B$74&gt;23,MAX(0,Y77-Y83),0)</f>
        <v>0</v>
      </c>
      <c r="AB84" s="898"/>
      <c r="AC84" s="3384" t="s">
        <v>701</v>
      </c>
      <c r="AD84" s="3384"/>
      <c r="AE84" s="3384"/>
      <c r="AF84" s="921"/>
      <c r="AG84" s="922">
        <f>AG81+AG82-AG83</f>
        <v>0</v>
      </c>
      <c r="AH84" s="899"/>
      <c r="AI84" s="899"/>
      <c r="AJ84" s="899"/>
      <c r="AK84" s="899"/>
      <c r="AL84" s="899"/>
      <c r="AM84" s="911"/>
      <c r="AN84" s="912"/>
      <c r="AO84" s="899"/>
      <c r="AP84" s="899"/>
      <c r="AQ84" s="899"/>
      <c r="AR84" s="899"/>
      <c r="AS84" s="899"/>
      <c r="AT84" s="899"/>
      <c r="AU84" s="899"/>
      <c r="AV84" s="899"/>
      <c r="AW84" s="899"/>
      <c r="AX84" s="903"/>
      <c r="AY84" s="903"/>
    </row>
    <row r="85" spans="1:51" ht="15" customHeight="1" x14ac:dyDescent="0.2">
      <c r="A85" s="892" t="s">
        <v>1833</v>
      </c>
      <c r="B85" s="917">
        <f>MAX(0,B80-B82)</f>
        <v>0</v>
      </c>
      <c r="C85" s="917">
        <f>IF(B74&gt;1,MAX(0,C80-C82),0)</f>
        <v>0</v>
      </c>
      <c r="D85" s="917">
        <f>IF(B74&gt;2,MAX(0,D80-D82),0)</f>
        <v>0</v>
      </c>
      <c r="E85" s="917">
        <f>IF(B74&gt;3,MAX(0,E80-E82),0)</f>
        <v>0</v>
      </c>
      <c r="F85" s="917">
        <f>IF(B74&gt;4,MAX(0,F80-F82),0)</f>
        <v>0</v>
      </c>
      <c r="G85" s="917">
        <f>IF(B74&gt;5,MAX(0,G80-G82),0)</f>
        <v>0</v>
      </c>
      <c r="H85" s="917">
        <f>IF(B74&gt;6,MAX(0,H80-H82),0)</f>
        <v>0</v>
      </c>
      <c r="I85" s="917">
        <f>IF(B74&gt;7,MAX(0,I80-I82),0)</f>
        <v>0</v>
      </c>
      <c r="J85" s="917">
        <f>IF(B74&gt;8,MAX(0,J80-J82),0)</f>
        <v>0</v>
      </c>
      <c r="K85" s="917">
        <f>IF(B74&gt;9,MAX(0,K80-K82),0)</f>
        <v>0</v>
      </c>
      <c r="L85" s="917">
        <f>IF($B$74&gt;10,MAX(0,L80-L82),0)</f>
        <v>0</v>
      </c>
      <c r="M85" s="917">
        <f>IF($B$74&gt;11,MAX(0,M80-M82),0)</f>
        <v>0</v>
      </c>
      <c r="N85" s="917">
        <f>IF($B$74&gt;12,MAX(0,N80-N82),0)</f>
        <v>0</v>
      </c>
      <c r="O85" s="917">
        <f>IF($B$74&gt;13,MAX(0,O80-O82),0)</f>
        <v>0</v>
      </c>
      <c r="P85" s="917">
        <f>IF($B$74&gt;14,MAX(0,P80-P82),0)</f>
        <v>0</v>
      </c>
      <c r="Q85" s="917">
        <f>IF($B$74&gt;15,MAX(0,Q80-Q82),0)</f>
        <v>0</v>
      </c>
      <c r="R85" s="917">
        <f>IF($B$74&gt;16,MAX(0,R80-R82),0)</f>
        <v>0</v>
      </c>
      <c r="S85" s="917">
        <f>IF($B$74&gt;17,MAX(0,S80-S82),0)</f>
        <v>0</v>
      </c>
      <c r="T85" s="917">
        <f>IF($B$74&gt;18,MAX(0,T80-T82),0)</f>
        <v>0</v>
      </c>
      <c r="U85" s="917">
        <f>IF($B$74&gt;19,MAX(0,U80-U82),0)</f>
        <v>0</v>
      </c>
      <c r="V85" s="917">
        <f>IF($B$74&gt;20,MAX(0,V80-V82),0)</f>
        <v>0</v>
      </c>
      <c r="W85" s="917">
        <f>IF($B$74&gt;21,MAX(0,W80-W82),0)</f>
        <v>0</v>
      </c>
      <c r="X85" s="917">
        <f>IF($B$74&gt;22,MAX(0,X80-X82),0)</f>
        <v>0</v>
      </c>
      <c r="Y85" s="917">
        <f>IF($B$74&gt;23,MAX(0,Y80-Y82),0)</f>
        <v>0</v>
      </c>
      <c r="AB85" s="898"/>
      <c r="AC85" s="923"/>
      <c r="AD85" s="923"/>
      <c r="AE85" s="923"/>
      <c r="AF85" s="923"/>
      <c r="AG85" s="923"/>
      <c r="AH85" s="899"/>
      <c r="AI85" s="899"/>
      <c r="AJ85" s="899"/>
      <c r="AK85" s="899"/>
      <c r="AL85" s="899"/>
      <c r="AM85" s="924" t="s">
        <v>1762</v>
      </c>
      <c r="AN85" s="925">
        <f>IF(ISERROR(ROUND(((MAX(AN71-(sheet11.Section44AD+sheet11.Section44ADA),0)*Sheet9.SurchargeOnTaxPayable)/AN71),0)),0,ROUND(((MAX(AN71-(sheet11.Section44AD+sheet11.Section44ADA),0)*Sheet9.SurchargeOnTaxPayable)/AN71),0))</f>
        <v>0</v>
      </c>
      <c r="AO85" s="926"/>
      <c r="AP85" s="926"/>
      <c r="AQ85" s="926"/>
      <c r="AR85" s="926"/>
      <c r="AS85" s="926"/>
      <c r="AT85" s="926"/>
      <c r="AU85" s="926"/>
      <c r="AV85" s="926"/>
      <c r="AW85" s="926"/>
      <c r="AX85" s="927"/>
      <c r="AY85" s="903"/>
    </row>
    <row r="86" spans="1:51" x14ac:dyDescent="0.2">
      <c r="AB86" s="898"/>
      <c r="AC86" s="923"/>
      <c r="AD86" s="923"/>
      <c r="AE86" s="923"/>
      <c r="AF86" s="923"/>
      <c r="AG86" s="923"/>
      <c r="AH86" s="899"/>
      <c r="AI86" s="899"/>
      <c r="AJ86" s="899"/>
      <c r="AK86" s="899"/>
      <c r="AL86" s="899"/>
      <c r="AM86" s="899"/>
      <c r="AN86" s="899"/>
      <c r="AO86" s="899"/>
      <c r="AP86" s="899"/>
      <c r="AQ86" s="899"/>
      <c r="AR86" s="899"/>
      <c r="AS86" s="899"/>
      <c r="AT86" s="899"/>
      <c r="AU86" s="899"/>
      <c r="AV86" s="899"/>
      <c r="AW86" s="899"/>
      <c r="AX86" s="899"/>
      <c r="AY86" s="903"/>
    </row>
    <row r="87" spans="1:51" ht="15" customHeight="1" x14ac:dyDescent="0.2">
      <c r="A87" s="872" t="s">
        <v>1834</v>
      </c>
      <c r="B87" s="576">
        <f>IF(B74=1,ROUND(B79,0),IF(B74=2,ROUND(C79,0),IF(B74=3,ROUND(D79,0),IF(B74=4,ROUND(E79,0),IF(B74=5,ROUND(F79,0),IF(B74=6,ROUND(G79,0),0))))))</f>
        <v>0</v>
      </c>
      <c r="AB87" s="898"/>
      <c r="AC87" s="923"/>
      <c r="AD87" s="923"/>
      <c r="AE87" s="923"/>
      <c r="AF87" s="923"/>
      <c r="AG87" s="923"/>
      <c r="AH87" s="899"/>
      <c r="AI87" s="899"/>
      <c r="AJ87" s="899"/>
      <c r="AK87" s="899"/>
      <c r="AL87" s="899"/>
      <c r="AM87" s="899"/>
      <c r="AN87" s="899"/>
      <c r="AO87" s="899"/>
      <c r="AP87" s="899"/>
      <c r="AQ87" s="899"/>
      <c r="AR87" s="899"/>
      <c r="AS87" s="899"/>
      <c r="AT87" s="899"/>
      <c r="AU87" s="899"/>
      <c r="AV87" s="899"/>
      <c r="AW87" s="899"/>
      <c r="AX87" s="899"/>
      <c r="AY87" s="903"/>
    </row>
    <row r="88" spans="1:51" ht="15" customHeight="1" x14ac:dyDescent="0.25">
      <c r="A88" s="872" t="s">
        <v>1835</v>
      </c>
      <c r="B88" s="576">
        <f>IF(B74=7,ROUND(H79,0),IF(B74=8,ROUND(I79,0),IF(B74=9,ROUND(J79,0),IF(B74=10,ROUND(K79,0),IF(B74=11,ROUND(L79,0),IF(B74=12,ROUND(M79,0),0))))))</f>
        <v>0</v>
      </c>
      <c r="AB88" s="898"/>
      <c r="AC88" s="3384" t="s">
        <v>706</v>
      </c>
      <c r="AD88" s="3384"/>
      <c r="AE88" s="3384"/>
      <c r="AF88" s="921"/>
      <c r="AG88" s="921">
        <f>IF(MID(sheet1.Status,1,1)&lt;&gt;"H",IF(MID(sheet1.ResidentialStatus1,1,3)&lt;&gt;"NRI",IF((Sheet8b.TotalIncome+DTAA_INCOME_CG+DTAA_Inc_OS)&lt;=500000,MIN(sheet9.TaxPayableOnTotInc,2000),0),0),0)</f>
        <v>0</v>
      </c>
      <c r="AH88" s="899"/>
      <c r="AI88" s="899"/>
      <c r="AJ88" s="899"/>
      <c r="AK88" s="899"/>
      <c r="AL88" s="899"/>
      <c r="AM88" s="899"/>
      <c r="AN88" s="899"/>
      <c r="AO88" s="899"/>
      <c r="AP88" s="899"/>
      <c r="AQ88" s="899"/>
      <c r="AR88" s="899"/>
      <c r="AS88" s="899"/>
      <c r="AT88" s="899"/>
      <c r="AU88" s="899"/>
      <c r="AV88" s="899"/>
      <c r="AW88" s="899"/>
      <c r="AX88" s="899"/>
      <c r="AY88" s="903"/>
    </row>
    <row r="89" spans="1:51" ht="15" customHeight="1" x14ac:dyDescent="0.25">
      <c r="A89" s="872" t="s">
        <v>1836</v>
      </c>
      <c r="B89" s="576">
        <f>IF(B74=13,ROUND(N79,0),IF(B74=14,ROUND(O79,0),IF(B74=15,ROUND(P79,0),IF(B74=16,ROUND(Q79,0),IF(B74=17,ROUND(R79,0),IF(B74=18,ROUND(S79,0),0))))))</f>
        <v>0</v>
      </c>
      <c r="AB89" s="898"/>
      <c r="AC89" s="3384" t="s">
        <v>708</v>
      </c>
      <c r="AD89" s="3384"/>
      <c r="AE89" s="3384"/>
      <c r="AF89" s="921"/>
      <c r="AG89" s="922">
        <f>AG84-AG88</f>
        <v>0</v>
      </c>
      <c r="AH89" s="899"/>
      <c r="AI89" s="899"/>
      <c r="AJ89" s="899"/>
      <c r="AK89" s="899"/>
      <c r="AL89" s="899"/>
      <c r="AM89" s="899"/>
      <c r="AN89" s="899"/>
      <c r="AO89" s="899"/>
      <c r="AP89" s="899"/>
      <c r="AQ89" s="899"/>
      <c r="AR89" s="899"/>
      <c r="AS89" s="899"/>
      <c r="AT89" s="899"/>
      <c r="AU89" s="899"/>
      <c r="AV89" s="899"/>
      <c r="AW89" s="899"/>
      <c r="AX89" s="899"/>
      <c r="AY89" s="903"/>
    </row>
    <row r="90" spans="1:51" ht="15" customHeight="1" x14ac:dyDescent="0.25">
      <c r="A90" s="872" t="s">
        <v>1837</v>
      </c>
      <c r="B90" s="576">
        <f>IF(B74=19,ROUND(T79,0),IF(B74=20,ROUND(U79,0),IF(B74=21,ROUND(V79,0),IF(B74=22,ROUND(W79,0),IF(B74=22,ROUND(W79,0),IF(B74=23,ROUND(X79,0),IF(B74=24,ROUND(Y79,0),0)))))))</f>
        <v>0</v>
      </c>
      <c r="AB90" s="898"/>
      <c r="AC90" s="3384" t="s">
        <v>710</v>
      </c>
      <c r="AD90" s="3384"/>
      <c r="AE90" s="3384"/>
      <c r="AF90" s="921"/>
      <c r="AG90" s="922">
        <f>AN85</f>
        <v>0</v>
      </c>
      <c r="AH90" s="899"/>
      <c r="AI90" s="899"/>
      <c r="AJ90" s="899"/>
      <c r="AK90" s="899"/>
      <c r="AL90" s="899"/>
      <c r="AM90" s="899"/>
      <c r="AN90" s="899"/>
      <c r="AO90" s="899"/>
      <c r="AP90" s="899"/>
      <c r="AQ90" s="899"/>
      <c r="AR90" s="899"/>
      <c r="AS90" s="899"/>
      <c r="AT90" s="899"/>
      <c r="AU90" s="899"/>
      <c r="AV90" s="899"/>
      <c r="AW90" s="899"/>
      <c r="AX90" s="899"/>
      <c r="AY90" s="903"/>
    </row>
    <row r="91" spans="1:51" ht="15" customHeight="1" x14ac:dyDescent="0.25">
      <c r="AB91" s="898"/>
      <c r="AC91" s="3384" t="s">
        <v>711</v>
      </c>
      <c r="AD91" s="3384"/>
      <c r="AE91" s="3384"/>
      <c r="AF91" s="921"/>
      <c r="AG91" s="921">
        <f>ROUND((AG89+AG90)*0.04,0)</f>
        <v>0</v>
      </c>
      <c r="AH91" s="899"/>
      <c r="AI91" s="899"/>
      <c r="AJ91" s="899"/>
      <c r="AK91" s="899"/>
      <c r="AL91" s="899"/>
      <c r="AM91" s="899"/>
      <c r="AN91" s="899"/>
      <c r="AO91" s="899"/>
      <c r="AP91" s="899"/>
      <c r="AQ91" s="899"/>
      <c r="AR91" s="899"/>
      <c r="AS91" s="899"/>
      <c r="AT91" s="899"/>
      <c r="AU91" s="899"/>
      <c r="AV91" s="899"/>
      <c r="AW91" s="899"/>
      <c r="AX91" s="899"/>
      <c r="AY91" s="903"/>
    </row>
    <row r="92" spans="1:51" ht="15" customHeight="1" x14ac:dyDescent="0.25">
      <c r="A92" s="892" t="s">
        <v>1838</v>
      </c>
      <c r="B92" s="928">
        <f>IF(B70&gt;=10000,MAX(B87,B88,B89,B90,0),0)</f>
        <v>0</v>
      </c>
      <c r="AB92" s="898"/>
      <c r="AC92" s="3384" t="s">
        <v>713</v>
      </c>
      <c r="AD92" s="3384"/>
      <c r="AE92" s="3384"/>
      <c r="AF92" s="921"/>
      <c r="AG92" s="922">
        <f>AG89+AG90+AG91</f>
        <v>0</v>
      </c>
      <c r="AH92" s="899"/>
      <c r="AI92" s="899"/>
      <c r="AJ92" s="899"/>
      <c r="AK92" s="899"/>
      <c r="AL92" s="899"/>
      <c r="AM92" s="899"/>
      <c r="AN92" s="899"/>
      <c r="AO92" s="899"/>
      <c r="AP92" s="899"/>
      <c r="AQ92" s="899"/>
      <c r="AR92" s="899"/>
      <c r="AS92" s="899"/>
      <c r="AT92" s="899"/>
      <c r="AU92" s="899"/>
      <c r="AV92" s="899"/>
      <c r="AW92" s="899"/>
      <c r="AX92" s="899"/>
      <c r="AY92" s="903"/>
    </row>
    <row r="93" spans="1:51" ht="15" customHeight="1" x14ac:dyDescent="0.25">
      <c r="AB93" s="898"/>
      <c r="AC93" s="3384" t="s">
        <v>715</v>
      </c>
      <c r="AD93" s="3384"/>
      <c r="AE93" s="3384"/>
      <c r="AF93" s="921"/>
      <c r="AG93" s="922">
        <f>MAX(AG92,sheet9.TotalTax_DI)</f>
        <v>0</v>
      </c>
      <c r="AH93" s="899"/>
      <c r="AI93" s="899"/>
      <c r="AJ93" s="899"/>
      <c r="AK93" s="899"/>
      <c r="AL93" s="899"/>
      <c r="AM93" s="899"/>
      <c r="AN93" s="899"/>
      <c r="AO93" s="899"/>
      <c r="AP93" s="899"/>
      <c r="AQ93" s="899"/>
      <c r="AR93" s="899"/>
      <c r="AS93" s="899"/>
      <c r="AT93" s="899"/>
      <c r="AU93" s="899"/>
      <c r="AV93" s="899"/>
      <c r="AW93" s="899"/>
      <c r="AX93" s="899"/>
      <c r="AY93" s="903"/>
    </row>
    <row r="94" spans="1:51" ht="29.25" customHeight="1" x14ac:dyDescent="0.25">
      <c r="A94" s="906" t="s">
        <v>1839</v>
      </c>
      <c r="B94" s="908"/>
      <c r="C94" s="929"/>
      <c r="D94" s="929"/>
      <c r="E94" s="929"/>
      <c r="F94" s="929"/>
      <c r="G94" s="929"/>
      <c r="H94" s="929"/>
      <c r="I94" s="929"/>
      <c r="N94" s="1595" t="s">
        <v>13247</v>
      </c>
      <c r="AB94" s="898"/>
      <c r="AC94" s="3384" t="s">
        <v>716</v>
      </c>
      <c r="AD94" s="3384"/>
      <c r="AE94" s="3384"/>
      <c r="AF94" s="921"/>
      <c r="AG94" s="921">
        <f>IF(AG92 &lt;= sheet9.TotalTax_DI,0,AMTC.TaxSection115JD)</f>
        <v>0</v>
      </c>
      <c r="AH94" s="899"/>
      <c r="AI94" s="899"/>
      <c r="AJ94" s="899"/>
      <c r="AK94" s="899"/>
      <c r="AL94" s="899"/>
      <c r="AM94" s="899"/>
      <c r="AN94" s="899"/>
      <c r="AO94" s="899"/>
      <c r="AP94" s="899"/>
      <c r="AQ94" s="899"/>
      <c r="AR94" s="899"/>
      <c r="AS94" s="899"/>
      <c r="AT94" s="899"/>
      <c r="AU94" s="899"/>
      <c r="AV94" s="899"/>
      <c r="AW94" s="899"/>
      <c r="AX94" s="899"/>
      <c r="AY94" s="903"/>
    </row>
    <row r="95" spans="1:51" ht="15" customHeight="1" x14ac:dyDescent="0.25">
      <c r="D95" s="872" t="s">
        <v>1845</v>
      </c>
      <c r="E95" s="576">
        <f>os.WinLottRacePuzz</f>
        <v>0</v>
      </c>
      <c r="M95" s="1042" t="s">
        <v>13243</v>
      </c>
      <c r="N95" s="1042">
        <f>sheet1.DOC</f>
        <v>0</v>
      </c>
      <c r="O95" s="2588" t="s">
        <v>13248</v>
      </c>
      <c r="P95" s="2588" t="b">
        <f>IF(N96&lt;2021,TRUE,IF(AND(N96=2021,N97&lt;6),TRUE,IF(AND(N97=6,N98&lt;=15),TRUE,FALSE)))</f>
        <v>1</v>
      </c>
      <c r="Q95" s="873">
        <f>busipofincl.IncOfCurYrAfterSetOffBFLosses2+busipofinclspec.IncOfCurYrAfterSetOffBFLosses2a+busipofinclspecified.IncOfCurYrAfterSetOffBFLosses2b</f>
        <v>0</v>
      </c>
      <c r="AB95" s="898"/>
      <c r="AC95" s="3384" t="s">
        <v>717</v>
      </c>
      <c r="AD95" s="3384"/>
      <c r="AE95" s="3384"/>
      <c r="AF95" s="921"/>
      <c r="AG95" s="922">
        <f>MAX(0,AG93-AG94)</f>
        <v>0</v>
      </c>
      <c r="AH95" s="899"/>
      <c r="AI95" s="899"/>
      <c r="AJ95" s="899"/>
      <c r="AK95" s="899"/>
      <c r="AL95" s="899"/>
      <c r="AM95" s="899"/>
      <c r="AN95" s="899"/>
      <c r="AO95" s="899"/>
      <c r="AP95" s="899"/>
      <c r="AQ95" s="899"/>
      <c r="AR95" s="899"/>
      <c r="AS95" s="899"/>
      <c r="AT95" s="899"/>
      <c r="AU95" s="899"/>
      <c r="AV95" s="899"/>
      <c r="AW95" s="899"/>
      <c r="AX95" s="899"/>
      <c r="AY95" s="903"/>
    </row>
    <row r="96" spans="1:51" ht="15" customHeight="1" x14ac:dyDescent="0.25">
      <c r="A96" s="872" t="s">
        <v>1840</v>
      </c>
      <c r="B96" s="577">
        <f>SUM(E96:E100)</f>
        <v>0</v>
      </c>
      <c r="D96" s="872" t="s">
        <v>1750</v>
      </c>
      <c r="E96" s="577">
        <f>BFLAtemp10SecPro+BFLAtemp10Sec115ACA1+BFLAtemp10Sec115Eb+BFLAtemp10Sec1121c2+BFLAtemp10Sec115AC1+BFLAtemp10Sec115AD3+BFLAtempPTI10+BFLAtempPTI10_112+BFLAtemp10Sec115AD3_Proviso+BFLAtemp10Sec112A</f>
        <v>0</v>
      </c>
      <c r="M96" s="1042" t="s">
        <v>13244</v>
      </c>
      <c r="N96" s="1042">
        <f>IF(ISERROR(VALUE(MID(N95,7,4))),VALUE(2021),VALUE(MID(N95,7,4)))</f>
        <v>2021</v>
      </c>
      <c r="O96" s="2588" t="s">
        <v>13249</v>
      </c>
      <c r="P96" s="2588" t="b">
        <f>IF(N96&lt;2021,TRUE,IF(AND(N96=2021,N97&lt;9),TRUE,IF(AND(N97=9,N98&lt;=15),TRUE,FALSE)))</f>
        <v>1</v>
      </c>
      <c r="AB96" s="898"/>
      <c r="AC96" s="3384" t="s">
        <v>718</v>
      </c>
      <c r="AD96" s="3384"/>
      <c r="AE96" s="3384"/>
      <c r="AF96" s="3384"/>
      <c r="AG96" s="3384"/>
      <c r="AH96" s="899"/>
      <c r="AI96" s="899"/>
      <c r="AJ96" s="899"/>
      <c r="AK96" s="899"/>
      <c r="AL96" s="899"/>
      <c r="AM96" s="899"/>
      <c r="AN96" s="899"/>
      <c r="AO96" s="899"/>
      <c r="AP96" s="899"/>
      <c r="AQ96" s="899"/>
      <c r="AR96" s="899"/>
      <c r="AS96" s="899"/>
      <c r="AT96" s="899"/>
      <c r="AU96" s="899"/>
      <c r="AV96" s="899"/>
      <c r="AW96" s="899"/>
      <c r="AX96" s="899"/>
      <c r="AY96" s="903"/>
    </row>
    <row r="97" spans="1:51" ht="15" customHeight="1" x14ac:dyDescent="0.25">
      <c r="A97" s="872" t="s">
        <v>1841</v>
      </c>
      <c r="B97" s="576">
        <f>SUM(SI.SplRateInc)-E96-E97-E98-E99</f>
        <v>0</v>
      </c>
      <c r="D97" s="872" t="s">
        <v>1751</v>
      </c>
      <c r="E97" s="577">
        <f>BFLAtemp15Sec111a+BFLAtemp15Sec115ad1bii+BFLAtempPTI15</f>
        <v>0</v>
      </c>
      <c r="M97" s="1042" t="s">
        <v>13245</v>
      </c>
      <c r="N97" s="1042">
        <f>IF(ISERROR(VALUE(MID(N95,4,2))),VALUE(4),VALUE(MID(N95,4,2)))</f>
        <v>4</v>
      </c>
      <c r="O97" s="2588" t="s">
        <v>13250</v>
      </c>
      <c r="P97" s="2588" t="b">
        <f>IF(N96&lt;2021,TRUE,IF(AND(N96=2021,N97&lt;12),TRUE,IF(AND(N97=12,N98&lt;=15),TRUE,FALSE)))</f>
        <v>1</v>
      </c>
      <c r="R97" s="2589"/>
      <c r="AB97" s="898"/>
      <c r="AC97" s="919" t="s">
        <v>27</v>
      </c>
      <c r="AD97" s="3384" t="s">
        <v>719</v>
      </c>
      <c r="AE97" s="3384"/>
      <c r="AF97" s="576"/>
      <c r="AG97" s="920">
        <f>Sheet9.Section89</f>
        <v>0</v>
      </c>
      <c r="AH97" s="899"/>
      <c r="AI97" s="899"/>
      <c r="AJ97" s="899"/>
      <c r="AK97" s="899"/>
      <c r="AL97" s="899"/>
      <c r="AM97" s="899"/>
      <c r="AN97" s="899"/>
      <c r="AO97" s="899"/>
      <c r="AP97" s="899"/>
      <c r="AQ97" s="899"/>
      <c r="AR97" s="899"/>
      <c r="AS97" s="899"/>
      <c r="AT97" s="899"/>
      <c r="AU97" s="899"/>
      <c r="AV97" s="899"/>
      <c r="AW97" s="899"/>
      <c r="AX97" s="899"/>
      <c r="AY97" s="903"/>
    </row>
    <row r="98" spans="1:51" ht="15" customHeight="1" x14ac:dyDescent="0.25">
      <c r="A98" s="872" t="s">
        <v>1666</v>
      </c>
      <c r="B98" s="576">
        <f>Sheet8b.TotalIncome</f>
        <v>0</v>
      </c>
      <c r="D98" s="872" t="s">
        <v>1752</v>
      </c>
      <c r="E98" s="577">
        <f>BFLAtemp20Sec112+BFLAtemp20Sec11EA+BFLAtempPTI20</f>
        <v>0</v>
      </c>
      <c r="M98" s="1042" t="s">
        <v>13246</v>
      </c>
      <c r="N98" s="1042">
        <f>IF(ISERROR(VALUE(MID(N95,1,2))),VALUE(1),VALUE(MID(N95,1,2)))</f>
        <v>0</v>
      </c>
      <c r="O98" s="2588" t="s">
        <v>13251</v>
      </c>
      <c r="P98" s="2588" t="b">
        <f>IF(N96&lt;2022,TRUE,IF(AND(N96=2022,N97&lt;3),TRUE,IF(AND(N97=3,N98&lt;=15),TRUE,FALSE)))</f>
        <v>1</v>
      </c>
      <c r="Q98" s="2589"/>
      <c r="R98" s="2589"/>
      <c r="AB98" s="898"/>
      <c r="AC98" s="919" t="s">
        <v>28</v>
      </c>
      <c r="AD98" s="3384" t="s">
        <v>720</v>
      </c>
      <c r="AE98" s="3384"/>
      <c r="AF98" s="576"/>
      <c r="AG98" s="920">
        <f>TR_TaxReliefOutsideIndiaDTAA</f>
        <v>0</v>
      </c>
      <c r="AH98" s="899"/>
      <c r="AI98" s="899"/>
      <c r="AJ98" s="899"/>
      <c r="AK98" s="899"/>
      <c r="AL98" s="899"/>
      <c r="AM98" s="899"/>
      <c r="AN98" s="899"/>
      <c r="AO98" s="899"/>
      <c r="AP98" s="899"/>
      <c r="AQ98" s="899"/>
      <c r="AR98" s="899"/>
      <c r="AS98" s="899"/>
      <c r="AT98" s="899"/>
      <c r="AU98" s="899"/>
      <c r="AV98" s="899"/>
      <c r="AW98" s="899"/>
      <c r="AX98" s="899"/>
      <c r="AY98" s="903"/>
    </row>
    <row r="99" spans="1:51" ht="15" customHeight="1" x14ac:dyDescent="0.25">
      <c r="A99" s="872" t="s">
        <v>1842</v>
      </c>
      <c r="B99" s="576" t="b">
        <f>IF(Sheet9.SurchargeOnTaxPayable&gt;0,IF(Sheet9.SurchargeOnTaxPayable&lt;&gt;(sheet9.GrossTaxPayable*0.1),TRUE,FALSE),FALSE)</f>
        <v>0</v>
      </c>
      <c r="D99" s="872" t="s">
        <v>1753</v>
      </c>
      <c r="E99" s="577">
        <f>stcg.IncOfCurYrAfterSetOffBFLosses3a</f>
        <v>0</v>
      </c>
      <c r="O99" s="2588" t="s">
        <v>13252</v>
      </c>
      <c r="P99" s="2588" t="b">
        <f>IF(OR(P95,P96,P97,P98),TRUE,IF(N96&lt;2022,TRUE,IF(AND(N96=2022,N97&lt;3),TRUE,IF(AND(N97=3,N98&gt;15),TRUE,FALSE))))</f>
        <v>1</v>
      </c>
      <c r="AB99" s="898"/>
      <c r="AC99" s="919" t="s">
        <v>29</v>
      </c>
      <c r="AD99" s="3384" t="s">
        <v>721</v>
      </c>
      <c r="AE99" s="3384"/>
      <c r="AF99" s="576"/>
      <c r="AG99" s="920">
        <f>TR_TaxReliefOutsideIndiaNotDTAA</f>
        <v>0</v>
      </c>
      <c r="AH99" s="899"/>
      <c r="AI99" s="899"/>
      <c r="AJ99" s="899"/>
      <c r="AK99" s="899"/>
      <c r="AL99" s="899"/>
      <c r="AM99" s="899"/>
      <c r="AN99" s="899"/>
      <c r="AO99" s="899"/>
      <c r="AP99" s="899"/>
      <c r="AQ99" s="899"/>
      <c r="AR99" s="899"/>
      <c r="AS99" s="899"/>
      <c r="AT99" s="899"/>
      <c r="AU99" s="899"/>
      <c r="AV99" s="899"/>
      <c r="AW99" s="899"/>
      <c r="AX99" s="899"/>
      <c r="AY99" s="903"/>
    </row>
    <row r="100" spans="1:51" ht="15" customHeight="1" x14ac:dyDescent="0.25">
      <c r="A100" s="872" t="s">
        <v>1843</v>
      </c>
      <c r="B100" s="577">
        <f>MAX(0,IF(NOT(C254),Sheet8b.GrossTotalIncome-B96-B97-Sheet8b.DeductionsUnderScheduleVIA-Sheet8b.DeductionsUnder10Aor10AA+IF(sheet9.RebateOnAgriInc&gt;0,Sheet8b.NetAgricultureIncomeOrOtherIncomeForRate,0),Sheet8b.GrossTotalIncome-B96-B97-Sheet8b.DeductionsUnderScheduleVIA-Sheet8b.DeductionsUnder10Aor10AA+IF(sheet9.RebateOnAgriInc&gt;0,Sheet8b.NetAgricultureIncomeOrOtherIncomeForRate,0)-(sheet11.Section44AD+sheet11.Section44ADA)))</f>
        <v>0</v>
      </c>
      <c r="C100" s="873">
        <f>MAX(0,IF(NOT(C254),-Sheet8b.GrossTotalIncome+B96+B97+Sheet8b.DeductionsUnderScheduleVIA+Sheet8b.DeductionsUnder10Aor10AA-IF(sheet9.RebateOnAgriInc&gt;0,Sheet8b.NetAgricultureIncomeOrOtherIncomeForRate,0),-Sheet8b.GrossTotalIncome+B96+B97+Sheet8b.DeductionsUnderScheduleVIA+Sheet8b.DeductionsUnder10Aor10AA-IF(sheet9.RebateOnAgriInc&gt;0,Sheet8b.NetAgricultureIncomeOrOtherIncomeForRate,0)+(sheet11.Section44AD+sheet11.Section44ADA)))</f>
        <v>0</v>
      </c>
      <c r="D100" s="872" t="s">
        <v>1846</v>
      </c>
      <c r="E100" s="576">
        <f>stcg.IncOfCurYrAfterSetOffBFLosses3b</f>
        <v>0</v>
      </c>
      <c r="AB100" s="898"/>
      <c r="AC100" s="919" t="s">
        <v>36</v>
      </c>
      <c r="AD100" s="3384" t="s">
        <v>722</v>
      </c>
      <c r="AE100" s="3384"/>
      <c r="AF100" s="921"/>
      <c r="AG100" s="922">
        <f>SUM(AG97:AG99)</f>
        <v>0</v>
      </c>
      <c r="AH100" s="899"/>
      <c r="AI100" s="899"/>
      <c r="AJ100" s="899"/>
      <c r="AK100" s="899"/>
      <c r="AL100" s="899"/>
      <c r="AM100" s="899"/>
      <c r="AN100" s="899"/>
      <c r="AO100" s="899"/>
      <c r="AP100" s="899"/>
      <c r="AQ100" s="899"/>
      <c r="AR100" s="899"/>
      <c r="AS100" s="899"/>
      <c r="AT100" s="899"/>
      <c r="AU100" s="899"/>
      <c r="AV100" s="899"/>
      <c r="AW100" s="899"/>
      <c r="AX100" s="899"/>
      <c r="AY100" s="903"/>
    </row>
    <row r="101" spans="1:51" ht="15" x14ac:dyDescent="0.25">
      <c r="A101" s="872" t="s">
        <v>1844</v>
      </c>
      <c r="B101" s="577">
        <f>exemption-E101-E102-E103-E104</f>
        <v>0</v>
      </c>
      <c r="D101" s="872" t="s">
        <v>1755</v>
      </c>
      <c r="E101" s="577">
        <f>SUM(splRateInc22,'SPI - SI - IF'!G23,-taxableInc22,-'SPI - SI - IF'!H23,'SPI - SI - IF'!G62,-'SPI - SI - IF'!H62)</f>
        <v>0</v>
      </c>
      <c r="AB101" s="898"/>
      <c r="AC101" s="3384" t="s">
        <v>6522</v>
      </c>
      <c r="AD101" s="3384"/>
      <c r="AE101" s="3384"/>
      <c r="AF101" s="576"/>
      <c r="AG101" s="930">
        <f>MAX(AG95-AG100,0)</f>
        <v>0</v>
      </c>
      <c r="AH101" s="899"/>
      <c r="AI101" s="899"/>
      <c r="AJ101" s="899"/>
      <c r="AK101" s="899"/>
      <c r="AL101" s="899"/>
      <c r="AM101" s="899"/>
      <c r="AN101" s="899"/>
      <c r="AO101" s="899"/>
      <c r="AP101" s="899"/>
      <c r="AQ101" s="899"/>
      <c r="AR101" s="899"/>
      <c r="AS101" s="899"/>
      <c r="AT101" s="899"/>
      <c r="AU101" s="899"/>
      <c r="AV101" s="899"/>
      <c r="AW101" s="899"/>
      <c r="AX101" s="899"/>
      <c r="AY101" s="903"/>
    </row>
    <row r="102" spans="1:51" x14ac:dyDescent="0.2">
      <c r="A102" s="576"/>
      <c r="B102" s="576"/>
      <c r="D102" s="872" t="s">
        <v>1756</v>
      </c>
      <c r="E102" s="577">
        <f>(splRateInc1A-taxableInc1A)</f>
        <v>0</v>
      </c>
      <c r="AB102" s="924"/>
      <c r="AC102" s="926"/>
      <c r="AD102" s="926"/>
      <c r="AE102" s="926"/>
      <c r="AF102" s="926"/>
      <c r="AG102" s="926"/>
      <c r="AH102" s="926"/>
      <c r="AI102" s="926"/>
      <c r="AJ102" s="926"/>
      <c r="AK102" s="926"/>
      <c r="AL102" s="926"/>
      <c r="AM102" s="926"/>
      <c r="AN102" s="926"/>
      <c r="AO102" s="926"/>
      <c r="AP102" s="926"/>
      <c r="AQ102" s="926"/>
      <c r="AR102" s="926"/>
      <c r="AS102" s="926"/>
      <c r="AT102" s="926"/>
      <c r="AU102" s="926"/>
      <c r="AV102" s="926"/>
      <c r="AW102" s="926"/>
      <c r="AX102" s="926"/>
      <c r="AY102" s="927"/>
    </row>
    <row r="103" spans="1:51" x14ac:dyDescent="0.2">
      <c r="A103" s="872" t="s">
        <v>1749</v>
      </c>
      <c r="B103" s="576">
        <f>exemption</f>
        <v>0</v>
      </c>
      <c r="D103" s="1201" t="s">
        <v>1757</v>
      </c>
      <c r="E103" s="1202">
        <f>(splRateInc21-taxableInc21)</f>
        <v>0</v>
      </c>
    </row>
    <row r="104" spans="1:51" ht="12.75" customHeight="1" x14ac:dyDescent="0.2">
      <c r="D104" s="872" t="s">
        <v>1847</v>
      </c>
      <c r="E104" s="576">
        <f>splRateInc115BB-taxableInc115BB</f>
        <v>0</v>
      </c>
    </row>
    <row r="105" spans="1:51" x14ac:dyDescent="0.2">
      <c r="D105" s="1571" t="s">
        <v>13253</v>
      </c>
      <c r="E105" s="577">
        <f>busipofincl.IncOfCurYrAfterSetOffBFLosses2+busipofinclspec.IncOfCurYrAfterSetOffBFLosses2a+busipofinclspecified.IncOfCurYrAfterSetOffBFLosses2b</f>
        <v>0</v>
      </c>
    </row>
    <row r="106" spans="1:51" x14ac:dyDescent="0.2">
      <c r="D106" s="887"/>
      <c r="E106" s="887"/>
    </row>
    <row r="107" spans="1:51" x14ac:dyDescent="0.2">
      <c r="A107" s="931" t="s">
        <v>1848</v>
      </c>
      <c r="B107" s="932"/>
    </row>
    <row r="108" spans="1:51" x14ac:dyDescent="0.2">
      <c r="A108" s="872" t="s">
        <v>1849</v>
      </c>
      <c r="B108" s="576">
        <f>MAX(0,IF(normalBalIncm&gt;exemption,(normalBalIncm-exemption),0))</f>
        <v>0</v>
      </c>
      <c r="E108" s="914" t="s">
        <v>7675</v>
      </c>
    </row>
    <row r="109" spans="1:51" x14ac:dyDescent="0.2">
      <c r="A109" s="872" t="s">
        <v>1850</v>
      </c>
      <c r="B109" s="576">
        <f>IF(normalBalIncm&gt;exemption,0,exemption-normalBalIncm)</f>
        <v>0</v>
      </c>
      <c r="D109" s="933" t="s">
        <v>1851</v>
      </c>
      <c r="E109" s="576" t="s">
        <v>1852</v>
      </c>
      <c r="F109" s="576">
        <f>SUM(D117:D121,IncomeAftrExemp)</f>
        <v>0</v>
      </c>
      <c r="G109" s="933" t="s">
        <v>1853</v>
      </c>
      <c r="H109" s="576" t="s">
        <v>1854</v>
      </c>
      <c r="I109" s="576">
        <f>SUM(D117:D120,IncomeAftrExemp)</f>
        <v>0</v>
      </c>
    </row>
    <row r="110" spans="1:51" x14ac:dyDescent="0.2">
      <c r="E110" s="576" t="s">
        <v>1855</v>
      </c>
      <c r="F110" s="576">
        <f>IF(bacValue=1,calcTaxPayableOnTINTR(F109+$B$103)-H120,calculateSlabbedTax(F109+$B$103)-H120)</f>
        <v>0</v>
      </c>
      <c r="H110" s="576" t="s">
        <v>1855</v>
      </c>
      <c r="I110" s="576">
        <f>calculateSlabbedTax(I109+$B$103)-H120</f>
        <v>0</v>
      </c>
    </row>
    <row r="111" spans="1:51" x14ac:dyDescent="0.2">
      <c r="E111" s="934" t="s">
        <v>1856</v>
      </c>
      <c r="F111" s="934">
        <f>IF(Sheet9.SurchargeOnTaxPayable&gt;0,IF(MarginalRelief,(Sheet9.SurchargeOnTaxPayable*(F110/Sheet9.BalTaxPayable)),F110*0.15),0)</f>
        <v>0</v>
      </c>
      <c r="H111" s="934" t="s">
        <v>1856</v>
      </c>
      <c r="I111" s="934">
        <f>IF(Sheet9.SurchargeOnTaxPayable&gt;0,IF(MarginalRelief,(Sheet9.SurchargeOnTaxPayable*(I110/Sheet9.BalTaxPayable)),I110*0.15),0)</f>
        <v>0</v>
      </c>
    </row>
    <row r="112" spans="1:51" x14ac:dyDescent="0.2">
      <c r="A112" s="881" t="s">
        <v>7676</v>
      </c>
      <c r="B112" s="576">
        <f>F110</f>
        <v>0</v>
      </c>
      <c r="E112" s="934" t="s">
        <v>1857</v>
      </c>
      <c r="F112" s="934">
        <f>(F110+F111)*0.04</f>
        <v>0</v>
      </c>
      <c r="H112" s="934" t="s">
        <v>1857</v>
      </c>
      <c r="I112" s="934">
        <f>(I110+I111)*0.04</f>
        <v>0</v>
      </c>
    </row>
    <row r="113" spans="1:12" ht="15" x14ac:dyDescent="0.25">
      <c r="A113" s="3384" t="s">
        <v>6528</v>
      </c>
      <c r="B113" s="3384"/>
      <c r="E113" s="934" t="s">
        <v>1858</v>
      </c>
      <c r="F113" s="934">
        <f>SUM(F110:F112)</f>
        <v>0</v>
      </c>
      <c r="H113" s="934" t="s">
        <v>1858</v>
      </c>
      <c r="I113" s="934">
        <f>SUM(I110:I112)</f>
        <v>0</v>
      </c>
    </row>
    <row r="114" spans="1:12" x14ac:dyDescent="0.2">
      <c r="A114" s="934" t="s">
        <v>6526</v>
      </c>
      <c r="B114" s="934">
        <f>IF(E68,AN85,Sheet9.SurchargeOnTaxPayable)</f>
        <v>0</v>
      </c>
    </row>
    <row r="115" spans="1:12" x14ac:dyDescent="0.2">
      <c r="A115" s="935" t="s">
        <v>6527</v>
      </c>
      <c r="B115" s="877">
        <f>IF(IF(E68,AG89,Sheet9.BalTaxPayable)=0,1,IF(E68,AG89,Sheet9.BalTaxPayable))</f>
        <v>1</v>
      </c>
    </row>
    <row r="116" spans="1:12" ht="25.5" x14ac:dyDescent="0.2">
      <c r="A116" s="423" t="s">
        <v>1859</v>
      </c>
      <c r="B116" s="936" t="s">
        <v>1860</v>
      </c>
      <c r="C116" s="937" t="s">
        <v>1861</v>
      </c>
      <c r="D116" s="938" t="s">
        <v>1862</v>
      </c>
      <c r="E116" s="938" t="s">
        <v>1863</v>
      </c>
      <c r="F116" s="938" t="s">
        <v>1864</v>
      </c>
      <c r="G116" s="938" t="s">
        <v>1865</v>
      </c>
      <c r="H116" s="937" t="s">
        <v>1866</v>
      </c>
      <c r="I116" s="937" t="s">
        <v>7677</v>
      </c>
      <c r="J116" s="939" t="s">
        <v>1856</v>
      </c>
      <c r="K116" s="939" t="s">
        <v>1867</v>
      </c>
      <c r="L116" s="939" t="s">
        <v>1868</v>
      </c>
    </row>
    <row r="117" spans="1:12" x14ac:dyDescent="0.2">
      <c r="A117" s="917" t="s">
        <v>7674</v>
      </c>
      <c r="B117" s="917">
        <f>AccSTCGOTH.Upto15Of6</f>
        <v>0</v>
      </c>
      <c r="C117" s="917">
        <f>B117-D117</f>
        <v>0</v>
      </c>
      <c r="D117" s="917">
        <f>applyExemption($B$109,1,$B$117:$B$121)</f>
        <v>0</v>
      </c>
      <c r="E117" s="917">
        <f>D117</f>
        <v>0</v>
      </c>
      <c r="F117" s="917">
        <f>IF(P95,IncomeAftrExemp-MAX(0,tempBBDA-BBDA.Upto15Of6)-MAX(0,IncD_qTotOS1-IncD_q1OS1),MAX(0,IncomeAftrExemp-MAX(0,tempBBDA-BBDA.Upto15Of6)--MAX(0,IncD_qTotOS1-IncD_q1OS1)-Q95))</f>
        <v>0</v>
      </c>
      <c r="G117" s="917">
        <f>E117+F117</f>
        <v>0</v>
      </c>
      <c r="H117" s="917">
        <f>IF(bacValue=1,MAX(0,calcTaxPayableOnTINTR(G117+$B$103)),MAX(0,calculateSlabbedTax(G117+$B$103)))</f>
        <v>0</v>
      </c>
      <c r="I117" s="917">
        <f>MAX(H117-sheet9.RebateOnAgriInc,0)</f>
        <v>0</v>
      </c>
      <c r="J117" s="934">
        <f>IF(SurchargeUsed44AD&gt;0,IF(MarginalRelief,(SurchargeUsed44AD*(I117/BalTaxPay44AD)),I117*0.15),0)</f>
        <v>0</v>
      </c>
      <c r="K117" s="934">
        <f>(I117+J117)*0.04</f>
        <v>0</v>
      </c>
      <c r="L117" s="934">
        <f>I117+J117+K117</f>
        <v>0</v>
      </c>
    </row>
    <row r="118" spans="1:12" x14ac:dyDescent="0.2">
      <c r="A118" s="917" t="s">
        <v>1869</v>
      </c>
      <c r="B118" s="917">
        <f>AccSTCGOTH.Upto15Of9</f>
        <v>0</v>
      </c>
      <c r="C118" s="917">
        <f>B118-D118</f>
        <v>0</v>
      </c>
      <c r="D118" s="917">
        <f>applyExemption($B$109,2,$B$117:$B$121)</f>
        <v>0</v>
      </c>
      <c r="E118" s="917">
        <f>D118+E117</f>
        <v>0</v>
      </c>
      <c r="F118" s="917">
        <f>IF(P96,IncomeAftrExemp-MAX(0,tempBBDA-BBDA.Upto15Of6-BBDA.Upto15Of9)-MAX(0,IncD_qTotOS1-IncD_q1OS1-IncD_q2OS1),MAX(0,IncomeAftrExemp-MAX(0,tempBBDA-BBDA.Upto15Of6-BBDA.Upto15Of9)-MAX(0,IncD_qTotOS1-IncD_q1OS1-IncD_q2OS1)-Q95))</f>
        <v>0</v>
      </c>
      <c r="G118" s="917">
        <f>E118+F118</f>
        <v>0</v>
      </c>
      <c r="H118" s="917">
        <f>IF(bacValue=1,MAX(0,calcTaxPayableOnTINTR(G118+$B$103)),MAX(0,calculateSlabbedTax(G118+$B$103)))</f>
        <v>0</v>
      </c>
      <c r="I118" s="917">
        <f>MAX(H118-sheet9.RebateOnAgriInc,0)</f>
        <v>0</v>
      </c>
      <c r="J118" s="934">
        <f>IF(SurchargeUsed44AD&gt;0,IF(MarginalRelief,(SurchargeUsed44AD*(I118/BalTaxPay44AD)),I118*0.15),0)</f>
        <v>0</v>
      </c>
      <c r="K118" s="934">
        <f>(I118+J118)*0.04</f>
        <v>0</v>
      </c>
      <c r="L118" s="934">
        <f>I118+J118+K118</f>
        <v>0</v>
      </c>
    </row>
    <row r="119" spans="1:12" x14ac:dyDescent="0.2">
      <c r="A119" s="917" t="s">
        <v>1870</v>
      </c>
      <c r="B119" s="917">
        <f>AccSTCGOTH.Up16Of9To15Of12</f>
        <v>0</v>
      </c>
      <c r="C119" s="917">
        <f>B119-D119</f>
        <v>0</v>
      </c>
      <c r="D119" s="917">
        <f>applyExemption($B$109,3,$B$117:$B$121)</f>
        <v>0</v>
      </c>
      <c r="E119" s="917">
        <f>D119+E118</f>
        <v>0</v>
      </c>
      <c r="F119" s="917">
        <f>IF(P97,IncomeAftrExemp-MAX(0,tempBBDA-BBDA.Upto15Of6-BBDA.Upto15Of9-BBDA.Up16Of9To15Of12)-MAX(0,IncD_qTotOS1-IncD_q1OS1-IncD_q2OS1-IncD_q3OS1),MAX(0,IncomeAftrExemp-MAX(0,tempBBDA-BBDA.Upto15Of6-BBDA.Upto15Of9-BBDA.Up16Of9To15Of12)-MAX(0,IncD_qTotOS1-IncD_q1OS1-IncD_q2OS1-IncD_q3OS1)-Q95))</f>
        <v>0</v>
      </c>
      <c r="G119" s="917">
        <f>E119+F119</f>
        <v>0</v>
      </c>
      <c r="H119" s="917">
        <f>IF(bacValue=1,MAX(0,calcTaxPayableOnTINTR(G119+$B$103)),MAX(0,calculateSlabbedTax(G119+$B$103)))</f>
        <v>0</v>
      </c>
      <c r="I119" s="917">
        <f>MAX(H119-sheet9.RebateOnAgriInc,0)</f>
        <v>0</v>
      </c>
      <c r="J119" s="934">
        <f>IF(SurchargeUsed44AD&gt;0,IF(MarginalRelief,(SurchargeUsed44AD*(I119/BalTaxPay44AD)),I119*0.15),0)</f>
        <v>0</v>
      </c>
      <c r="K119" s="934">
        <f>(I119+J119)*0.04</f>
        <v>0</v>
      </c>
      <c r="L119" s="934">
        <f>I119+J119+K119</f>
        <v>0</v>
      </c>
    </row>
    <row r="120" spans="1:12" x14ac:dyDescent="0.2">
      <c r="A120" s="917" t="s">
        <v>1871</v>
      </c>
      <c r="B120" s="917">
        <f>AccSTCGOTH.Up16Of12To15Of3+ IF(NOT(IS44AD),0,(MAX(0,sheet11.Section44AD+sheet11.Section44ADA-Net44AD)))</f>
        <v>0</v>
      </c>
      <c r="C120" s="917">
        <f>B120-D120</f>
        <v>0</v>
      </c>
      <c r="D120" s="917">
        <f>applyExemption($B$109,4,$B$117:$B$121)</f>
        <v>0</v>
      </c>
      <c r="E120" s="917">
        <f>D120+E119</f>
        <v>0</v>
      </c>
      <c r="F120" s="917">
        <f>IF(P98,IncomeAftrExemp-MAX(0,tempBBDA-BBDA.Upto15Of6-BBDA.Upto15Of9-BBDA.Up16Of9To15Of12-BBDA.Up16Of12To15Of3)-MAX(0,IncD_qTotOS1-IncD_q1OS1-IncD_q2OS1-IncD_q3OS1-IncD_q4OS1),MAX(0,IncomeAftrExemp-MAX(0,tempBBDA-BBDA.Upto15Of6-BBDA.Upto15Of9-BBDA.Up16Of9To15Of12-BBDA.Up16Of12To15Of3)-MAX(0,IncD_qTotOS1-IncD_q1OS1-IncD_q2OS1-IncD_q3OS1-IncD_q4OS1)-Q95))</f>
        <v>0</v>
      </c>
      <c r="G120" s="917">
        <f>E120+F120</f>
        <v>0</v>
      </c>
      <c r="H120" s="917">
        <f>IF(bacValue=1,MAX(0,calcTaxPayableOnTINTR(G120+$B$103)),MAX(0,calculateSlabbedTax(G120+$B$103)))</f>
        <v>0</v>
      </c>
      <c r="I120" s="917">
        <f>MAX(H120-sheet9.RebateOnAgriInc,0)</f>
        <v>0</v>
      </c>
      <c r="J120" s="934">
        <f>IF(SurchargeUsed44AD&gt;0,IF(MarginalRelief,(SurchargeUsed44AD*(I120/BalTaxPay44AD)),I120*0.15),0)</f>
        <v>0</v>
      </c>
      <c r="K120" s="934">
        <f>(I120+J120)*0.04</f>
        <v>0</v>
      </c>
      <c r="L120" s="934">
        <f>I120+J120+K120</f>
        <v>0</v>
      </c>
    </row>
    <row r="121" spans="1:12" x14ac:dyDescent="0.2">
      <c r="A121" s="917" t="s">
        <v>1872</v>
      </c>
      <c r="B121" s="917">
        <f>AccSTCGOTH.Up16Of3To31Of3</f>
        <v>0</v>
      </c>
      <c r="C121" s="917">
        <f>B121-D121</f>
        <v>0</v>
      </c>
      <c r="D121" s="917">
        <f>applyExemption($B$109,5,$B$117:$B$121)</f>
        <v>0</v>
      </c>
      <c r="E121" s="917">
        <f>D121</f>
        <v>0</v>
      </c>
      <c r="F121" s="917">
        <f>IncomeAftrExemp</f>
        <v>0</v>
      </c>
      <c r="G121" s="917">
        <f>E121+F121</f>
        <v>0</v>
      </c>
      <c r="H121" s="917">
        <f>B112</f>
        <v>0</v>
      </c>
      <c r="I121" s="917">
        <f>MAX(H121-MAX(0,sheet9.RebateOnAgriInc-H120),0)</f>
        <v>0</v>
      </c>
      <c r="J121" s="934">
        <f>IF(SurchargeUsed44AD&gt;0,IF(MarginalRelief,(SurchargeUsed44AD*(I121/BalTaxPay44AD)),I121*0.15),0)</f>
        <v>0</v>
      </c>
      <c r="K121" s="934">
        <v>0</v>
      </c>
      <c r="L121" s="934">
        <f>I121+J121+K121</f>
        <v>0</v>
      </c>
    </row>
    <row r="122" spans="1:12" x14ac:dyDescent="0.2">
      <c r="B122" s="873">
        <f>AccSTCGOTH.Up16Of12To15Of3+ IF(NOT(IS44AD),0,(sheet11.Section44AD+sheet11.Section44ADA))</f>
        <v>0</v>
      </c>
    </row>
    <row r="123" spans="1:12" x14ac:dyDescent="0.2">
      <c r="A123" s="931" t="s">
        <v>8972</v>
      </c>
      <c r="B123" s="932"/>
    </row>
    <row r="126" spans="1:12" x14ac:dyDescent="0.2">
      <c r="A126" s="423" t="s">
        <v>1859</v>
      </c>
      <c r="B126" s="936" t="s">
        <v>1860</v>
      </c>
      <c r="C126" s="938" t="s">
        <v>1862</v>
      </c>
      <c r="D126" s="938" t="s">
        <v>1863</v>
      </c>
      <c r="E126" s="937" t="s">
        <v>1866</v>
      </c>
      <c r="F126" s="939" t="s">
        <v>1856</v>
      </c>
      <c r="G126" s="939" t="s">
        <v>1867</v>
      </c>
      <c r="H126" s="939" t="s">
        <v>1868</v>
      </c>
    </row>
    <row r="127" spans="1:12" x14ac:dyDescent="0.2">
      <c r="A127" s="917" t="s">
        <v>7674</v>
      </c>
      <c r="B127" s="917">
        <f>IncomefrmLottery.Upto15Of6</f>
        <v>0</v>
      </c>
      <c r="C127" s="917">
        <f>B127</f>
        <v>0</v>
      </c>
      <c r="D127" s="917">
        <f>C127</f>
        <v>0</v>
      </c>
      <c r="E127" s="917">
        <f>D127*0.3</f>
        <v>0</v>
      </c>
      <c r="F127" s="934">
        <f>IF(SurchargeUsed44AD&gt;0,IF(MarginalRelief,(SurchargeUsed44AD*(E127/BalTaxPay44AD)),E127*0.15),0)</f>
        <v>0</v>
      </c>
      <c r="G127" s="934">
        <f>(E127+F127)*0.04</f>
        <v>0</v>
      </c>
      <c r="H127" s="934">
        <f>E127+F127+G127</f>
        <v>0</v>
      </c>
    </row>
    <row r="128" spans="1:12" x14ac:dyDescent="0.2">
      <c r="A128" s="917" t="s">
        <v>1869</v>
      </c>
      <c r="B128" s="917">
        <f>IncomefrmLottery.Upto15Of9</f>
        <v>0</v>
      </c>
      <c r="C128" s="917">
        <f>B128</f>
        <v>0</v>
      </c>
      <c r="D128" s="917">
        <f>C128+D127</f>
        <v>0</v>
      </c>
      <c r="E128" s="917">
        <f>D128*0.3</f>
        <v>0</v>
      </c>
      <c r="F128" s="934">
        <f>IF(SurchargeUsed44AD&gt;0,IF(MarginalRelief,(SurchargeUsed44AD*(E128/BalTaxPay44AD)),E128*0.15),0)</f>
        <v>0</v>
      </c>
      <c r="G128" s="934">
        <f>(E128+F128)*0.04</f>
        <v>0</v>
      </c>
      <c r="H128" s="934">
        <f>E128+F128+G128</f>
        <v>0</v>
      </c>
    </row>
    <row r="129" spans="1:8" x14ac:dyDescent="0.2">
      <c r="A129" s="917" t="s">
        <v>1870</v>
      </c>
      <c r="B129" s="917">
        <f>IncomefrmLottery.Up16Of9To15Of12</f>
        <v>0</v>
      </c>
      <c r="C129" s="917">
        <f>B129</f>
        <v>0</v>
      </c>
      <c r="D129" s="917">
        <f>C129+D128</f>
        <v>0</v>
      </c>
      <c r="E129" s="917">
        <f>D129*0.3</f>
        <v>0</v>
      </c>
      <c r="F129" s="934">
        <f>IF(SurchargeUsed44AD&gt;0,IF(MarginalRelief,(SurchargeUsed44AD*(E129/BalTaxPay44AD)),E129*0.15),0)</f>
        <v>0</v>
      </c>
      <c r="G129" s="934">
        <f>(E129+F129)*0.04</f>
        <v>0</v>
      </c>
      <c r="H129" s="934">
        <f>E129+F129+G129</f>
        <v>0</v>
      </c>
    </row>
    <row r="130" spans="1:8" x14ac:dyDescent="0.2">
      <c r="A130" s="917" t="s">
        <v>1871</v>
      </c>
      <c r="B130" s="917">
        <f>IncomefrmLottery.Up16Of12To15Of3</f>
        <v>0</v>
      </c>
      <c r="C130" s="917">
        <f>B130</f>
        <v>0</v>
      </c>
      <c r="D130" s="917">
        <f>C130+D129</f>
        <v>0</v>
      </c>
      <c r="E130" s="917">
        <f>D130*0.3</f>
        <v>0</v>
      </c>
      <c r="F130" s="934">
        <f>IF(SurchargeUsed44AD&gt;0,IF(MarginalRelief,(SurchargeUsed44AD*(E130/BalTaxPay44AD)),E130*0.15),0)</f>
        <v>0</v>
      </c>
      <c r="G130" s="934">
        <f>(E130+F130)*0.04</f>
        <v>0</v>
      </c>
      <c r="H130" s="934">
        <f>E130+F130+G130</f>
        <v>0</v>
      </c>
    </row>
    <row r="131" spans="1:8" x14ac:dyDescent="0.2">
      <c r="A131" s="917" t="s">
        <v>1872</v>
      </c>
      <c r="B131" s="917">
        <f>IncomefrmLottery.Up16Of3To31Of3</f>
        <v>0</v>
      </c>
      <c r="C131" s="917">
        <f>B131</f>
        <v>0</v>
      </c>
      <c r="D131" s="917">
        <f>C131</f>
        <v>0</v>
      </c>
      <c r="E131" s="917">
        <f>D131*0.3</f>
        <v>0</v>
      </c>
      <c r="F131" s="934">
        <f>IF(SurchargeUsed44AD&gt;0,IF(MarginalRelief,(SurchargeUsed44AD*(E131/BalTaxPay44AD)),E131*0.15),0)</f>
        <v>0</v>
      </c>
      <c r="G131" s="934">
        <f>(E131+F131)*0.04</f>
        <v>0</v>
      </c>
      <c r="H131" s="934">
        <f>E131+F131+G131</f>
        <v>0</v>
      </c>
    </row>
    <row r="133" spans="1:8" x14ac:dyDescent="0.2">
      <c r="A133" s="931" t="s">
        <v>1873</v>
      </c>
      <c r="B133" s="932"/>
    </row>
    <row r="136" spans="1:8" x14ac:dyDescent="0.2">
      <c r="A136" s="423" t="s">
        <v>1859</v>
      </c>
      <c r="B136" s="936" t="s">
        <v>1860</v>
      </c>
      <c r="C136" s="938" t="s">
        <v>1862</v>
      </c>
      <c r="D136" s="938" t="s">
        <v>1863</v>
      </c>
      <c r="E136" s="937" t="s">
        <v>1866</v>
      </c>
      <c r="F136" s="939" t="s">
        <v>1856</v>
      </c>
      <c r="G136" s="939" t="s">
        <v>1867</v>
      </c>
      <c r="H136" s="939" t="s">
        <v>1868</v>
      </c>
    </row>
    <row r="137" spans="1:8" x14ac:dyDescent="0.2">
      <c r="A137" s="917" t="s">
        <v>7674</v>
      </c>
      <c r="B137" s="917">
        <f>AccSTCG30.Upto15Of6</f>
        <v>0</v>
      </c>
      <c r="C137" s="917">
        <f>B137</f>
        <v>0</v>
      </c>
      <c r="D137" s="917">
        <f>C137</f>
        <v>0</v>
      </c>
      <c r="E137" s="917">
        <f>D137*0.3</f>
        <v>0</v>
      </c>
      <c r="F137" s="934">
        <f>IF(SurchargeUsed44AD&gt;0,IF(MarginalRelief,(SurchargeUsed44AD*(E137/BalTaxPay44AD)),E137*0.15),0)</f>
        <v>0</v>
      </c>
      <c r="G137" s="934">
        <f>(E137+F137)*0.04</f>
        <v>0</v>
      </c>
      <c r="H137" s="934">
        <f>E137+F137+G137</f>
        <v>0</v>
      </c>
    </row>
    <row r="138" spans="1:8" x14ac:dyDescent="0.2">
      <c r="A138" s="917" t="s">
        <v>1869</v>
      </c>
      <c r="B138" s="917">
        <f>AccSTCG30.Upto15Of9</f>
        <v>0</v>
      </c>
      <c r="C138" s="917">
        <f>B138</f>
        <v>0</v>
      </c>
      <c r="D138" s="917">
        <f>C138+D137</f>
        <v>0</v>
      </c>
      <c r="E138" s="917">
        <f>D138*0.3</f>
        <v>0</v>
      </c>
      <c r="F138" s="934">
        <f>IF(SurchargeUsed44AD&gt;0,IF(MarginalRelief,(SurchargeUsed44AD*(E138/BalTaxPay44AD)),E138*0.15),0)</f>
        <v>0</v>
      </c>
      <c r="G138" s="934">
        <f>(E138+F138)*0.04</f>
        <v>0</v>
      </c>
      <c r="H138" s="934">
        <f>E138+F138+G138</f>
        <v>0</v>
      </c>
    </row>
    <row r="139" spans="1:8" x14ac:dyDescent="0.2">
      <c r="A139" s="917" t="s">
        <v>1870</v>
      </c>
      <c r="B139" s="917">
        <f>ACCSTCG30.Up16Of9To15Of12</f>
        <v>0</v>
      </c>
      <c r="C139" s="917">
        <f>B139</f>
        <v>0</v>
      </c>
      <c r="D139" s="917">
        <f>C139+D138</f>
        <v>0</v>
      </c>
      <c r="E139" s="917">
        <f>D139*0.3</f>
        <v>0</v>
      </c>
      <c r="F139" s="934">
        <f>IF(SurchargeUsed44AD&gt;0,IF(MarginalRelief,(SurchargeUsed44AD*(E139/BalTaxPay44AD)),E139*0.15),0)</f>
        <v>0</v>
      </c>
      <c r="G139" s="934">
        <f>(E139+F139)*0.04</f>
        <v>0</v>
      </c>
      <c r="H139" s="934">
        <f>E139+F139+G139</f>
        <v>0</v>
      </c>
    </row>
    <row r="140" spans="1:8" x14ac:dyDescent="0.2">
      <c r="A140" s="917" t="s">
        <v>1871</v>
      </c>
      <c r="B140" s="917">
        <f>ACCSTCG30.Up16Of12To15Of3</f>
        <v>0</v>
      </c>
      <c r="C140" s="917">
        <f>B140</f>
        <v>0</v>
      </c>
      <c r="D140" s="917">
        <f>C140+D139</f>
        <v>0</v>
      </c>
      <c r="E140" s="917">
        <f>D140*0.3</f>
        <v>0</v>
      </c>
      <c r="F140" s="934">
        <f>IF(SurchargeUsed44AD&gt;0,IF(MarginalRelief,(SurchargeUsed44AD*(E140/BalTaxPay44AD)),E140*0.15),0)</f>
        <v>0</v>
      </c>
      <c r="G140" s="934">
        <f>(E140+F140)*0.04</f>
        <v>0</v>
      </c>
      <c r="H140" s="934">
        <f>E140+F140+G140</f>
        <v>0</v>
      </c>
    </row>
    <row r="141" spans="1:8" x14ac:dyDescent="0.2">
      <c r="A141" s="917" t="s">
        <v>1872</v>
      </c>
      <c r="B141" s="917">
        <f>ACCSTCG30.Up16Of3To31Of3</f>
        <v>0</v>
      </c>
      <c r="C141" s="917">
        <f>B141</f>
        <v>0</v>
      </c>
      <c r="D141" s="917">
        <f>C141</f>
        <v>0</v>
      </c>
      <c r="E141" s="917">
        <f>D141*0.3</f>
        <v>0</v>
      </c>
      <c r="F141" s="934">
        <f>IF(SurchargeUsed44AD&gt;0,IF(MarginalRelief,(SurchargeUsed44AD*(E141/BalTaxPay44AD)),E141*0.15),0)</f>
        <v>0</v>
      </c>
      <c r="G141" s="934">
        <f>(E141+F141)*0.04</f>
        <v>0</v>
      </c>
      <c r="H141" s="934">
        <f>E141+F141+G141</f>
        <v>0</v>
      </c>
    </row>
    <row r="145" spans="1:9" x14ac:dyDescent="0.2">
      <c r="A145" s="931" t="s">
        <v>1874</v>
      </c>
      <c r="B145" s="932"/>
    </row>
    <row r="146" spans="1:9" x14ac:dyDescent="0.2">
      <c r="A146" s="576" t="s">
        <v>1757</v>
      </c>
      <c r="B146" s="577">
        <f>E103</f>
        <v>0</v>
      </c>
    </row>
    <row r="147" spans="1:9" x14ac:dyDescent="0.2">
      <c r="A147" s="576" t="s">
        <v>1875</v>
      </c>
      <c r="B147" s="576">
        <f>COUNTIF(B151:B154,"&gt;0")</f>
        <v>0</v>
      </c>
    </row>
    <row r="149" spans="1:9" x14ac:dyDescent="0.2">
      <c r="A149" s="423" t="s">
        <v>1859</v>
      </c>
      <c r="B149" s="936" t="s">
        <v>1860</v>
      </c>
      <c r="C149" s="937" t="s">
        <v>1861</v>
      </c>
      <c r="D149" s="938" t="s">
        <v>1862</v>
      </c>
      <c r="E149" s="938" t="s">
        <v>1863</v>
      </c>
      <c r="F149" s="937" t="s">
        <v>1866</v>
      </c>
      <c r="G149" s="939" t="s">
        <v>1856</v>
      </c>
      <c r="H149" s="939" t="s">
        <v>1867</v>
      </c>
      <c r="I149" s="939" t="s">
        <v>1868</v>
      </c>
    </row>
    <row r="150" spans="1:9" x14ac:dyDescent="0.2">
      <c r="A150" s="917" t="s">
        <v>7674</v>
      </c>
      <c r="B150" s="917">
        <f>AccLTCGNP.Upto15Of6+IncD_115A1aiQ1+IncD_115AD1iQ1</f>
        <v>0</v>
      </c>
      <c r="C150" s="940">
        <f>B150-D150</f>
        <v>0</v>
      </c>
      <c r="D150" s="917">
        <f>applyExemption($B$146,1,$B$150:$B$154)</f>
        <v>0</v>
      </c>
      <c r="E150" s="917">
        <f>D150</f>
        <v>0</v>
      </c>
      <c r="F150" s="917">
        <f>E150*0.2</f>
        <v>0</v>
      </c>
      <c r="G150" s="934">
        <f>IF(SurchargeUsed44AD&gt;0,IF(MarginalRelief,(SurchargeUsed44AD*(F150/BalTaxPay44AD)),F150*0.15),0)</f>
        <v>0</v>
      </c>
      <c r="H150" s="934">
        <f>(F150+G150)*0.04</f>
        <v>0</v>
      </c>
      <c r="I150" s="934">
        <f>F150+G150+H150</f>
        <v>0</v>
      </c>
    </row>
    <row r="151" spans="1:9" x14ac:dyDescent="0.2">
      <c r="A151" s="917" t="s">
        <v>1869</v>
      </c>
      <c r="B151" s="917">
        <f>AccLTCGNP.Upto15Of9+IncD_115A1aiQ2+IncD_115AD1iQ2</f>
        <v>0</v>
      </c>
      <c r="C151" s="940">
        <f>B151-D151</f>
        <v>0</v>
      </c>
      <c r="D151" s="917">
        <f>applyExemption($B$146,2,$B$150:$B$154)</f>
        <v>0</v>
      </c>
      <c r="E151" s="917">
        <f>D151+E150</f>
        <v>0</v>
      </c>
      <c r="F151" s="917">
        <f>E151*0.2</f>
        <v>0</v>
      </c>
      <c r="G151" s="934">
        <f>IF(SurchargeUsed44AD&gt;0,IF(MarginalRelief,(SurchargeUsed44AD*(F151/BalTaxPay44AD)),F151*0.15),0)</f>
        <v>0</v>
      </c>
      <c r="H151" s="934">
        <f>(F151+G151)*0.04</f>
        <v>0</v>
      </c>
      <c r="I151" s="934">
        <f>F151+G151+H151</f>
        <v>0</v>
      </c>
    </row>
    <row r="152" spans="1:9" x14ac:dyDescent="0.2">
      <c r="A152" s="917" t="s">
        <v>1870</v>
      </c>
      <c r="B152" s="917">
        <f>AccLTCGNP.Up16Of9To15Of12+IncD_115A1aiQ3+IncD_115AD1iQ3</f>
        <v>0</v>
      </c>
      <c r="C152" s="940">
        <f>B152-D152</f>
        <v>0</v>
      </c>
      <c r="D152" s="917">
        <f>applyExemption($B$146,3,$B$150:$B$154)</f>
        <v>0</v>
      </c>
      <c r="E152" s="917">
        <f>D152+E151</f>
        <v>0</v>
      </c>
      <c r="F152" s="917">
        <f>E152*0.2</f>
        <v>0</v>
      </c>
      <c r="G152" s="934">
        <f>IF(SurchargeUsed44AD&gt;0,IF(MarginalRelief,(SurchargeUsed44AD*(F152/BalTaxPay44AD)),F152*0.15),0)</f>
        <v>0</v>
      </c>
      <c r="H152" s="934">
        <f>(F152+G152)*0.04</f>
        <v>0</v>
      </c>
      <c r="I152" s="934">
        <f>F152+G152+H152</f>
        <v>0</v>
      </c>
    </row>
    <row r="153" spans="1:9" x14ac:dyDescent="0.2">
      <c r="A153" s="917" t="s">
        <v>1871</v>
      </c>
      <c r="B153" s="917">
        <f>AccLTCGNP.Up16Of12To15Of3+IncD_115A1aiQ4+IncD_115AD1iQ4</f>
        <v>0</v>
      </c>
      <c r="C153" s="940">
        <f>B153-D153</f>
        <v>0</v>
      </c>
      <c r="D153" s="917">
        <f>applyExemption($B$146,4,$B$150:$B$154)</f>
        <v>0</v>
      </c>
      <c r="E153" s="917">
        <f>D153+E152</f>
        <v>0</v>
      </c>
      <c r="F153" s="917">
        <f>E153*0.2</f>
        <v>0</v>
      </c>
      <c r="G153" s="934">
        <f>IF(SurchargeUsed44AD&gt;0,IF(MarginalRelief,(SurchargeUsed44AD*(F153/BalTaxPay44AD)),F153*0.15),0)</f>
        <v>0</v>
      </c>
      <c r="H153" s="934">
        <f>(F153+G153)*0.04</f>
        <v>0</v>
      </c>
      <c r="I153" s="934">
        <f>F153+G153+H153</f>
        <v>0</v>
      </c>
    </row>
    <row r="154" spans="1:9" x14ac:dyDescent="0.2">
      <c r="A154" s="917" t="s">
        <v>1872</v>
      </c>
      <c r="B154" s="917">
        <f>AccLTCGNP.Up16Of3To31Of3+IncD_115A1aiQ5+IncD_115AD1iQ5</f>
        <v>0</v>
      </c>
      <c r="C154" s="940">
        <f>B154-D154</f>
        <v>0</v>
      </c>
      <c r="D154" s="917">
        <f>applyExemption($B$146,5,$B$150:$B$154)</f>
        <v>0</v>
      </c>
      <c r="E154" s="917">
        <f>D154</f>
        <v>0</v>
      </c>
      <c r="F154" s="917">
        <f>E154*0.2</f>
        <v>0</v>
      </c>
      <c r="G154" s="934">
        <f>IF(SurchargeUsed44AD&gt;0,IF(MarginalRelief,(SurchargeUsed44AD*(F154/BalTaxPay44AD)),F154*0.15),0)</f>
        <v>0</v>
      </c>
      <c r="H154" s="934">
        <f>(F154+G154)*0.04</f>
        <v>0</v>
      </c>
      <c r="I154" s="934">
        <f>F154+G154+H154</f>
        <v>0</v>
      </c>
    </row>
    <row r="158" spans="1:9" x14ac:dyDescent="0.2">
      <c r="A158" s="931" t="s">
        <v>1876</v>
      </c>
      <c r="B158" s="932"/>
    </row>
    <row r="159" spans="1:9" x14ac:dyDescent="0.2">
      <c r="A159" s="576" t="s">
        <v>1756</v>
      </c>
      <c r="B159" s="577">
        <f>E102</f>
        <v>0</v>
      </c>
    </row>
    <row r="160" spans="1:9" x14ac:dyDescent="0.2">
      <c r="A160" s="576" t="s">
        <v>1877</v>
      </c>
      <c r="B160" s="576">
        <f>COUNTIF(B164:B167,"&gt;0")</f>
        <v>0</v>
      </c>
    </row>
    <row r="162" spans="1:10" x14ac:dyDescent="0.2">
      <c r="A162" s="423" t="s">
        <v>1859</v>
      </c>
      <c r="B162" s="936" t="s">
        <v>1860</v>
      </c>
      <c r="C162" s="937" t="s">
        <v>1861</v>
      </c>
      <c r="D162" s="938" t="s">
        <v>1862</v>
      </c>
      <c r="E162" s="938" t="s">
        <v>1863</v>
      </c>
      <c r="F162" s="937" t="s">
        <v>1866</v>
      </c>
      <c r="G162" s="939" t="s">
        <v>1856</v>
      </c>
      <c r="H162" s="939" t="s">
        <v>1867</v>
      </c>
      <c r="I162" s="939" t="s">
        <v>1868</v>
      </c>
      <c r="J162" s="873">
        <f>AccSTCG.Upto15Of6+BBDA.Upto15Of6</f>
        <v>0</v>
      </c>
    </row>
    <row r="163" spans="1:10" x14ac:dyDescent="0.2">
      <c r="A163" s="917" t="s">
        <v>7674</v>
      </c>
      <c r="B163" s="917">
        <f>AccSTCG.Upto15Of6</f>
        <v>0</v>
      </c>
      <c r="C163" s="940">
        <f>B163-D163</f>
        <v>0</v>
      </c>
      <c r="D163" s="917">
        <f>applyExemption($B$159,1,$B$163:$B$167)</f>
        <v>0</v>
      </c>
      <c r="E163" s="917">
        <f>D163</f>
        <v>0</v>
      </c>
      <c r="F163" s="917">
        <f>E163*0.15</f>
        <v>0</v>
      </c>
      <c r="G163" s="934">
        <f>IF(SurchargeUsed44AD&gt;0,IF(MarginalRelief,(SurchargeUsed44AD*(F163/BalTaxPay44AD)),F163*0.15),0)</f>
        <v>0</v>
      </c>
      <c r="H163" s="934">
        <f>(F163+G163)*0.04</f>
        <v>0</v>
      </c>
      <c r="I163" s="934">
        <f>F163+G163+H163</f>
        <v>0</v>
      </c>
      <c r="J163" s="873">
        <f>AccSTCG.Upto15Of9+BBDA.Upto15Of9</f>
        <v>0</v>
      </c>
    </row>
    <row r="164" spans="1:10" x14ac:dyDescent="0.2">
      <c r="A164" s="917" t="s">
        <v>1869</v>
      </c>
      <c r="B164" s="917">
        <f>AccSTCG.Upto15Of9</f>
        <v>0</v>
      </c>
      <c r="C164" s="940">
        <f>B164-D164</f>
        <v>0</v>
      </c>
      <c r="D164" s="917">
        <f>applyExemption($B$159,2,$B$163:$B$167)</f>
        <v>0</v>
      </c>
      <c r="E164" s="917">
        <f>D164+E163</f>
        <v>0</v>
      </c>
      <c r="F164" s="917">
        <f>E164*0.15</f>
        <v>0</v>
      </c>
      <c r="G164" s="934">
        <f>IF(SurchargeUsed44AD&gt;0,IF(MarginalRelief,(SurchargeUsed44AD*(F164/BalTaxPay44AD)),F164*0.15),0)</f>
        <v>0</v>
      </c>
      <c r="H164" s="934">
        <f>(F164+G164)*0.04</f>
        <v>0</v>
      </c>
      <c r="I164" s="934">
        <f>F164+G164+H164</f>
        <v>0</v>
      </c>
      <c r="J164" s="873">
        <f>AccSTCG.Up16Of9To15Of12+BBDA.Up16Of9To15Of12</f>
        <v>0</v>
      </c>
    </row>
    <row r="165" spans="1:10" x14ac:dyDescent="0.2">
      <c r="A165" s="917" t="s">
        <v>1870</v>
      </c>
      <c r="B165" s="917">
        <f>AccSTCG.Up16Of9To15Of12</f>
        <v>0</v>
      </c>
      <c r="C165" s="940">
        <f>B165-D165</f>
        <v>0</v>
      </c>
      <c r="D165" s="917">
        <f>applyExemption($B$159,3,$B$163:$B$167)</f>
        <v>0</v>
      </c>
      <c r="E165" s="917">
        <f>D165+E164</f>
        <v>0</v>
      </c>
      <c r="F165" s="917">
        <f>E165*0.15</f>
        <v>0</v>
      </c>
      <c r="G165" s="934">
        <f>IF(SurchargeUsed44AD&gt;0,IF(MarginalRelief,(SurchargeUsed44AD*(F165/BalTaxPay44AD)),F165*0.15),0)</f>
        <v>0</v>
      </c>
      <c r="H165" s="934">
        <f>(F165+G165)*0.04</f>
        <v>0</v>
      </c>
      <c r="I165" s="934">
        <f>F165+G165+H165</f>
        <v>0</v>
      </c>
      <c r="J165" s="873">
        <f>AccSTCG.Up16Of12To15Of3+BBDA.Up16Of12To15Of3</f>
        <v>0</v>
      </c>
    </row>
    <row r="166" spans="1:10" x14ac:dyDescent="0.2">
      <c r="A166" s="917" t="s">
        <v>1871</v>
      </c>
      <c r="B166" s="917">
        <f>AccSTCG.Up16Of12To15Of3</f>
        <v>0</v>
      </c>
      <c r="C166" s="940">
        <f>B166-D166</f>
        <v>0</v>
      </c>
      <c r="D166" s="917">
        <f>applyExemption($B$159,4,$B$163:$B$167)</f>
        <v>0</v>
      </c>
      <c r="E166" s="917">
        <f>D166+E165</f>
        <v>0</v>
      </c>
      <c r="F166" s="917">
        <f>E166*0.15</f>
        <v>0</v>
      </c>
      <c r="G166" s="934">
        <f>IF(SurchargeUsed44AD&gt;0,IF(MarginalRelief,(SurchargeUsed44AD*(F166/BalTaxPay44AD)),F166*0.15),0)</f>
        <v>0</v>
      </c>
      <c r="H166" s="934">
        <f>(F166+G166)*0.04</f>
        <v>0</v>
      </c>
      <c r="I166" s="934">
        <f>F166+G166+H166</f>
        <v>0</v>
      </c>
      <c r="J166" s="873">
        <f>AccSTCG.Up16Of3To31Of3+BBDA.Up16Of3To31Of3</f>
        <v>0</v>
      </c>
    </row>
    <row r="167" spans="1:10" x14ac:dyDescent="0.2">
      <c r="A167" s="917" t="s">
        <v>1872</v>
      </c>
      <c r="B167" s="917">
        <f>AccSTCG.Up16Of3To31Of3</f>
        <v>0</v>
      </c>
      <c r="C167" s="940">
        <f>B167-D167</f>
        <v>0</v>
      </c>
      <c r="D167" s="917">
        <f>applyExemption($B$159,5,$B$163:$B$167)</f>
        <v>0</v>
      </c>
      <c r="E167" s="917">
        <f>D167</f>
        <v>0</v>
      </c>
      <c r="F167" s="917">
        <f>E167*0.15</f>
        <v>0</v>
      </c>
      <c r="G167" s="934">
        <f>IF(SurchargeUsed44AD&gt;0,IF(MarginalRelief,(SurchargeUsed44AD*(F167/BalTaxPay44AD)),F167*0.15),0)</f>
        <v>0</v>
      </c>
      <c r="H167" s="934">
        <f>(F167+G167)*0.04</f>
        <v>0</v>
      </c>
      <c r="I167" s="934">
        <f>F167+G167+H167</f>
        <v>0</v>
      </c>
    </row>
    <row r="171" spans="1:10" x14ac:dyDescent="0.2">
      <c r="A171" s="931" t="s">
        <v>8973</v>
      </c>
      <c r="B171" s="932"/>
    </row>
    <row r="172" spans="1:10" x14ac:dyDescent="0.2">
      <c r="A172" s="576" t="s">
        <v>1755</v>
      </c>
      <c r="B172" s="577">
        <f>E105</f>
        <v>0</v>
      </c>
      <c r="E172" s="941"/>
    </row>
    <row r="173" spans="1:10" x14ac:dyDescent="0.2">
      <c r="A173" s="576" t="s">
        <v>1877</v>
      </c>
      <c r="B173" s="576">
        <f>COUNTIF(B177:B180,"&gt;0")</f>
        <v>0</v>
      </c>
      <c r="E173" s="941"/>
    </row>
    <row r="175" spans="1:10" x14ac:dyDescent="0.2">
      <c r="A175" s="423" t="s">
        <v>1859</v>
      </c>
      <c r="B175" s="936" t="s">
        <v>1860</v>
      </c>
      <c r="C175" s="937" t="s">
        <v>1861</v>
      </c>
      <c r="D175" s="938" t="s">
        <v>1862</v>
      </c>
      <c r="E175" s="938" t="s">
        <v>1863</v>
      </c>
      <c r="F175" s="937" t="s">
        <v>1866</v>
      </c>
      <c r="G175" s="939" t="s">
        <v>1856</v>
      </c>
      <c r="H175" s="939" t="s">
        <v>1867</v>
      </c>
      <c r="I175" s="939" t="s">
        <v>1868</v>
      </c>
    </row>
    <row r="176" spans="1:10" x14ac:dyDescent="0.2">
      <c r="A176" s="917" t="s">
        <v>7674</v>
      </c>
      <c r="B176" s="917">
        <v>0</v>
      </c>
      <c r="C176" s="940">
        <f>B176-D176</f>
        <v>0</v>
      </c>
      <c r="D176" s="917">
        <f>B176</f>
        <v>0</v>
      </c>
      <c r="E176" s="917">
        <f>D176</f>
        <v>0</v>
      </c>
      <c r="F176" s="917">
        <f>E176*0.1</f>
        <v>0</v>
      </c>
      <c r="G176" s="934">
        <f>IF(SurchargeUsed44AD&gt;0,IF(MarginalRelief,(SurchargeUsed44AD*(F176/BalTaxPay44AD)),F176*0.15),0)</f>
        <v>0</v>
      </c>
      <c r="H176" s="934">
        <f>(F176+G176)*0.04</f>
        <v>0</v>
      </c>
      <c r="I176" s="934">
        <f>F176+G176+H176</f>
        <v>0</v>
      </c>
    </row>
    <row r="177" spans="1:9" x14ac:dyDescent="0.2">
      <c r="A177" s="917" t="s">
        <v>1869</v>
      </c>
      <c r="B177" s="917">
        <v>0</v>
      </c>
      <c r="C177" s="940">
        <f>B177-D177</f>
        <v>0</v>
      </c>
      <c r="D177" s="917">
        <f>B177</f>
        <v>0</v>
      </c>
      <c r="E177" s="917">
        <f>D177+E176</f>
        <v>0</v>
      </c>
      <c r="F177" s="917">
        <f>E177*0.1</f>
        <v>0</v>
      </c>
      <c r="G177" s="934">
        <f>IF(SurchargeUsed44AD&gt;0,IF(MarginalRelief,(SurchargeUsed44AD*(F177/BalTaxPay44AD)),F177*0.15),0)</f>
        <v>0</v>
      </c>
      <c r="H177" s="934">
        <f>(F177+G177)*0.04</f>
        <v>0</v>
      </c>
      <c r="I177" s="934">
        <f>F177+G177+H177</f>
        <v>0</v>
      </c>
    </row>
    <row r="178" spans="1:9" x14ac:dyDescent="0.2">
      <c r="A178" s="917" t="s">
        <v>1870</v>
      </c>
      <c r="B178" s="917">
        <v>0</v>
      </c>
      <c r="C178" s="940">
        <f>B178-D178</f>
        <v>0</v>
      </c>
      <c r="D178" s="917">
        <f>B178</f>
        <v>0</v>
      </c>
      <c r="E178" s="917">
        <f>D178+E177</f>
        <v>0</v>
      </c>
      <c r="F178" s="917">
        <f>E178*0.1</f>
        <v>0</v>
      </c>
      <c r="G178" s="934">
        <f>IF(SurchargeUsed44AD&gt;0,IF(MarginalRelief,(SurchargeUsed44AD*(F178/BalTaxPay44AD)),F178*0.15),0)</f>
        <v>0</v>
      </c>
      <c r="H178" s="934">
        <f>(F178+G178)*0.04</f>
        <v>0</v>
      </c>
      <c r="I178" s="934">
        <f>F178+G178+H178</f>
        <v>0</v>
      </c>
    </row>
    <row r="179" spans="1:9" x14ac:dyDescent="0.2">
      <c r="A179" s="917" t="s">
        <v>1871</v>
      </c>
      <c r="B179" s="917">
        <v>0</v>
      </c>
      <c r="C179" s="940">
        <f>B179-D179</f>
        <v>0</v>
      </c>
      <c r="D179" s="917">
        <f>B179</f>
        <v>0</v>
      </c>
      <c r="E179" s="917">
        <f>D179+E178</f>
        <v>0</v>
      </c>
      <c r="F179" s="917">
        <f>E179*0.1</f>
        <v>0</v>
      </c>
      <c r="G179" s="934">
        <f>IF(SurchargeUsed44AD&gt;0,IF(MarginalRelief,(SurchargeUsed44AD*(F179/BalTaxPay44AD)),F179*0.15),0)</f>
        <v>0</v>
      </c>
      <c r="H179" s="934">
        <f>(F179+G179)*0.04</f>
        <v>0</v>
      </c>
      <c r="I179" s="934">
        <f>F179+G179+H179</f>
        <v>0</v>
      </c>
    </row>
    <row r="180" spans="1:9" x14ac:dyDescent="0.2">
      <c r="A180" s="917" t="s">
        <v>1872</v>
      </c>
      <c r="B180" s="917">
        <v>0</v>
      </c>
      <c r="C180" s="940">
        <f>B180-D180</f>
        <v>0</v>
      </c>
      <c r="D180" s="917">
        <f>B180</f>
        <v>0</v>
      </c>
      <c r="E180" s="917">
        <f>D180</f>
        <v>0</v>
      </c>
      <c r="F180" s="917">
        <f>E180*0.1</f>
        <v>0</v>
      </c>
      <c r="G180" s="934">
        <f>IF(SurchargeUsed44AD&gt;0,IF(MarginalRelief,(SurchargeUsed44AD*(F180/BalTaxPay44AD)),F180*0.15),0)</f>
        <v>0</v>
      </c>
      <c r="H180" s="934">
        <f>(F180+G180)*0.04</f>
        <v>0</v>
      </c>
      <c r="I180" s="934">
        <f>F180+G180+H180</f>
        <v>0</v>
      </c>
    </row>
    <row r="182" spans="1:9" x14ac:dyDescent="0.2">
      <c r="A182" s="931" t="s">
        <v>9023</v>
      </c>
      <c r="B182" s="932"/>
    </row>
    <row r="183" spans="1:9" x14ac:dyDescent="0.2">
      <c r="A183" s="576" t="s">
        <v>1755</v>
      </c>
      <c r="B183" s="577">
        <f>E91</f>
        <v>0</v>
      </c>
      <c r="E183" s="941"/>
    </row>
    <row r="184" spans="1:9" x14ac:dyDescent="0.2">
      <c r="A184" s="576" t="s">
        <v>1877</v>
      </c>
      <c r="B184" s="576">
        <f>COUNTIF(B188:B191,"&gt;0")</f>
        <v>0</v>
      </c>
      <c r="E184" s="941"/>
    </row>
    <row r="186" spans="1:9" x14ac:dyDescent="0.2">
      <c r="A186" s="423" t="s">
        <v>1859</v>
      </c>
      <c r="B186" s="936" t="s">
        <v>1860</v>
      </c>
      <c r="C186" s="937" t="s">
        <v>1861</v>
      </c>
      <c r="D186" s="938" t="s">
        <v>1862</v>
      </c>
      <c r="E186" s="938" t="s">
        <v>1863</v>
      </c>
      <c r="F186" s="937" t="s">
        <v>1866</v>
      </c>
      <c r="G186" s="939" t="s">
        <v>1856</v>
      </c>
      <c r="H186" s="939" t="s">
        <v>1867</v>
      </c>
      <c r="I186" s="939" t="s">
        <v>1868</v>
      </c>
    </row>
    <row r="187" spans="1:9" x14ac:dyDescent="0.2">
      <c r="A187" s="917" t="s">
        <v>7674</v>
      </c>
      <c r="B187" s="917">
        <f>AccSTCGDTAA.Upto15Of6</f>
        <v>0</v>
      </c>
      <c r="C187" s="940">
        <f>B187-D187</f>
        <v>0</v>
      </c>
      <c r="D187" s="917">
        <f>B187</f>
        <v>0</v>
      </c>
      <c r="E187" s="917">
        <f>D187</f>
        <v>0</v>
      </c>
      <c r="F187" s="940">
        <f>IF(ISERROR('SPI - SI - IF'!I58*E187/SUM(B187:B191)),0,'SPI - SI - IF'!I58*E187/SUM(B187:B191))</f>
        <v>0</v>
      </c>
      <c r="G187" s="934">
        <f>IF(SurchargeUsed44AD&gt;0,IF(MarginalRelief,(SurchargeUsed44AD*(F187/BalTaxPay44AD)),F187*0.15),0)</f>
        <v>0</v>
      </c>
      <c r="H187" s="934">
        <f>(F187+G187)*0.04</f>
        <v>0</v>
      </c>
      <c r="I187" s="934">
        <f>F187+G187+H187</f>
        <v>0</v>
      </c>
    </row>
    <row r="188" spans="1:9" x14ac:dyDescent="0.2">
      <c r="A188" s="917" t="s">
        <v>1869</v>
      </c>
      <c r="B188" s="917">
        <f>AccSTCGDTAA.Upto15Of9</f>
        <v>0</v>
      </c>
      <c r="C188" s="940">
        <f>B188-D188</f>
        <v>0</v>
      </c>
      <c r="D188" s="917">
        <f>B188</f>
        <v>0</v>
      </c>
      <c r="E188" s="917">
        <f>D188+E187</f>
        <v>0</v>
      </c>
      <c r="F188" s="940">
        <f>IF(ISERROR('SPI - SI - IF'!I58*E188/SUM(B187:B191)),0,'SPI - SI - IF'!I58*E188/SUM(B187:B191))</f>
        <v>0</v>
      </c>
      <c r="G188" s="934">
        <f>IF(SurchargeUsed44AD&gt;0,IF(MarginalRelief,(SurchargeUsed44AD*(F188/BalTaxPay44AD)),F188*0.15),0)</f>
        <v>0</v>
      </c>
      <c r="H188" s="934">
        <f>(F188+G188)*0.04</f>
        <v>0</v>
      </c>
      <c r="I188" s="934">
        <f>F188+G188+H188</f>
        <v>0</v>
      </c>
    </row>
    <row r="189" spans="1:9" x14ac:dyDescent="0.2">
      <c r="A189" s="917" t="s">
        <v>1870</v>
      </c>
      <c r="B189" s="917">
        <f>AccSTCGDTAA.Up16Of9To15Of12</f>
        <v>0</v>
      </c>
      <c r="C189" s="940">
        <f>B189-D189</f>
        <v>0</v>
      </c>
      <c r="D189" s="917">
        <f>B189</f>
        <v>0</v>
      </c>
      <c r="E189" s="917">
        <f>D189+E188</f>
        <v>0</v>
      </c>
      <c r="F189" s="940">
        <f>IF(ISERROR('SPI - SI - IF'!I58*E189/SUM(B187:B191)),0,'SPI - SI - IF'!I58*E189/SUM(B187:B191))</f>
        <v>0</v>
      </c>
      <c r="G189" s="934">
        <f>IF(SurchargeUsed44AD&gt;0,IF(MarginalRelief,(SurchargeUsed44AD*(F189/BalTaxPay44AD)),F189*0.15),0)</f>
        <v>0</v>
      </c>
      <c r="H189" s="934">
        <f>(F189+G189)*0.04</f>
        <v>0</v>
      </c>
      <c r="I189" s="934">
        <f>F189+G189+H189</f>
        <v>0</v>
      </c>
    </row>
    <row r="190" spans="1:9" x14ac:dyDescent="0.2">
      <c r="A190" s="917" t="s">
        <v>1871</v>
      </c>
      <c r="B190" s="917">
        <f>AccSTCGDTAA.Up16Of12To15Of3</f>
        <v>0</v>
      </c>
      <c r="C190" s="940">
        <f>B190-D190</f>
        <v>0</v>
      </c>
      <c r="D190" s="917">
        <f>B190</f>
        <v>0</v>
      </c>
      <c r="E190" s="917">
        <f>D190+E189</f>
        <v>0</v>
      </c>
      <c r="F190" s="940">
        <f>IF(ISERROR('SPI - SI - IF'!I58*E190/SUM(B187:B191)),0,'SPI - SI - IF'!I58*E190/SUM(B187:B191))</f>
        <v>0</v>
      </c>
      <c r="G190" s="934">
        <f>IF(SurchargeUsed44AD&gt;0,IF(MarginalRelief,(SurchargeUsed44AD*(F190/BalTaxPay44AD)),F190*0.15),0)</f>
        <v>0</v>
      </c>
      <c r="H190" s="934">
        <f>(F190+G190)*0.04</f>
        <v>0</v>
      </c>
      <c r="I190" s="934">
        <f>F190+G190+H190</f>
        <v>0</v>
      </c>
    </row>
    <row r="191" spans="1:9" x14ac:dyDescent="0.2">
      <c r="A191" s="917" t="s">
        <v>1872</v>
      </c>
      <c r="B191" s="917">
        <f>AccSTCGDTAA.Up16Of3To31Of3</f>
        <v>0</v>
      </c>
      <c r="C191" s="940">
        <f>B191-D191</f>
        <v>0</v>
      </c>
      <c r="D191" s="917">
        <f>B191</f>
        <v>0</v>
      </c>
      <c r="E191" s="917">
        <f>D191</f>
        <v>0</v>
      </c>
      <c r="F191" s="940">
        <f>IF(ISERROR('SPI - SI - IF'!I58*E191/SUM(B187:B191)),0,'SPI - SI - IF'!I58*E191/SUM(B187:B191))</f>
        <v>0</v>
      </c>
      <c r="G191" s="934">
        <f>IF(SurchargeUsed44AD&gt;0,IF(MarginalRelief,(SurchargeUsed44AD*(F191/BalTaxPay44AD)),F191*0.15),0)</f>
        <v>0</v>
      </c>
      <c r="H191" s="934">
        <f>(F191+G191)*0.04</f>
        <v>0</v>
      </c>
      <c r="I191" s="934">
        <f>F191+G191+H191</f>
        <v>0</v>
      </c>
    </row>
    <row r="192" spans="1:9" x14ac:dyDescent="0.2">
      <c r="A192" s="887"/>
      <c r="B192" s="887"/>
      <c r="C192" s="912"/>
      <c r="D192" s="887"/>
      <c r="E192" s="887"/>
      <c r="F192" s="887"/>
      <c r="G192" s="887"/>
      <c r="H192" s="887"/>
      <c r="I192" s="887"/>
    </row>
    <row r="193" spans="1:9" x14ac:dyDescent="0.2">
      <c r="A193" s="931" t="s">
        <v>9024</v>
      </c>
      <c r="B193" s="932"/>
    </row>
    <row r="194" spans="1:9" x14ac:dyDescent="0.2">
      <c r="A194" s="576" t="s">
        <v>1755</v>
      </c>
      <c r="B194" s="577">
        <f>E102</f>
        <v>0</v>
      </c>
      <c r="E194" s="941"/>
    </row>
    <row r="195" spans="1:9" x14ac:dyDescent="0.2">
      <c r="A195" s="576" t="s">
        <v>1877</v>
      </c>
      <c r="B195" s="576">
        <f>COUNTIF(B199:B202,"&gt;0")</f>
        <v>0</v>
      </c>
      <c r="E195" s="941"/>
    </row>
    <row r="197" spans="1:9" x14ac:dyDescent="0.2">
      <c r="A197" s="423" t="s">
        <v>1859</v>
      </c>
      <c r="B197" s="936" t="s">
        <v>1860</v>
      </c>
      <c r="C197" s="937" t="s">
        <v>1861</v>
      </c>
      <c r="D197" s="938" t="s">
        <v>1862</v>
      </c>
      <c r="E197" s="938" t="s">
        <v>1863</v>
      </c>
      <c r="F197" s="937" t="s">
        <v>1866</v>
      </c>
      <c r="G197" s="939" t="s">
        <v>1856</v>
      </c>
      <c r="H197" s="939" t="s">
        <v>1867</v>
      </c>
      <c r="I197" s="939" t="s">
        <v>1868</v>
      </c>
    </row>
    <row r="198" spans="1:9" x14ac:dyDescent="0.2">
      <c r="A198" s="917" t="s">
        <v>7674</v>
      </c>
      <c r="B198" s="917">
        <f>AccLTCGDTAA.Upto15Of6</f>
        <v>0</v>
      </c>
      <c r="C198" s="940">
        <f>B198-D198</f>
        <v>0</v>
      </c>
      <c r="D198" s="917">
        <f>B198</f>
        <v>0</v>
      </c>
      <c r="E198" s="917">
        <f>D198</f>
        <v>0</v>
      </c>
      <c r="F198" s="940">
        <f>IF(ISERROR('SPI - SI - IF'!I59*E198/SUM(B198:B202)),0,'SPI - SI - IF'!I59*E198/SUM(B198:B202))</f>
        <v>0</v>
      </c>
      <c r="G198" s="934">
        <f>IF(SurchargeUsed44AD&gt;0,IF(MarginalRelief,(SurchargeUsed44AD*(F198/BalTaxPay44AD)),F198*0.15),0)</f>
        <v>0</v>
      </c>
      <c r="H198" s="934">
        <f>(F198+G198)*0.04</f>
        <v>0</v>
      </c>
      <c r="I198" s="934">
        <f>F198+G198+H198</f>
        <v>0</v>
      </c>
    </row>
    <row r="199" spans="1:9" x14ac:dyDescent="0.2">
      <c r="A199" s="917" t="s">
        <v>1869</v>
      </c>
      <c r="B199" s="917">
        <f>AccLTCGDTAA.Upto15Of9</f>
        <v>0</v>
      </c>
      <c r="C199" s="940">
        <f>B199-D199</f>
        <v>0</v>
      </c>
      <c r="D199" s="917">
        <f>B199</f>
        <v>0</v>
      </c>
      <c r="E199" s="917">
        <f>D199+E198</f>
        <v>0</v>
      </c>
      <c r="F199" s="940">
        <f>IF(ISERROR('SPI - SI - IF'!I59*E199/SUM(B198:B202)),0,'SPI - SI - IF'!I59*E199/SUM(B198:B202))</f>
        <v>0</v>
      </c>
      <c r="G199" s="934">
        <f>IF(SurchargeUsed44AD&gt;0,IF(MarginalRelief,(SurchargeUsed44AD*(F199/BalTaxPay44AD)),F199*0.15),0)</f>
        <v>0</v>
      </c>
      <c r="H199" s="934">
        <f>(F199+G199)*0.04</f>
        <v>0</v>
      </c>
      <c r="I199" s="934">
        <f>F199+G199+H199</f>
        <v>0</v>
      </c>
    </row>
    <row r="200" spans="1:9" x14ac:dyDescent="0.2">
      <c r="A200" s="917" t="s">
        <v>1870</v>
      </c>
      <c r="B200" s="917">
        <f>AccLTCGDTAA.Up16Of9To15Of12</f>
        <v>0</v>
      </c>
      <c r="C200" s="940">
        <f>B200-D200</f>
        <v>0</v>
      </c>
      <c r="D200" s="917">
        <f>B200</f>
        <v>0</v>
      </c>
      <c r="E200" s="917">
        <f>D200+E199</f>
        <v>0</v>
      </c>
      <c r="F200" s="940">
        <f>IF(ISERROR('SPI - SI - IF'!I59*E200/SUM(B198:B202)),0,'SPI - SI - IF'!I59*E200/SUM(B198:B202))</f>
        <v>0</v>
      </c>
      <c r="G200" s="934">
        <f>IF(SurchargeUsed44AD&gt;0,IF(MarginalRelief,(SurchargeUsed44AD*(F200/BalTaxPay44AD)),F200*0.15),0)</f>
        <v>0</v>
      </c>
      <c r="H200" s="934">
        <f>(F200+G200)*0.04</f>
        <v>0</v>
      </c>
      <c r="I200" s="934">
        <f>F200+G200+H200</f>
        <v>0</v>
      </c>
    </row>
    <row r="201" spans="1:9" x14ac:dyDescent="0.2">
      <c r="A201" s="917" t="s">
        <v>1871</v>
      </c>
      <c r="B201" s="917">
        <f>AccLTCGDTAA.Up16Of12To15Of3</f>
        <v>0</v>
      </c>
      <c r="C201" s="940">
        <f>B201-D201</f>
        <v>0</v>
      </c>
      <c r="D201" s="917">
        <f>B201</f>
        <v>0</v>
      </c>
      <c r="E201" s="917">
        <f>D201+E200</f>
        <v>0</v>
      </c>
      <c r="F201" s="940">
        <f>IF(ISERROR('SPI - SI - IF'!I59*E201/SUM(B198:B202)),0,'SPI - SI - IF'!I59*E201/SUM(B198:B202))</f>
        <v>0</v>
      </c>
      <c r="G201" s="934">
        <f>IF(SurchargeUsed44AD&gt;0,IF(MarginalRelief,(SurchargeUsed44AD*(F201/BalTaxPay44AD)),F201*0.15),0)</f>
        <v>0</v>
      </c>
      <c r="H201" s="934">
        <f>(F201+G201)*0.04</f>
        <v>0</v>
      </c>
      <c r="I201" s="934">
        <f>F201+G201+H201</f>
        <v>0</v>
      </c>
    </row>
    <row r="202" spans="1:9" x14ac:dyDescent="0.2">
      <c r="A202" s="917" t="s">
        <v>1872</v>
      </c>
      <c r="B202" s="917">
        <f>AccLTCGDTAA.Up16Of3To31Of3</f>
        <v>0</v>
      </c>
      <c r="C202" s="940">
        <f>B202-D202</f>
        <v>0</v>
      </c>
      <c r="D202" s="917">
        <f>B202</f>
        <v>0</v>
      </c>
      <c r="E202" s="917">
        <f>D202</f>
        <v>0</v>
      </c>
      <c r="F202" s="940">
        <f>IF(ISERROR('SPI - SI - IF'!I59*E202/SUM(B198:B202)),0,'SPI - SI - IF'!I59*E202/SUM(B198:B202))</f>
        <v>0</v>
      </c>
      <c r="G202" s="934">
        <f>IF(SurchargeUsed44AD&gt;0,IF(MarginalRelief,(SurchargeUsed44AD*(F202/BalTaxPay44AD)),F202*0.15),0)</f>
        <v>0</v>
      </c>
      <c r="H202" s="934">
        <f>(F202+G202)*0.04</f>
        <v>0</v>
      </c>
      <c r="I202" s="934">
        <f>F202+G202+H202</f>
        <v>0</v>
      </c>
    </row>
    <row r="203" spans="1:9" s="929" customFormat="1" x14ac:dyDescent="0.2">
      <c r="A203" s="887"/>
      <c r="B203" s="887"/>
      <c r="C203" s="912"/>
      <c r="D203" s="887"/>
      <c r="E203" s="887"/>
      <c r="F203" s="887"/>
      <c r="G203" s="887"/>
      <c r="H203" s="887"/>
      <c r="I203" s="887"/>
    </row>
    <row r="204" spans="1:9" x14ac:dyDescent="0.2">
      <c r="A204" s="931" t="s">
        <v>1878</v>
      </c>
      <c r="B204" s="932"/>
    </row>
    <row r="205" spans="1:9" x14ac:dyDescent="0.2">
      <c r="A205" s="576" t="s">
        <v>1755</v>
      </c>
      <c r="B205" s="577">
        <f>E101</f>
        <v>0</v>
      </c>
      <c r="E205" s="941"/>
    </row>
    <row r="206" spans="1:9" x14ac:dyDescent="0.2">
      <c r="A206" s="576" t="s">
        <v>1877</v>
      </c>
      <c r="B206" s="576">
        <f>COUNTIF(B210:B213,"&gt;0")</f>
        <v>0</v>
      </c>
      <c r="E206" s="941"/>
    </row>
    <row r="208" spans="1:9" x14ac:dyDescent="0.2">
      <c r="A208" s="423" t="s">
        <v>1859</v>
      </c>
      <c r="B208" s="936" t="s">
        <v>1860</v>
      </c>
      <c r="C208" s="937" t="s">
        <v>1861</v>
      </c>
      <c r="D208" s="938" t="s">
        <v>1862</v>
      </c>
      <c r="E208" s="938" t="s">
        <v>1863</v>
      </c>
      <c r="F208" s="937" t="s">
        <v>1866</v>
      </c>
      <c r="G208" s="939" t="s">
        <v>1856</v>
      </c>
      <c r="H208" s="939" t="s">
        <v>1867</v>
      </c>
      <c r="I208" s="939" t="s">
        <v>1868</v>
      </c>
    </row>
    <row r="209" spans="1:21" x14ac:dyDescent="0.2">
      <c r="A209" s="917" t="s">
        <v>7674</v>
      </c>
      <c r="B209" s="917">
        <f>AccLTCG.Upto15Of6+IncD_115ACQ1+IncD_115ACA1aQ1</f>
        <v>0</v>
      </c>
      <c r="C209" s="940">
        <f>B209-D209</f>
        <v>0</v>
      </c>
      <c r="D209" s="917">
        <f>applyExemption($B$205,1,$B$209:$B$213)</f>
        <v>0</v>
      </c>
      <c r="E209" s="917">
        <f>D209</f>
        <v>0</v>
      </c>
      <c r="F209" s="917">
        <f>E209*0.1</f>
        <v>0</v>
      </c>
      <c r="G209" s="934">
        <f>IF(SurchargeUsed44AD&gt;0,IF(MarginalRelief,(SurchargeUsed44AD*(F209/BalTaxPay44AD)),F209*0.15),0)</f>
        <v>0</v>
      </c>
      <c r="H209" s="934">
        <f>(F209+G209)*0.04</f>
        <v>0</v>
      </c>
      <c r="I209" s="934">
        <f>F209+G209+H209</f>
        <v>0</v>
      </c>
    </row>
    <row r="210" spans="1:21" x14ac:dyDescent="0.2">
      <c r="A210" s="917" t="s">
        <v>1869</v>
      </c>
      <c r="B210" s="917">
        <f>AccLTCG.Upto15Of9+IncD_115ACQ2+IncD_115ACA1aQ2</f>
        <v>0</v>
      </c>
      <c r="C210" s="940">
        <f>B210-D210</f>
        <v>0</v>
      </c>
      <c r="D210" s="917">
        <f>applyExemption($B$205,2,$B$209:$B$213)</f>
        <v>0</v>
      </c>
      <c r="E210" s="917">
        <f>D210+E209</f>
        <v>0</v>
      </c>
      <c r="F210" s="917">
        <f>E210*0.1</f>
        <v>0</v>
      </c>
      <c r="G210" s="934">
        <f>IF(SurchargeUsed44AD&gt;0,IF(MarginalRelief,(SurchargeUsed44AD*(F210/BalTaxPay44AD)),F210*0.15),0)</f>
        <v>0</v>
      </c>
      <c r="H210" s="934">
        <f>(F210+G210)*0.04</f>
        <v>0</v>
      </c>
      <c r="I210" s="934">
        <f>F210+G210+H210</f>
        <v>0</v>
      </c>
    </row>
    <row r="211" spans="1:21" x14ac:dyDescent="0.2">
      <c r="A211" s="917" t="s">
        <v>1870</v>
      </c>
      <c r="B211" s="917">
        <f>AccLTCG.Up16Of9To15Of12+IncD_115ACQ3+IncD_115ACA1aQ3</f>
        <v>0</v>
      </c>
      <c r="C211" s="940">
        <f>B211-D211</f>
        <v>0</v>
      </c>
      <c r="D211" s="917">
        <f>applyExemption($B$205,3,$B$209:$B$213)</f>
        <v>0</v>
      </c>
      <c r="E211" s="917">
        <f>D211+E210</f>
        <v>0</v>
      </c>
      <c r="F211" s="917">
        <f>E211*0.1</f>
        <v>0</v>
      </c>
      <c r="G211" s="934">
        <f>IF(SurchargeUsed44AD&gt;0,IF(MarginalRelief,(SurchargeUsed44AD*(F211/BalTaxPay44AD)),F211*0.15),0)</f>
        <v>0</v>
      </c>
      <c r="H211" s="934">
        <f>(F211+G211)*0.04</f>
        <v>0</v>
      </c>
      <c r="I211" s="934">
        <f>F211+G211+H211</f>
        <v>0</v>
      </c>
    </row>
    <row r="212" spans="1:21" x14ac:dyDescent="0.2">
      <c r="A212" s="917" t="s">
        <v>1871</v>
      </c>
      <c r="B212" s="917">
        <f>AccLTCG.Up16Of12To15Of3+IncD_115ACQ4+IncD_115ACA1aQ4</f>
        <v>0</v>
      </c>
      <c r="C212" s="940">
        <f>B212-D212</f>
        <v>0</v>
      </c>
      <c r="D212" s="917">
        <f>applyExemption($B$205,4,$B$209:$B$213)</f>
        <v>0</v>
      </c>
      <c r="E212" s="917">
        <f>D212+E211</f>
        <v>0</v>
      </c>
      <c r="F212" s="917">
        <f>E212*0.1</f>
        <v>0</v>
      </c>
      <c r="G212" s="934">
        <f>IF(SurchargeUsed44AD&gt;0,IF(MarginalRelief,(SurchargeUsed44AD*(F212/BalTaxPay44AD)),F212*0.15),0)</f>
        <v>0</v>
      </c>
      <c r="H212" s="934">
        <f>(F212+G212)*0.04</f>
        <v>0</v>
      </c>
      <c r="I212" s="934">
        <f>F212+G212+H212</f>
        <v>0</v>
      </c>
    </row>
    <row r="213" spans="1:21" x14ac:dyDescent="0.2">
      <c r="A213" s="917" t="s">
        <v>1872</v>
      </c>
      <c r="B213" s="917">
        <f>AccLTCG.Up16Of3To31Of3+IncD_115ACQ5+IncD_115ACA1aQ5</f>
        <v>0</v>
      </c>
      <c r="C213" s="940">
        <f>B213-D213</f>
        <v>0</v>
      </c>
      <c r="D213" s="917">
        <f>applyExemption($B$205,5,$B$209:$B$213)</f>
        <v>0</v>
      </c>
      <c r="E213" s="917">
        <f>D213</f>
        <v>0</v>
      </c>
      <c r="F213" s="917">
        <f>E213*0.1</f>
        <v>0</v>
      </c>
      <c r="G213" s="934">
        <f>IF(SurchargeUsed44AD&gt;0,IF(MarginalRelief,(SurchargeUsed44AD*(F213/BalTaxPay44AD)),F213*0.15),0)</f>
        <v>0</v>
      </c>
      <c r="H213" s="934">
        <f>(F213+G213)*0.04</f>
        <v>0</v>
      </c>
      <c r="I213" s="934">
        <f>F213+G213+H213</f>
        <v>0</v>
      </c>
    </row>
    <row r="216" spans="1:21" x14ac:dyDescent="0.2">
      <c r="A216" s="931" t="s">
        <v>1879</v>
      </c>
      <c r="B216" s="932"/>
    </row>
    <row r="217" spans="1:21" x14ac:dyDescent="0.2">
      <c r="A217" s="576" t="s">
        <v>1880</v>
      </c>
      <c r="B217" s="577">
        <f>(SI.TotSplRateIncTax-SUM('SPI - SI - IF'!I20:I24,'SPI - SI - IF'!I26,'SPI - SI - IF'!I29,'SPI - SI - IF'!I42,'SPI - SI - IF'!I45,'SPI - SI - IF'!I56:I59,'SPI - SI - IF'!I25,'SPI - SI - IF'!I49,'SPI - SI - IF'!I60:I64,'SPI - SI - IF'!I46,'SPI - SI - IF'!I47,'SPI - SI - IF'!I77,'SPI - SI - IF'!I80,'SPI - SI - IF'!I41,'SPI - SI - IF'!I74,'SPI - SI - IF'!I30,'SPI - SI - IF'!I65,'SPI - SI - IF'!I39,'SPI - SI - IF'!I73,'SPI - SI - IF'!I19))</f>
        <v>0</v>
      </c>
      <c r="K217" s="872" t="s">
        <v>7684</v>
      </c>
      <c r="L217" s="576">
        <f>IF(NOT(IS44AD),0,IF(ISERROR(Surcharge_ii/(Sheet8b.TotalIncome-os.Total115BE-OS_PTI_5BBE)* (sheet11.Section44AD+sheet11.Section44ADA)),0,Surcharge_ii/(Sheet8b.TotalIncome-os.Total115BE-OS_PTI_5BBE)* (sheet11.Section44AD+sheet11.Section44ADA)))</f>
        <v>0</v>
      </c>
    </row>
    <row r="218" spans="1:21" x14ac:dyDescent="0.2">
      <c r="A218" s="934" t="s">
        <v>1881</v>
      </c>
      <c r="B218" s="934">
        <f>IF(E68,IF(B217&gt;0,IF(SurchargeUsed44AD&gt;0,IF(MarginalRelief,(SurchargeUsed44AD*(B217/BalTaxPay44AD)),B217*0.15),0),0),IF(Sheet9.SurchargeOnTaxPayable&gt;0,IF(MarginalRelief,(Sheet9.SurchargeOnTaxPayable*(B217/Sheet9.BalTaxPayable)),B217*0.15),0))</f>
        <v>0</v>
      </c>
      <c r="K218" s="872" t="s">
        <v>7922</v>
      </c>
      <c r="L218" s="576">
        <f>MAX(0,sheet9.TaxPayableOnTotInc-BalTaxPay44AD)</f>
        <v>0</v>
      </c>
    </row>
    <row r="219" spans="1:21" x14ac:dyDescent="0.2">
      <c r="A219" s="934" t="s">
        <v>1867</v>
      </c>
      <c r="B219" s="934">
        <f>(B217+B218)*0.04</f>
        <v>0</v>
      </c>
      <c r="G219" s="942" t="s">
        <v>7917</v>
      </c>
      <c r="H219" s="576">
        <f>SI_115BBE+SI_PTI115BBE</f>
        <v>0</v>
      </c>
      <c r="I219" s="943" t="s">
        <v>7919</v>
      </c>
      <c r="J219" s="576">
        <f>Surcharge_i</f>
        <v>0</v>
      </c>
      <c r="K219" s="872" t="s">
        <v>7918</v>
      </c>
      <c r="L219" s="576">
        <f>IF(MAX(0,sheet9.TaxPayableOnTotInc-SI_115BBE-SI_PTI115BBE-L218)=0,1,MAX(0,sheet9.TaxPayableOnTotInc-SI_115BBE-SI_PTI115BBE-L218))</f>
        <v>1</v>
      </c>
    </row>
    <row r="220" spans="1:21" x14ac:dyDescent="0.2">
      <c r="A220" s="934" t="s">
        <v>1882</v>
      </c>
      <c r="B220" s="944">
        <f>SUM(B217:B219)</f>
        <v>0</v>
      </c>
      <c r="G220" s="942" t="s">
        <v>7918</v>
      </c>
      <c r="H220" s="576">
        <f>IF(MAX(0,sheet9.TaxPayableOnTotInc-L218-H219)=0,1,MAX(0,sheet9.TaxPayableOnTotInc-L218-H219))</f>
        <v>1</v>
      </c>
      <c r="I220" s="943" t="s">
        <v>7920</v>
      </c>
      <c r="J220" s="945">
        <f>Surcharge_ii</f>
        <v>0</v>
      </c>
    </row>
    <row r="222" spans="1:21" ht="38.25" x14ac:dyDescent="0.2">
      <c r="A222" s="946" t="s">
        <v>1859</v>
      </c>
      <c r="B222" s="947" t="s">
        <v>1883</v>
      </c>
      <c r="C222" s="948" t="s">
        <v>1884</v>
      </c>
      <c r="D222" s="949" t="s">
        <v>1885</v>
      </c>
      <c r="E222" s="950" t="s">
        <v>1886</v>
      </c>
      <c r="F222" s="951" t="s">
        <v>1887</v>
      </c>
      <c r="G222" s="951" t="s">
        <v>9023</v>
      </c>
      <c r="H222" s="951" t="s">
        <v>9024</v>
      </c>
      <c r="I222" s="950" t="s">
        <v>1888</v>
      </c>
      <c r="J222" s="950" t="s">
        <v>1858</v>
      </c>
      <c r="K222" s="951" t="s">
        <v>7682</v>
      </c>
      <c r="L222" s="950" t="s">
        <v>7679</v>
      </c>
      <c r="M222" s="950" t="s">
        <v>7680</v>
      </c>
      <c r="N222" s="950" t="s">
        <v>7681</v>
      </c>
      <c r="O222" s="951" t="s">
        <v>7972</v>
      </c>
      <c r="P222" s="951" t="s">
        <v>1889</v>
      </c>
      <c r="Q222" s="951" t="s">
        <v>7678</v>
      </c>
      <c r="R222" s="951" t="s">
        <v>1890</v>
      </c>
      <c r="S222" s="951" t="s">
        <v>1891</v>
      </c>
      <c r="T222" s="951" t="s">
        <v>1892</v>
      </c>
    </row>
    <row r="223" spans="1:21" x14ac:dyDescent="0.2">
      <c r="A223" s="917" t="s">
        <v>7674</v>
      </c>
      <c r="B223" s="917">
        <f>I117+sheet9.GrossTaxPayable_3c</f>
        <v>0</v>
      </c>
      <c r="C223" s="917">
        <f>E137+E127</f>
        <v>0</v>
      </c>
      <c r="D223" s="917">
        <f>F150</f>
        <v>0</v>
      </c>
      <c r="E223" s="917">
        <f>F163</f>
        <v>0</v>
      </c>
      <c r="F223" s="917">
        <f>F209+F176</f>
        <v>0</v>
      </c>
      <c r="G223" s="940">
        <f>F187+F272</f>
        <v>0</v>
      </c>
      <c r="H223" s="940">
        <f>F198</f>
        <v>0</v>
      </c>
      <c r="I223" s="940">
        <f>B217</f>
        <v>0</v>
      </c>
      <c r="J223" s="917">
        <f>SUM(B223:I223)</f>
        <v>0</v>
      </c>
      <c r="K223" s="917">
        <f>MAX(J223-Sheet9.RebateUs88E,0)</f>
        <v>0</v>
      </c>
      <c r="L223" s="917">
        <f>MAX($J$220-$L$217,0)/$L$219*(MAX(0,K223-SI_115BBE-SI_PTI115BBE))+$J$219</f>
        <v>0</v>
      </c>
      <c r="M223" s="917">
        <f>(K223+L223)*0.04</f>
        <v>0</v>
      </c>
      <c r="N223" s="917">
        <f>K223+L223+M223</f>
        <v>0</v>
      </c>
      <c r="O223" s="940">
        <f>MAX(0,N223-Sheet9.TDS-Sheet9.TCS-Sheet9.TotTaxRelief-sheet9.CreditUS115JD-sheet9.GrossTaxPayable_3b)</f>
        <v>0</v>
      </c>
      <c r="P223" s="940">
        <f>O223*0.15</f>
        <v>0</v>
      </c>
      <c r="Q223" s="940">
        <f>FLOOR(0.12*O223,100)</f>
        <v>0</v>
      </c>
      <c r="R223" s="917">
        <f>Qtr_1</f>
        <v>0</v>
      </c>
      <c r="S223" s="940">
        <f>IF(R223&gt;=Q223,0,MAX(0,FLOOR(MAX(0,P223-R223),100)))</f>
        <v>0</v>
      </c>
      <c r="T223" s="917">
        <f>S223*1*0.03</f>
        <v>0</v>
      </c>
      <c r="U223" s="873">
        <f>S223*0.03*IT.Q1Rate</f>
        <v>0</v>
      </c>
    </row>
    <row r="224" spans="1:21" x14ac:dyDescent="0.2">
      <c r="A224" s="917" t="s">
        <v>1869</v>
      </c>
      <c r="B224" s="917">
        <f>I118+sheet9.GrossTaxPayable_3c</f>
        <v>0</v>
      </c>
      <c r="C224" s="917">
        <f>E138+E128</f>
        <v>0</v>
      </c>
      <c r="D224" s="917">
        <f>F151</f>
        <v>0</v>
      </c>
      <c r="E224" s="917">
        <f>F164</f>
        <v>0</v>
      </c>
      <c r="F224" s="917">
        <f>F210+F177</f>
        <v>0</v>
      </c>
      <c r="G224" s="940">
        <f>F188+F273</f>
        <v>0</v>
      </c>
      <c r="H224" s="940">
        <f>F199</f>
        <v>0</v>
      </c>
      <c r="I224" s="940">
        <f>B217</f>
        <v>0</v>
      </c>
      <c r="J224" s="917">
        <f>SUM(B224:I224)</f>
        <v>0</v>
      </c>
      <c r="K224" s="917">
        <f>MAX(J224-Sheet9.RebateUs88E,0)</f>
        <v>0</v>
      </c>
      <c r="L224" s="917">
        <f>MAX($J$220-$L$217,0)/$L$219*(MAX(0,K224-SI_115BBE-SI_PTI115BBE))+$J$219</f>
        <v>0</v>
      </c>
      <c r="M224" s="917">
        <f>(K224+L224)*0.04</f>
        <v>0</v>
      </c>
      <c r="N224" s="917">
        <f>K224+L224+M224</f>
        <v>0</v>
      </c>
      <c r="O224" s="940">
        <f>MAX(0,N224-Sheet9.TDS-Sheet9.TCS-Sheet9.TotTaxRelief-sheet9.CreditUS115JD-sheet9.GrossTaxPayable_3b)</f>
        <v>0</v>
      </c>
      <c r="P224" s="940">
        <f>O224*0.45</f>
        <v>0</v>
      </c>
      <c r="Q224" s="940">
        <f>FLOOR(0.36*O224,100)</f>
        <v>0</v>
      </c>
      <c r="R224" s="917">
        <f>Qtr_2+R223</f>
        <v>0</v>
      </c>
      <c r="S224" s="940">
        <f>IF(R224&gt;=Q224,0,MAX(0,FLOOR(MAX(0,P224-R224),100)))</f>
        <v>0</v>
      </c>
      <c r="T224" s="917">
        <f>S224*0.03</f>
        <v>0</v>
      </c>
    </row>
    <row r="225" spans="1:20" x14ac:dyDescent="0.2">
      <c r="A225" s="917" t="s">
        <v>1870</v>
      </c>
      <c r="B225" s="917">
        <f>I119+sheet9.GrossTaxPayable_3c</f>
        <v>0</v>
      </c>
      <c r="C225" s="917">
        <f>E139+E129</f>
        <v>0</v>
      </c>
      <c r="D225" s="917">
        <f>F152</f>
        <v>0</v>
      </c>
      <c r="E225" s="917">
        <f>F165</f>
        <v>0</v>
      </c>
      <c r="F225" s="917">
        <f>F211+F178</f>
        <v>0</v>
      </c>
      <c r="G225" s="940">
        <f>F189+F274</f>
        <v>0</v>
      </c>
      <c r="H225" s="940">
        <f>F200</f>
        <v>0</v>
      </c>
      <c r="I225" s="940">
        <f>B217</f>
        <v>0</v>
      </c>
      <c r="J225" s="917">
        <f>SUM(B225:I225)</f>
        <v>0</v>
      </c>
      <c r="K225" s="917">
        <f>MAX(J225-Sheet9.RebateUs88E,0)</f>
        <v>0</v>
      </c>
      <c r="L225" s="917">
        <f>MAX($J$220-$L$217,0)/$L$219*(MAX(0,K225-SI_115BBE-SI_PTI115BBE))+$J$219</f>
        <v>0</v>
      </c>
      <c r="M225" s="917">
        <f>(K225+L225)*0.04</f>
        <v>0</v>
      </c>
      <c r="N225" s="917">
        <f>K225+L225+M225</f>
        <v>0</v>
      </c>
      <c r="O225" s="940">
        <f>MAX(0,N225-Sheet9.TDS-Sheet9.TCS-Sheet9.TotTaxRelief-sheet9.CreditUS115JD-sheet9.GrossTaxPayable_3b)</f>
        <v>0</v>
      </c>
      <c r="P225" s="940">
        <f>O225*0.75</f>
        <v>0</v>
      </c>
      <c r="Q225" s="940"/>
      <c r="R225" s="917">
        <f>Qtr_3+R224</f>
        <v>0</v>
      </c>
      <c r="S225" s="940">
        <f>MAX(0,FLOOR(MAX(0,P225-R225),100))</f>
        <v>0</v>
      </c>
      <c r="T225" s="917">
        <f>S225*0.03</f>
        <v>0</v>
      </c>
    </row>
    <row r="226" spans="1:20" x14ac:dyDescent="0.2">
      <c r="A226" s="917" t="s">
        <v>1871</v>
      </c>
      <c r="B226" s="917">
        <f>I120+sheet9.GrossTaxPayable_3c</f>
        <v>0</v>
      </c>
      <c r="C226" s="917">
        <f>E140+E130</f>
        <v>0</v>
      </c>
      <c r="D226" s="917">
        <f>F153</f>
        <v>0</v>
      </c>
      <c r="E226" s="917">
        <f>F166</f>
        <v>0</v>
      </c>
      <c r="F226" s="917">
        <f>F212+F179</f>
        <v>0</v>
      </c>
      <c r="G226" s="940">
        <f>F190+F275</f>
        <v>0</v>
      </c>
      <c r="H226" s="940">
        <f>F201</f>
        <v>0</v>
      </c>
      <c r="I226" s="940">
        <f>B217</f>
        <v>0</v>
      </c>
      <c r="J226" s="917">
        <f>SUM(B226:I226)</f>
        <v>0</v>
      </c>
      <c r="K226" s="917">
        <f>MAX(J226-Sheet9.RebateUs88E,0)</f>
        <v>0</v>
      </c>
      <c r="L226" s="917">
        <f>MAX(0,(J219+J220)-L227)</f>
        <v>0</v>
      </c>
      <c r="M226" s="917">
        <f>(K226+L226)*0.04</f>
        <v>0</v>
      </c>
      <c r="N226" s="917">
        <f>K226+L226+M226</f>
        <v>0</v>
      </c>
      <c r="O226" s="940">
        <f>MAX(0,N226-Sheet9.TDS-Sheet9.TCS-Sheet9.TotTaxRelief-sheet9.CreditUS115JD-sheet9.GrossTaxPayable_3b)</f>
        <v>0</v>
      </c>
      <c r="P226" s="940">
        <f>O226*1</f>
        <v>0</v>
      </c>
      <c r="Q226" s="940"/>
      <c r="R226" s="917">
        <f>Qtr_4+R225</f>
        <v>0</v>
      </c>
      <c r="S226" s="940">
        <f>MAX(0,FLOOR(MAX(0,P226-R226),100))</f>
        <v>0</v>
      </c>
      <c r="T226" s="917">
        <f>S226*0.01</f>
        <v>0</v>
      </c>
    </row>
    <row r="227" spans="1:20" x14ac:dyDescent="0.2">
      <c r="A227" s="917" t="s">
        <v>1872</v>
      </c>
      <c r="B227" s="917">
        <f>I121</f>
        <v>0</v>
      </c>
      <c r="C227" s="917">
        <f>E141+E131</f>
        <v>0</v>
      </c>
      <c r="D227" s="917">
        <f>F154</f>
        <v>0</v>
      </c>
      <c r="E227" s="917">
        <f>F167</f>
        <v>0</v>
      </c>
      <c r="F227" s="917">
        <f>F213+F180</f>
        <v>0</v>
      </c>
      <c r="G227" s="940">
        <f>F191+F276</f>
        <v>0</v>
      </c>
      <c r="H227" s="940">
        <f>F202</f>
        <v>0</v>
      </c>
      <c r="I227" s="917">
        <v>0</v>
      </c>
      <c r="J227" s="917">
        <f>SUM(B227:I227)</f>
        <v>0</v>
      </c>
      <c r="K227" s="917">
        <f>MAX(J227-MAX(0,Sheet9.RebateUs88E-J226),0)</f>
        <v>0</v>
      </c>
      <c r="L227" s="917">
        <f>MAX($J$220-$L$217,0)/$L$219*(MAX(0,K227))</f>
        <v>0</v>
      </c>
      <c r="M227" s="917">
        <f>(K227+L227)*0.04</f>
        <v>0</v>
      </c>
      <c r="N227" s="917">
        <f>K227+L227+M227</f>
        <v>0</v>
      </c>
      <c r="O227" s="940">
        <f>MAX(0,N227-MAX(0,(Sheet9.TDS+Sheet9.TCS+Sheet9.TotTaxRelief+sheet9.CreditUS115JD-sheet9.GrossTaxPayable_3b)-N226))</f>
        <v>0</v>
      </c>
      <c r="P227" s="940">
        <f>O227*1</f>
        <v>0</v>
      </c>
      <c r="Q227" s="940"/>
      <c r="R227" s="917">
        <f>Qtr_5</f>
        <v>0</v>
      </c>
      <c r="S227" s="917">
        <f>MAX(0,FLOOR(MAX(0,P227-R227-MAX(0,R226-P226)),100))</f>
        <v>0</v>
      </c>
      <c r="T227" s="917">
        <f>S227*0.01</f>
        <v>0</v>
      </c>
    </row>
    <row r="228" spans="1:20" x14ac:dyDescent="0.2">
      <c r="Q228" s="875" t="s">
        <v>1893</v>
      </c>
      <c r="R228" s="928">
        <f>IF((B70-B68-B69)&gt;=10000,SUM(T223:T227),0)</f>
        <v>0</v>
      </c>
    </row>
    <row r="231" spans="1:20" x14ac:dyDescent="0.2">
      <c r="A231" s="870" t="s">
        <v>1899</v>
      </c>
      <c r="B231" s="871"/>
      <c r="C231" s="871"/>
    </row>
    <row r="232" spans="1:20" x14ac:dyDescent="0.2">
      <c r="C232" s="873">
        <f>Sheet8b.GrossTotalIncome-Sheet8b.DeductionsUnder10Aor10AA-Sheet8b.DeductionsUnderScheduleVIA</f>
        <v>0</v>
      </c>
      <c r="D232" s="872" t="s">
        <v>1901</v>
      </c>
      <c r="E232" s="576">
        <f>Sheet8b.GrossTotalIncome-Sheet8b.DeductionsUnder10Aor10AA-Sheet8b.DeductionsUnderScheduleVIA</f>
        <v>0</v>
      </c>
    </row>
    <row r="233" spans="1:20" x14ac:dyDescent="0.2">
      <c r="D233" s="872" t="s">
        <v>1902</v>
      </c>
      <c r="E233" s="576">
        <f>IF(E232-Sheet8b.IncChargeableTaxSplRates&gt;0,IF((E232-Sheet8b.IncChargeableTaxSplRates)&gt;=exemption,exemption,(E232-Sheet8b.IncChargeableTaxSplRates)),0)</f>
        <v>0</v>
      </c>
      <c r="F233" s="952" t="s">
        <v>1770</v>
      </c>
      <c r="G233" s="953"/>
    </row>
    <row r="234" spans="1:20" ht="25.5" x14ac:dyDescent="0.2">
      <c r="A234" s="905" t="s">
        <v>1664</v>
      </c>
      <c r="B234" s="577">
        <f>Sheet9.BalTaxPayable</f>
        <v>0</v>
      </c>
      <c r="D234" s="1571" t="s">
        <v>1755</v>
      </c>
      <c r="E234" s="577">
        <f>SUM(splRateInc22,'SPI - SI - IF'!G23,-taxableInc22,-'SPI - SI - IF'!H23,'SPI - SI - IF'!G62,-'SPI - SI - IF'!H62)</f>
        <v>0</v>
      </c>
      <c r="F234" s="1571" t="s">
        <v>9670</v>
      </c>
      <c r="G234" s="576">
        <f>getSlabbedIncome(B237,1)</f>
        <v>0</v>
      </c>
      <c r="H234" s="873">
        <f>getSlabbedIncome(B237,10)</f>
        <v>0</v>
      </c>
      <c r="I234" s="954" t="s">
        <v>8164</v>
      </c>
      <c r="J234" s="955">
        <f>MAX(0,10000000-SUM(E233:E236)-B240)</f>
        <v>10000000</v>
      </c>
    </row>
    <row r="235" spans="1:20" x14ac:dyDescent="0.2">
      <c r="A235" s="905" t="s">
        <v>1666</v>
      </c>
      <c r="B235" s="577">
        <f>Sheet8b.TotalIncome</f>
        <v>0</v>
      </c>
      <c r="D235" s="872" t="s">
        <v>1756</v>
      </c>
      <c r="E235" s="577">
        <f>(splRateInc1A-taxableInc1A)</f>
        <v>0</v>
      </c>
      <c r="F235" s="872" t="s">
        <v>1775</v>
      </c>
      <c r="G235" s="576">
        <f>getSlabbedIncome(B237,2)</f>
        <v>0</v>
      </c>
      <c r="H235" s="873">
        <f>getSlabbedIncome(B237,15)</f>
        <v>0</v>
      </c>
    </row>
    <row r="236" spans="1:20" x14ac:dyDescent="0.2">
      <c r="A236" s="905" t="s">
        <v>1745</v>
      </c>
      <c r="B236" s="577">
        <f>Sheet8b.IncChargeableTaxSplRates</f>
        <v>0</v>
      </c>
      <c r="D236" s="872" t="s">
        <v>1757</v>
      </c>
      <c r="E236" s="577">
        <f>(splRateInc21-taxableInc21)</f>
        <v>0</v>
      </c>
      <c r="F236" s="872" t="s">
        <v>1776</v>
      </c>
      <c r="G236" s="576">
        <f>getSlabbedIncome(B237,3)</f>
        <v>0</v>
      </c>
      <c r="H236" s="873">
        <f>getSlabbedIncome(B237,25)</f>
        <v>0</v>
      </c>
    </row>
    <row r="237" spans="1:20" ht="25.5" x14ac:dyDescent="0.2">
      <c r="A237" s="956" t="s">
        <v>1746</v>
      </c>
      <c r="B237" s="577">
        <f>B235-B236</f>
        <v>0</v>
      </c>
    </row>
    <row r="238" spans="1:20" x14ac:dyDescent="0.2">
      <c r="A238" s="956" t="s">
        <v>1900</v>
      </c>
      <c r="B238" s="577" cm="1">
        <f t="array" ref="B238">IF(bacValue=1,calcTaxPayableOnTINTR(B237),calculateTaxPayable(B237))</f>
        <v>0</v>
      </c>
      <c r="D238" s="957"/>
      <c r="E238" s="957" t="s">
        <v>1903</v>
      </c>
      <c r="F238" s="957" t="s">
        <v>1904</v>
      </c>
      <c r="G238" s="957" t="s">
        <v>1905</v>
      </c>
      <c r="H238" s="957" t="s">
        <v>1906</v>
      </c>
      <c r="I238" s="957" t="s">
        <v>1907</v>
      </c>
      <c r="J238" s="957" t="s">
        <v>1908</v>
      </c>
      <c r="K238" s="957" t="s">
        <v>1909</v>
      </c>
      <c r="L238" s="957" t="s">
        <v>7915</v>
      </c>
    </row>
    <row r="239" spans="1:20" x14ac:dyDescent="0.2">
      <c r="A239" s="905" t="s">
        <v>1747</v>
      </c>
      <c r="B239" s="577">
        <f>sheet9.TaxAtSpecialRates</f>
        <v>0</v>
      </c>
      <c r="D239" s="891" t="s">
        <v>1860</v>
      </c>
      <c r="E239" s="940">
        <f>SUM(G234,'SPI - SI - IF'!H32:H35,'SPI - SI - IF'!H44,'SPI - SI - IF'!H67:H70,'SPI - SI - IF'!H76)</f>
        <v>0</v>
      </c>
      <c r="F239" s="940">
        <f>SUM(H234,'SPI - SI - IF'!H22:H24,'SPI - SI - IF'!H39:H42,'SPI - SI - IF'!H45,'SPI - SI - IF'!H46,'SPI - SI - IF'!H57,'SPI - SI - IF'!H38,'SPI - SI - IF'!H49,'SPI - SI - IF'!H27,'SPI - SI - IF'!H52,'SPI - SI - IF'!H28,'SPI - SI - IF'!H54,'SPI - SI - IF'!H63,'SPI - SI - IF'!H72:H74,'SPI - SI - IF'!H80,'SPI - SI - IF'!H82:H83,'SPI - SI - IF'!H62)</f>
        <v>0</v>
      </c>
      <c r="G239" s="940">
        <f>SUM(H235,'SPI - SI - IF'!H20,'SPI - SI - IF'!H29,'SPI - SI - IF'!H60)</f>
        <v>0</v>
      </c>
      <c r="H239" s="940">
        <f>SUM(G235,'SPI - SI - IF'!H21,'SPI - SI - IF'!H30,'SPI - SI - IF'!H31,'SPI - SI - IF'!H36,'SPI - SI - IF'!H43,'SPI - SI - IF'!H47,'SPI - SI - IF'!H55,'SPI - SI - IF'!H56,'SPI - SI - IF'!H64:H66,'SPI - SI - IF'!H71,'SPI - SI - IF'!H75,'SPI - SI - IF'!H78,'SPI - SI - IF'!H92)</f>
        <v>0</v>
      </c>
      <c r="I239" s="940">
        <f>H236</f>
        <v>0</v>
      </c>
      <c r="J239" s="940">
        <f>SUM(G236,'SPI - SI - IF'!H26,taxableInc115BB,'SPI - SI - IF'!H48,'SPI - SI - IF'!H61,,'SPI - SI - IF'!H77,,'SPI - SI - IF'!H79)</f>
        <v>0</v>
      </c>
      <c r="K239" s="940">
        <f>SUM('SPI - SI - IF'!H37)</f>
        <v>0</v>
      </c>
      <c r="L239" s="940">
        <f>SUM('SPI - SI - IF'!H50,'SPI - SI - IF'!H81)</f>
        <v>0</v>
      </c>
    </row>
    <row r="240" spans="1:20" x14ac:dyDescent="0.2">
      <c r="A240" s="905" t="s">
        <v>1669</v>
      </c>
      <c r="B240" s="577">
        <f>DTAA_Inc_CG+DTAA_Inc_OS+SUM('SPI - SI - IF'!H58:H59)</f>
        <v>0</v>
      </c>
      <c r="D240" s="891" t="s">
        <v>1910</v>
      </c>
      <c r="E240" s="917" t="b">
        <f>IF(E239&lt;J234,TRUE,FALSE)</f>
        <v>1</v>
      </c>
      <c r="F240" s="917" t="b">
        <f t="shared" ref="F240:L240" si="0">IF(F239&lt;E242,TRUE,FALSE)</f>
        <v>1</v>
      </c>
      <c r="G240" s="917" t="b">
        <f t="shared" si="0"/>
        <v>1</v>
      </c>
      <c r="H240" s="917" t="b">
        <f t="shared" si="0"/>
        <v>1</v>
      </c>
      <c r="I240" s="917" t="b">
        <f t="shared" si="0"/>
        <v>1</v>
      </c>
      <c r="J240" s="917" t="b">
        <f t="shared" si="0"/>
        <v>1</v>
      </c>
      <c r="K240" s="917" t="b">
        <f t="shared" si="0"/>
        <v>1</v>
      </c>
      <c r="L240" s="917" t="b">
        <f t="shared" si="0"/>
        <v>1</v>
      </c>
    </row>
    <row r="241" spans="1:14" x14ac:dyDescent="0.2">
      <c r="A241" s="905" t="s">
        <v>1670</v>
      </c>
      <c r="B241" s="577">
        <f>DTAA_TAX_CG+DTAA_TAX_OS+DTAA_TAX_OS_1+DTAA_TAX_OS_2</f>
        <v>0</v>
      </c>
      <c r="D241" s="891" t="s">
        <v>1911</v>
      </c>
      <c r="E241" s="917">
        <f>IF(E240,E239*0.05,J234*0.05)</f>
        <v>0</v>
      </c>
      <c r="F241" s="917">
        <f>IF(F240,E241+((F239-'SPI - SI - IF'!H23-'SPI - SI - IF'!H46-'SPI - SI - IF'!H62+MAX(0,'SPI - SI - IF'!H23+'SPI - SI - IF'!H62-100000)+MAX(0,'SPI - SI - IF'!H46-100000))*0.1),E241+(E242*0.1))</f>
        <v>0</v>
      </c>
      <c r="G241" s="917">
        <f>IF(G240,F241+(G239*0.15),F241+(F242*0.15))</f>
        <v>0</v>
      </c>
      <c r="H241" s="917">
        <f>IF(H240,G241+(H239*0.2),G241+(G242*0.2))</f>
        <v>0</v>
      </c>
      <c r="I241" s="917">
        <f>IF(I240,H241+(I239*0.25),H241+(H242*0.25))</f>
        <v>0</v>
      </c>
      <c r="J241" s="917">
        <f>IF(J240,I241+(J239*0.3),I241+(I242*0.3))</f>
        <v>0</v>
      </c>
      <c r="K241" s="917">
        <f>IF(K240,J241+(K239*0.5),J241+(J242*0.5))</f>
        <v>0</v>
      </c>
      <c r="L241" s="917">
        <f>TRUNC(IF(L240,K241+(L239*0.6),K241+(K242*0.6)),0)</f>
        <v>0</v>
      </c>
    </row>
    <row r="242" spans="1:14" x14ac:dyDescent="0.2">
      <c r="A242" s="905" t="s">
        <v>1619</v>
      </c>
      <c r="B242" s="577">
        <f>B235</f>
        <v>0</v>
      </c>
      <c r="D242" s="891" t="s">
        <v>1912</v>
      </c>
      <c r="E242" s="917">
        <f>IF(E240,J234-E239,0)</f>
        <v>10000000</v>
      </c>
      <c r="F242" s="917">
        <f t="shared" ref="F242:L242" si="1">IF(F240,E242-F239,0)</f>
        <v>10000000</v>
      </c>
      <c r="G242" s="917">
        <f t="shared" si="1"/>
        <v>10000000</v>
      </c>
      <c r="H242" s="917">
        <f t="shared" si="1"/>
        <v>10000000</v>
      </c>
      <c r="I242" s="917">
        <f t="shared" si="1"/>
        <v>10000000</v>
      </c>
      <c r="J242" s="917">
        <f t="shared" si="1"/>
        <v>10000000</v>
      </c>
      <c r="K242" s="917">
        <f t="shared" si="1"/>
        <v>10000000</v>
      </c>
      <c r="L242" s="917">
        <f t="shared" si="1"/>
        <v>10000000</v>
      </c>
    </row>
    <row r="243" spans="1:14" x14ac:dyDescent="0.2">
      <c r="A243" s="905" t="s">
        <v>1748</v>
      </c>
      <c r="B243" s="577">
        <f>B238+B239</f>
        <v>0</v>
      </c>
    </row>
    <row r="244" spans="1:14" x14ac:dyDescent="0.2">
      <c r="A244" s="905"/>
      <c r="B244" s="577"/>
      <c r="D244" s="958" t="s">
        <v>7904</v>
      </c>
      <c r="E244" s="577">
        <f>B243</f>
        <v>0</v>
      </c>
      <c r="F244" s="383" t="s">
        <v>7909</v>
      </c>
      <c r="G244" s="576">
        <f>MAX(0,(K242*0.6))*0.25</f>
        <v>1500000</v>
      </c>
      <c r="J244" s="873">
        <f>I241+J239*0.3</f>
        <v>0</v>
      </c>
    </row>
    <row r="245" spans="1:14" x14ac:dyDescent="0.2">
      <c r="A245" s="905" t="s">
        <v>1621</v>
      </c>
      <c r="B245" s="577">
        <f>L241+B241</f>
        <v>0</v>
      </c>
      <c r="D245" s="144" t="s">
        <v>7905</v>
      </c>
      <c r="E245" s="576">
        <f xml:space="preserve"> ROUND(0.25 *( SI_115BBE+SI_PTI115BBE),0)</f>
        <v>0</v>
      </c>
      <c r="F245" s="383" t="s">
        <v>7910</v>
      </c>
      <c r="G245" s="577">
        <f>MAX(0,E247-E249)</f>
        <v>0</v>
      </c>
    </row>
    <row r="246" spans="1:14" x14ac:dyDescent="0.2">
      <c r="A246" s="905" t="s">
        <v>1624</v>
      </c>
      <c r="B246" s="577">
        <f>IF(FLOOR(B242,10)&gt;10000000,B234*0.15,0)</f>
        <v>0</v>
      </c>
      <c r="D246" s="959" t="s">
        <v>7906</v>
      </c>
      <c r="E246" s="576">
        <f>MAX(0,ROUND(0.15 *((sheet9.TaxPayableOnTotInc)-SI_115BBE-SI_PTI115BBE),0))</f>
        <v>0</v>
      </c>
      <c r="F246" s="960" t="s">
        <v>1856</v>
      </c>
      <c r="G246" s="577">
        <f>MAX(0,(E245+E246-G245))</f>
        <v>0</v>
      </c>
    </row>
    <row r="247" spans="1:14" x14ac:dyDescent="0.2">
      <c r="A247" s="905" t="s">
        <v>1626</v>
      </c>
      <c r="B247" s="577">
        <f>MAX(FLOOR(B242,10)-10000000,0)</f>
        <v>0</v>
      </c>
      <c r="D247" s="576" t="s">
        <v>7907</v>
      </c>
      <c r="E247" s="577">
        <f>SUM(E244:E246)</f>
        <v>0</v>
      </c>
    </row>
    <row r="248" spans="1:14" x14ac:dyDescent="0.2">
      <c r="A248" s="905" t="s">
        <v>1761</v>
      </c>
      <c r="B248" s="577">
        <f>MAX(B243+B246-B245-B247,0)</f>
        <v>0</v>
      </c>
      <c r="D248" s="708" t="s">
        <v>8228</v>
      </c>
      <c r="E248" s="577">
        <f>B245</f>
        <v>0</v>
      </c>
      <c r="F248" s="961" t="s">
        <v>7911</v>
      </c>
      <c r="G248" s="576">
        <f>MAX(0,E245)</f>
        <v>0</v>
      </c>
    </row>
    <row r="249" spans="1:14" x14ac:dyDescent="0.2">
      <c r="A249" s="905" t="s">
        <v>1762</v>
      </c>
      <c r="B249" s="577">
        <f>MAX(0,IF((B243+B246)&gt;(B245+B247),ROUND(B246-B248,0),ROUND(B246,0)))</f>
        <v>0</v>
      </c>
      <c r="D249" s="708" t="s">
        <v>7908</v>
      </c>
      <c r="E249" s="577">
        <f>MAX(0,E248+B247+G244+(0.1*J241))</f>
        <v>1500000</v>
      </c>
      <c r="F249" s="961" t="s">
        <v>7912</v>
      </c>
      <c r="G249" s="576">
        <f>IF(B235&gt;10000000,MAX(0,G246-G248),0)</f>
        <v>0</v>
      </c>
    </row>
    <row r="253" spans="1:14" x14ac:dyDescent="0.2">
      <c r="I253" s="962" t="s">
        <v>6524</v>
      </c>
      <c r="J253" s="963"/>
      <c r="K253" s="963"/>
      <c r="L253" s="963"/>
      <c r="M253" s="963"/>
      <c r="N253" s="897"/>
    </row>
    <row r="254" spans="1:14" ht="15" customHeight="1" x14ac:dyDescent="0.2">
      <c r="A254" s="931" t="s">
        <v>1894</v>
      </c>
      <c r="B254" s="576" t="s">
        <v>6523</v>
      </c>
      <c r="C254" s="576" t="b">
        <f>E68</f>
        <v>0</v>
      </c>
      <c r="D254" s="576" t="s">
        <v>1898</v>
      </c>
      <c r="E254" s="576">
        <f>sheet9.TotalTax_DI</f>
        <v>0</v>
      </c>
      <c r="I254" s="94" t="s">
        <v>1207</v>
      </c>
      <c r="J254" s="106"/>
      <c r="K254" s="106"/>
      <c r="L254" s="106"/>
      <c r="M254" s="107"/>
      <c r="N254" s="69">
        <f>MAX(0,IF(C254,Sheet8b.TotalIncome-(sheet11.Section44AD+sheet11.Section44ADA),0))</f>
        <v>0</v>
      </c>
    </row>
    <row r="255" spans="1:14" ht="15" x14ac:dyDescent="0.25">
      <c r="I255" s="3384" t="s">
        <v>1208</v>
      </c>
      <c r="J255" s="3384"/>
      <c r="K255" s="3384"/>
      <c r="L255" s="3384"/>
      <c r="M255" s="97"/>
      <c r="N255" s="103"/>
    </row>
    <row r="256" spans="1:14" ht="25.5" customHeight="1" x14ac:dyDescent="0.2">
      <c r="I256" s="84" t="s">
        <v>865</v>
      </c>
      <c r="J256" s="85" t="s">
        <v>1209</v>
      </c>
      <c r="K256" s="86" t="s">
        <v>697</v>
      </c>
      <c r="L256" s="101">
        <f>(Sheet8b.PartCchapterVIA)</f>
        <v>0</v>
      </c>
      <c r="M256" s="98"/>
      <c r="N256" s="104"/>
    </row>
    <row r="257" spans="1:16" ht="25.5" x14ac:dyDescent="0.2">
      <c r="A257" s="423" t="s">
        <v>1859</v>
      </c>
      <c r="B257" s="938" t="s">
        <v>1858</v>
      </c>
      <c r="C257" s="937" t="s">
        <v>1895</v>
      </c>
      <c r="D257" s="937" t="s">
        <v>1889</v>
      </c>
      <c r="E257" s="951" t="s">
        <v>7678</v>
      </c>
      <c r="F257" s="937" t="s">
        <v>1890</v>
      </c>
      <c r="G257" s="937" t="s">
        <v>1891</v>
      </c>
      <c r="H257" s="937" t="s">
        <v>1892</v>
      </c>
      <c r="I257" s="87" t="s">
        <v>866</v>
      </c>
      <c r="J257" s="88" t="s">
        <v>1210</v>
      </c>
      <c r="K257" s="89" t="s">
        <v>699</v>
      </c>
      <c r="L257" s="105">
        <f>MIN(busipofincl.IncOfCurYrAfterSetOffBFLosses2+busipofinclspec.IncOfCurYrAfterSetOffBFLosses2a+busipofinclspecified.IncOfCurYrAfterSetOffBFLosses2b,AA10.TotalDedUs10Sub)</f>
        <v>0</v>
      </c>
      <c r="M257" s="102"/>
      <c r="N257" s="100"/>
    </row>
    <row r="258" spans="1:16" ht="28.5" customHeight="1" x14ac:dyDescent="0.2">
      <c r="A258" s="917" t="s">
        <v>7674</v>
      </c>
      <c r="B258" s="917">
        <f>IF(P95,SUM(E254),0)+sheet9.GrossTaxPayable_3c</f>
        <v>0</v>
      </c>
      <c r="C258" s="940">
        <f>MAX(0,B258-Sheet9.TDS-Sheet9.TCS-Sheet9.TotTaxRelief-Sheet9.RebateUs88E)</f>
        <v>0</v>
      </c>
      <c r="D258" s="940">
        <f>C258*0.15</f>
        <v>0</v>
      </c>
      <c r="E258" s="940">
        <f>FLOOR(0.12*C258,100)</f>
        <v>0</v>
      </c>
      <c r="F258" s="917">
        <f>Qtr_1</f>
        <v>0</v>
      </c>
      <c r="G258" s="940">
        <f>IF(F258&gt;=E258,0,MAX(0,FLOOR(MAX(0,D258-F258),100)))</f>
        <v>0</v>
      </c>
      <c r="H258" s="917">
        <f>G258*0.03</f>
        <v>0</v>
      </c>
      <c r="I258" s="90" t="s">
        <v>867</v>
      </c>
      <c r="J258" s="91" t="s">
        <v>1211</v>
      </c>
      <c r="K258" s="92" t="s">
        <v>322</v>
      </c>
      <c r="L258" s="101">
        <f>SUM(L256:L257)</f>
        <v>0</v>
      </c>
      <c r="M258" s="102"/>
      <c r="N258" s="100"/>
    </row>
    <row r="259" spans="1:16" x14ac:dyDescent="0.2">
      <c r="A259" s="917" t="s">
        <v>1869</v>
      </c>
      <c r="B259" s="917">
        <f>IF(P96,SUM(E254),0)+sheet9.GrossTaxPayable_3c</f>
        <v>0</v>
      </c>
      <c r="C259" s="940">
        <f>MAX(0,B259-Sheet9.TDS-Sheet9.TCS-Sheet9.TotTaxRelief-Sheet9.RebateUs88E)</f>
        <v>0</v>
      </c>
      <c r="D259" s="940">
        <f>C259*0.45</f>
        <v>0</v>
      </c>
      <c r="E259" s="940">
        <f>FLOOR(0.36*C259,100)</f>
        <v>0</v>
      </c>
      <c r="F259" s="917">
        <f>Qtr_2+F258</f>
        <v>0</v>
      </c>
      <c r="G259" s="940">
        <f>IF(F259&gt;=E259,0,MAX(0,FLOOR(MAX(0,D259-F259),100)))</f>
        <v>0</v>
      </c>
      <c r="H259" s="917">
        <f>G259*0.03</f>
        <v>0</v>
      </c>
      <c r="I259" s="95" t="s">
        <v>1212</v>
      </c>
      <c r="J259" s="95"/>
      <c r="K259" s="93">
        <v>3</v>
      </c>
      <c r="L259" s="101">
        <f>N254+L258</f>
        <v>0</v>
      </c>
      <c r="M259" s="964"/>
    </row>
    <row r="260" spans="1:16" ht="15" customHeight="1" x14ac:dyDescent="0.2">
      <c r="A260" s="917" t="s">
        <v>1870</v>
      </c>
      <c r="B260" s="917">
        <f>IF(P97,SUM(E254),)+sheet9.GrossTaxPayable_3c</f>
        <v>0</v>
      </c>
      <c r="C260" s="940">
        <f>MAX(0,B260-Sheet9.TDS-Sheet9.TCS-Sheet9.TotTaxRelief-Sheet9.RebateUs88E)</f>
        <v>0</v>
      </c>
      <c r="D260" s="940">
        <f>C260*0.75</f>
        <v>0</v>
      </c>
      <c r="E260" s="940"/>
      <c r="F260" s="917">
        <f>Qtr_3+F259</f>
        <v>0</v>
      </c>
      <c r="G260" s="940">
        <f>MAX(0,FLOOR(MAX(0,D260-F260),100))</f>
        <v>0</v>
      </c>
      <c r="H260" s="917">
        <f>G260*0.03</f>
        <v>0</v>
      </c>
      <c r="I260" s="96" t="s">
        <v>1213</v>
      </c>
      <c r="J260" s="96"/>
      <c r="K260" s="99">
        <v>4</v>
      </c>
      <c r="L260" s="34">
        <f>IF(L258 &lt;=0,0,IF(L259&lt;=2000000,0,MAX(0,ROUND(0.185*L259,0))))</f>
        <v>0</v>
      </c>
      <c r="M260" s="965"/>
    </row>
    <row r="261" spans="1:16" ht="18.75" customHeight="1" x14ac:dyDescent="0.2">
      <c r="A261" s="917" t="s">
        <v>1871</v>
      </c>
      <c r="B261" s="917">
        <f>IF(P98,SUM(E254),0)+sheet9.GrossTaxPayable_3c</f>
        <v>0</v>
      </c>
      <c r="C261" s="940">
        <f>MAX(0,B261-Sheet9.TDS-Sheet9.TCS-Sheet9.TotTaxRelief-Sheet9.RebateUs88E)</f>
        <v>0</v>
      </c>
      <c r="D261" s="940">
        <f>C261*1</f>
        <v>0</v>
      </c>
      <c r="E261" s="940"/>
      <c r="F261" s="917">
        <f>Qtr_4+F260</f>
        <v>0</v>
      </c>
      <c r="G261" s="940">
        <f>MAX(0,FLOOR(MAX(0,D261-F261),100))</f>
        <v>0</v>
      </c>
      <c r="H261" s="917">
        <f>G261*0.01</f>
        <v>0</v>
      </c>
      <c r="M261" s="966" t="s">
        <v>6525</v>
      </c>
      <c r="N261" s="967"/>
      <c r="O261" s="967"/>
      <c r="P261" s="968"/>
    </row>
    <row r="262" spans="1:16" ht="15" customHeight="1" x14ac:dyDescent="0.2">
      <c r="A262" s="917" t="s">
        <v>1872</v>
      </c>
      <c r="B262" s="917">
        <f>IF(P99,IF(P98,0,SUM(E254)),0)</f>
        <v>0</v>
      </c>
      <c r="C262" s="940">
        <f>MAX(0,B262-Sheet9.TDS-Sheet9.TCS-Sheet9.TotTaxRelief-Sheet9.RebateUs88E)</f>
        <v>0</v>
      </c>
      <c r="D262" s="940">
        <f>C262*1</f>
        <v>0</v>
      </c>
      <c r="E262" s="940"/>
      <c r="F262" s="917">
        <f>Qtr_5</f>
        <v>0</v>
      </c>
      <c r="G262" s="940">
        <f>MAX(0,FLOOR(MAX(0,D262-F262),100))</f>
        <v>0</v>
      </c>
      <c r="H262" s="917">
        <f>G262*0.01</f>
        <v>0</v>
      </c>
      <c r="I262" s="89" t="s">
        <v>27</v>
      </c>
      <c r="J262" s="94" t="s">
        <v>691</v>
      </c>
      <c r="K262" s="89" t="s">
        <v>328</v>
      </c>
      <c r="L262" s="3">
        <f>L260</f>
        <v>0</v>
      </c>
      <c r="M262" s="969"/>
      <c r="N262" s="970" t="s">
        <v>1675</v>
      </c>
      <c r="O262" s="971"/>
      <c r="P262" s="972"/>
    </row>
    <row r="263" spans="1:16" ht="15" customHeight="1" x14ac:dyDescent="0.2">
      <c r="G263" s="576" t="s">
        <v>1893</v>
      </c>
      <c r="H263" s="1564">
        <f>IF(B70&gt;=10000,SUM(H258:H262),0)</f>
        <v>0</v>
      </c>
      <c r="I263" s="89" t="s">
        <v>28</v>
      </c>
      <c r="J263" s="94" t="s">
        <v>692</v>
      </c>
      <c r="K263" s="89" t="s">
        <v>330</v>
      </c>
      <c r="L263" s="3">
        <f>N279</f>
        <v>0</v>
      </c>
      <c r="M263" s="898"/>
      <c r="N263" s="973" t="s">
        <v>1620</v>
      </c>
      <c r="O263" s="899"/>
      <c r="P263" s="903"/>
    </row>
    <row r="264" spans="1:16" ht="15" customHeight="1" x14ac:dyDescent="0.2">
      <c r="I264" s="92" t="s">
        <v>29</v>
      </c>
      <c r="J264" s="94" t="s">
        <v>693</v>
      </c>
      <c r="K264" s="92" t="s">
        <v>303</v>
      </c>
      <c r="L264" s="3">
        <f>ROUND(0.04*(L262+L263),0)</f>
        <v>0</v>
      </c>
      <c r="M264" s="872" t="s">
        <v>1623</v>
      </c>
      <c r="N264" s="577">
        <f>L262</f>
        <v>0</v>
      </c>
      <c r="O264" s="899"/>
      <c r="P264" s="903"/>
    </row>
    <row r="265" spans="1:16" ht="15" customHeight="1" x14ac:dyDescent="0.2">
      <c r="I265" s="89" t="s">
        <v>36</v>
      </c>
      <c r="J265" s="94" t="s">
        <v>694</v>
      </c>
      <c r="K265" s="89" t="s">
        <v>332</v>
      </c>
      <c r="L265" s="3">
        <f>SUM(L262:L264)</f>
        <v>0</v>
      </c>
      <c r="M265" s="872" t="s">
        <v>1621</v>
      </c>
      <c r="N265" s="576">
        <f>(10000000*0.185)</f>
        <v>1850000</v>
      </c>
      <c r="O265" s="899"/>
      <c r="P265" s="872" t="s">
        <v>1629</v>
      </c>
    </row>
    <row r="266" spans="1:16" x14ac:dyDescent="0.2">
      <c r="M266" s="974" t="s">
        <v>1622</v>
      </c>
      <c r="N266" s="576">
        <f>IF(VALUE(P266)&gt;4,(L259+(10-P266)),L259-P266)</f>
        <v>0</v>
      </c>
      <c r="O266" s="899"/>
      <c r="P266" s="576" t="str">
        <f>RIGHT(L259,1)</f>
        <v>0</v>
      </c>
    </row>
    <row r="267" spans="1:16" x14ac:dyDescent="0.2">
      <c r="A267" s="931" t="s">
        <v>13279</v>
      </c>
      <c r="B267" s="932"/>
      <c r="M267" s="872"/>
      <c r="N267" s="576"/>
      <c r="O267" s="899"/>
      <c r="P267" s="903"/>
    </row>
    <row r="268" spans="1:16" x14ac:dyDescent="0.2">
      <c r="A268" s="576" t="s">
        <v>1755</v>
      </c>
      <c r="B268" s="577">
        <f>E91</f>
        <v>0</v>
      </c>
      <c r="E268" s="941"/>
      <c r="M268" s="872" t="s">
        <v>1624</v>
      </c>
      <c r="N268" s="576">
        <f>IF(N266&gt;10000000,N264*0.15,0)</f>
        <v>0</v>
      </c>
      <c r="O268" s="899"/>
      <c r="P268" s="903"/>
    </row>
    <row r="269" spans="1:16" x14ac:dyDescent="0.2">
      <c r="A269" s="576" t="s">
        <v>1877</v>
      </c>
      <c r="B269" s="576">
        <f>COUNTIF(B273:B276,"&gt;0")</f>
        <v>0</v>
      </c>
      <c r="E269" s="941"/>
      <c r="M269" s="898"/>
      <c r="N269" s="899"/>
      <c r="O269" s="899"/>
      <c r="P269" s="903"/>
    </row>
    <row r="270" spans="1:16" x14ac:dyDescent="0.2">
      <c r="M270" s="898" t="s">
        <v>1625</v>
      </c>
      <c r="N270" s="899"/>
      <c r="O270" s="899"/>
      <c r="P270" s="903"/>
    </row>
    <row r="271" spans="1:16" x14ac:dyDescent="0.2">
      <c r="A271" s="2624" t="s">
        <v>1859</v>
      </c>
      <c r="B271" s="936" t="s">
        <v>1860</v>
      </c>
      <c r="C271" s="937" t="s">
        <v>1861</v>
      </c>
      <c r="D271" s="938" t="s">
        <v>1862</v>
      </c>
      <c r="E271" s="938" t="s">
        <v>1863</v>
      </c>
      <c r="F271" s="937" t="s">
        <v>1866</v>
      </c>
      <c r="G271" s="939" t="s">
        <v>1856</v>
      </c>
      <c r="H271" s="939" t="s">
        <v>1867</v>
      </c>
      <c r="I271" s="939" t="s">
        <v>1868</v>
      </c>
      <c r="M271" s="898"/>
      <c r="N271" s="899"/>
      <c r="O271" s="899"/>
      <c r="P271" s="903"/>
    </row>
    <row r="272" spans="1:16" x14ac:dyDescent="0.2">
      <c r="A272" s="917" t="s">
        <v>7674</v>
      </c>
      <c r="B272" s="917">
        <f>DTAA.Upto15Of6</f>
        <v>0</v>
      </c>
      <c r="C272" s="940">
        <f>B272-D272</f>
        <v>0</v>
      </c>
      <c r="D272" s="917">
        <f>B272</f>
        <v>0</v>
      </c>
      <c r="E272" s="917">
        <f>D272</f>
        <v>0</v>
      </c>
      <c r="F272" s="940">
        <f>IF(ISERROR('SPI - SI - IF'!I19*E272/SUM(B272:B276)),0,'SPI - SI - IF'!I19*E272/SUM(B272:B276))</f>
        <v>0</v>
      </c>
      <c r="G272" s="934">
        <f>IF(SurchargeUsed44AD&gt;0,IF(MarginalRelief,(SurchargeUsed44AD*(F272/BalTaxPay44AD)),F272*0.15),0)</f>
        <v>0</v>
      </c>
      <c r="H272" s="934">
        <f>(F272+G272)*0.04</f>
        <v>0</v>
      </c>
      <c r="I272" s="934">
        <f>F272+G272+H272</f>
        <v>0</v>
      </c>
      <c r="M272" s="898"/>
      <c r="N272" s="899"/>
      <c r="O272" s="899"/>
      <c r="P272" s="903"/>
    </row>
    <row r="273" spans="1:17" x14ac:dyDescent="0.2">
      <c r="A273" s="917" t="s">
        <v>1869</v>
      </c>
      <c r="B273" s="917">
        <f>DTAA.Upto15Of9</f>
        <v>0</v>
      </c>
      <c r="C273" s="940">
        <f>B273-D273</f>
        <v>0</v>
      </c>
      <c r="D273" s="917">
        <f>B273</f>
        <v>0</v>
      </c>
      <c r="E273" s="917">
        <f>D273+E272</f>
        <v>0</v>
      </c>
      <c r="F273" s="940">
        <f>IF(ISERROR('SPI - SI - IF'!I19*E273/SUM(B272:B276)),0,'SPI - SI - IF'!I19*E273/SUM(B272:B276))</f>
        <v>0</v>
      </c>
      <c r="G273" s="934">
        <f>IF(SurchargeUsed44AD&gt;0,IF(MarginalRelief,(SurchargeUsed44AD*(F273/BalTaxPay44AD)),F273*0.15),0)</f>
        <v>0</v>
      </c>
      <c r="H273" s="934">
        <f>(F273+G273)*0.04</f>
        <v>0</v>
      </c>
      <c r="I273" s="934">
        <f>F273+G273+H273</f>
        <v>0</v>
      </c>
      <c r="M273" s="898"/>
      <c r="N273" s="899"/>
      <c r="O273" s="899"/>
      <c r="P273" s="903"/>
    </row>
    <row r="274" spans="1:17" x14ac:dyDescent="0.2">
      <c r="A274" s="917" t="s">
        <v>1870</v>
      </c>
      <c r="B274" s="917">
        <f>DTAA.Up16Of9To15Of12</f>
        <v>0</v>
      </c>
      <c r="C274" s="940">
        <f>B274-D274</f>
        <v>0</v>
      </c>
      <c r="D274" s="917">
        <f>B274</f>
        <v>0</v>
      </c>
      <c r="E274" s="917">
        <f>D274+E273</f>
        <v>0</v>
      </c>
      <c r="F274" s="940">
        <f>IF(ISERROR('SPI - SI - IF'!I19*E274/SUM(B272:B276)),0,'SPI - SI - IF'!I19*E274/SUM(B272:B276))</f>
        <v>0</v>
      </c>
      <c r="G274" s="934">
        <f>IF(SurchargeUsed44AD&gt;0,IF(MarginalRelief,(SurchargeUsed44AD*(F274/BalTaxPay44AD)),F274*0.15),0)</f>
        <v>0</v>
      </c>
      <c r="H274" s="934">
        <f>(F274+G274)*0.04</f>
        <v>0</v>
      </c>
      <c r="I274" s="934">
        <f>F274+G274+H274</f>
        <v>0</v>
      </c>
      <c r="M274" s="898"/>
      <c r="N274" s="899"/>
      <c r="O274" s="899"/>
      <c r="P274" s="903"/>
    </row>
    <row r="275" spans="1:17" x14ac:dyDescent="0.2">
      <c r="A275" s="917" t="s">
        <v>1871</v>
      </c>
      <c r="B275" s="917">
        <f>DTAA.Up16Of12To15Of3</f>
        <v>0</v>
      </c>
      <c r="C275" s="940">
        <f>B275-D275</f>
        <v>0</v>
      </c>
      <c r="D275" s="917">
        <f>B275</f>
        <v>0</v>
      </c>
      <c r="E275" s="917">
        <f>D275+E274</f>
        <v>0</v>
      </c>
      <c r="F275" s="940">
        <f>IF(ISERROR('SPI - SI - IF'!I19*E275/SUM(B272:B276)),0,'SPI - SI - IF'!I19*E275/SUM(B272:B276))</f>
        <v>0</v>
      </c>
      <c r="G275" s="934">
        <f>IF(SurchargeUsed44AD&gt;0,IF(MarginalRelief,(SurchargeUsed44AD*(F275/BalTaxPay44AD)),F275*0.15),0)</f>
        <v>0</v>
      </c>
      <c r="H275" s="934">
        <f>(F275+G275)*0.04</f>
        <v>0</v>
      </c>
      <c r="I275" s="934">
        <f>F275+G275+H275</f>
        <v>0</v>
      </c>
      <c r="M275" s="872" t="s">
        <v>1626</v>
      </c>
      <c r="N275" s="576">
        <f>N266-10000000</f>
        <v>-10000000</v>
      </c>
      <c r="O275" s="899"/>
      <c r="P275" s="903"/>
    </row>
    <row r="276" spans="1:17" x14ac:dyDescent="0.2">
      <c r="A276" s="917" t="s">
        <v>1872</v>
      </c>
      <c r="B276" s="917">
        <f>DTAA.Up16Of3To31Of3</f>
        <v>0</v>
      </c>
      <c r="C276" s="940">
        <f>B276-D276</f>
        <v>0</v>
      </c>
      <c r="D276" s="917">
        <f>B276</f>
        <v>0</v>
      </c>
      <c r="E276" s="917">
        <f>D276</f>
        <v>0</v>
      </c>
      <c r="F276" s="940">
        <f>IF(ISERROR('SPI - SI - IF'!I19*E276/SUM(B272:B276)),0,'SPI - SI - IF'!I19*E276/SUM(B272:B276))</f>
        <v>0</v>
      </c>
      <c r="G276" s="934">
        <f>IF(SurchargeUsed44AD&gt;0,IF(MarginalRelief,(SurchargeUsed44AD*(F276/BalTaxPay44AD)),F276*0.15),0)</f>
        <v>0</v>
      </c>
      <c r="H276" s="934">
        <f>(F276+G276)*0.04</f>
        <v>0</v>
      </c>
      <c r="I276" s="934">
        <f>F276+G276+H276</f>
        <v>0</v>
      </c>
      <c r="M276" s="872"/>
      <c r="N276" s="576"/>
      <c r="O276" s="899"/>
      <c r="P276" s="903"/>
    </row>
    <row r="277" spans="1:17" x14ac:dyDescent="0.2">
      <c r="M277" s="872" t="s">
        <v>1627</v>
      </c>
      <c r="N277" s="576">
        <f>(N264+N268-(N265+N275))</f>
        <v>8150000</v>
      </c>
      <c r="O277" s="899"/>
      <c r="P277" s="903"/>
    </row>
    <row r="278" spans="1:17" x14ac:dyDescent="0.2">
      <c r="M278" s="872"/>
      <c r="N278" s="576"/>
      <c r="O278" s="899"/>
      <c r="P278" s="903"/>
    </row>
    <row r="279" spans="1:17" x14ac:dyDescent="0.2">
      <c r="M279" s="872" t="s">
        <v>1628</v>
      </c>
      <c r="N279" s="576">
        <f>IF(ISERROR((N254*sheet9.deemeds)/sheet9.TaxDeemedTISec115JC),0,(N254*sheet9.deemeds)/sheet9.TaxDeemedTISec115JC)</f>
        <v>0</v>
      </c>
      <c r="O279" s="926"/>
      <c r="P279" s="927"/>
    </row>
    <row r="280" spans="1:17" x14ac:dyDescent="0.2">
      <c r="A280" s="870" t="s">
        <v>8162</v>
      </c>
      <c r="B280" s="871"/>
      <c r="C280" s="871"/>
    </row>
    <row r="281" spans="1:17" x14ac:dyDescent="0.2">
      <c r="C281" s="873">
        <f>Sheet8b.GrossTotalIncome-Sheet8b.DeductionsUnder10Aor10AA-Sheet8b.DeductionsUnderScheduleVIA</f>
        <v>0</v>
      </c>
      <c r="D281" s="872" t="s">
        <v>1901</v>
      </c>
      <c r="E281" s="576">
        <f>Sheet8b.GrossTotalIncome-Sheet8b.DeductionsUnder10Aor10AA-Sheet8b.DeductionsUnderScheduleVIA</f>
        <v>0</v>
      </c>
      <c r="O281" s="1834" t="s">
        <v>12995</v>
      </c>
      <c r="Q281" s="873">
        <f>IF(B284&gt;50000000,0.37,IF(B284&gt;20000000,0.25,IF(B284&gt;10000000,0.15,0.1)))</f>
        <v>0.1</v>
      </c>
    </row>
    <row r="282" spans="1:17" x14ac:dyDescent="0.2">
      <c r="D282" s="872" t="s">
        <v>1902</v>
      </c>
      <c r="E282" s="576">
        <f>IF(E281-Sheet8b.IncChargeableTaxSplRates&gt;0,IF((E281-Sheet8b.IncChargeableTaxSplRates)&gt;=exemption,exemption,(E281-Sheet8b.IncChargeableTaxSplRates)),0)</f>
        <v>0</v>
      </c>
      <c r="F282" s="952" t="s">
        <v>1770</v>
      </c>
      <c r="G282" s="953"/>
      <c r="O282" s="1834" t="s">
        <v>12988</v>
      </c>
      <c r="Q282" s="941">
        <f>B287</f>
        <v>0</v>
      </c>
    </row>
    <row r="283" spans="1:17" ht="25.5" x14ac:dyDescent="0.2">
      <c r="A283" s="905" t="s">
        <v>1664</v>
      </c>
      <c r="B283" s="577">
        <f>Sheet9.BalTaxPayable</f>
        <v>0</v>
      </c>
      <c r="D283" s="1571" t="s">
        <v>1755</v>
      </c>
      <c r="E283" s="577">
        <f>SUM(splRateInc22,'SPI - SI - IF'!G23,-taxableInc22,-'SPI - SI - IF'!H23,'SPI - SI - IF'!G62,-'SPI - SI - IF'!H62)</f>
        <v>0</v>
      </c>
      <c r="F283" s="1571" t="s">
        <v>9670</v>
      </c>
      <c r="G283" s="576">
        <f>getSlabbedIncome(B286,1)</f>
        <v>0</v>
      </c>
      <c r="I283" s="954" t="s">
        <v>8163</v>
      </c>
      <c r="J283" s="955">
        <f>MAX(0,5000000-SUM(E282:E285)-B289)</f>
        <v>5000000</v>
      </c>
      <c r="O283" s="1834" t="s">
        <v>12987</v>
      </c>
      <c r="Q283" s="873">
        <f>MIN(0.15,Surcharge_Rate)</f>
        <v>0.1</v>
      </c>
    </row>
    <row r="284" spans="1:17" x14ac:dyDescent="0.2">
      <c r="A284" s="905" t="s">
        <v>1666</v>
      </c>
      <c r="B284" s="577">
        <f>Sheet8b.TotalIncome</f>
        <v>0</v>
      </c>
      <c r="D284" s="872" t="s">
        <v>1756</v>
      </c>
      <c r="E284" s="577">
        <f>(splRateInc1A-taxableInc1A)</f>
        <v>0</v>
      </c>
      <c r="F284" s="872" t="s">
        <v>1775</v>
      </c>
      <c r="G284" s="576">
        <f>getSlabbedIncome(B286,2)</f>
        <v>0</v>
      </c>
      <c r="O284" s="1834" t="s">
        <v>12986</v>
      </c>
      <c r="Q284" s="873">
        <f>MIN(OSSW1,MIN(MAX(0,PL.Dividends-sheet10.IncRecCredPLOthHeads4Div),busipofincl.IncOfCurYrAfterSetOffBFLosses2))</f>
        <v>0</v>
      </c>
    </row>
    <row r="285" spans="1:17" x14ac:dyDescent="0.2">
      <c r="A285" s="905" t="s">
        <v>1745</v>
      </c>
      <c r="B285" s="577">
        <f>Sheet8b.IncChargeableTaxSplRates</f>
        <v>0</v>
      </c>
      <c r="D285" s="872" t="s">
        <v>1757</v>
      </c>
      <c r="E285" s="577">
        <f>(splRateInc21-taxableInc21)</f>
        <v>0</v>
      </c>
      <c r="F285" s="872" t="s">
        <v>1776</v>
      </c>
      <c r="G285" s="576">
        <f>getSlabbedIncome(B286,3)</f>
        <v>0</v>
      </c>
      <c r="O285" s="1834" t="s">
        <v>12985</v>
      </c>
      <c r="Q285" s="873">
        <f>MIN(tempBBDA,MIN(osBFLA,OSSW1))+Surcharge_IncomeEH2</f>
        <v>0</v>
      </c>
    </row>
    <row r="286" spans="1:17" ht="25.5" x14ac:dyDescent="0.2">
      <c r="A286" s="956" t="s">
        <v>1746</v>
      </c>
      <c r="B286" s="577">
        <f>B284-B285</f>
        <v>0</v>
      </c>
      <c r="O286" s="1834" t="s">
        <v>12984</v>
      </c>
      <c r="Q286" s="1834" cm="1">
        <f t="array" ref="Q286">IF(OSSW1&gt;0,(Surcharge_IncomeEH/OSSW1),0)</f>
        <v>0</v>
      </c>
    </row>
    <row r="287" spans="1:17" x14ac:dyDescent="0.2">
      <c r="A287" s="956" t="s">
        <v>1900</v>
      </c>
      <c r="B287" s="577" cm="1">
        <f t="array" ref="B287">IF(bacValue=1,calcTaxPayableOnTINTR(B286),calculateTaxPayable(B286))</f>
        <v>0</v>
      </c>
      <c r="D287" s="957"/>
      <c r="E287" s="957" t="s">
        <v>1903</v>
      </c>
      <c r="F287" s="957" t="s">
        <v>1904</v>
      </c>
      <c r="G287" s="957" t="s">
        <v>1905</v>
      </c>
      <c r="H287" s="957" t="s">
        <v>1906</v>
      </c>
      <c r="I287" s="957" t="s">
        <v>1907</v>
      </c>
      <c r="J287" s="957" t="s">
        <v>1908</v>
      </c>
      <c r="K287" s="957" t="s">
        <v>1909</v>
      </c>
      <c r="L287" s="957" t="s">
        <v>7915</v>
      </c>
      <c r="O287" s="1834" t="s">
        <v>12983</v>
      </c>
      <c r="Q287" s="1834">
        <f>IF(TaxAtNormalRate&gt;0,(TaxAtNormalRate*Q286),0)</f>
        <v>0</v>
      </c>
    </row>
    <row r="288" spans="1:17" x14ac:dyDescent="0.2">
      <c r="A288" s="905" t="s">
        <v>1747</v>
      </c>
      <c r="B288" s="577">
        <f>sheet9.TaxAtSpecialRates</f>
        <v>0</v>
      </c>
      <c r="D288" s="891" t="s">
        <v>1860</v>
      </c>
      <c r="E288" s="940">
        <f>SUM(G283,'SPI - SI - IF'!H32:H35,'SPI - SI - IF'!H44,'SPI - SI - IF'!H67:H70,'SPI - SI - IF'!H76)</f>
        <v>0</v>
      </c>
      <c r="F288" s="940">
        <f>SUM('SPI - SI - IF'!H22:H24,'SPI - SI - IF'!H39:H42,'SPI - SI - IF'!H45,'SPI - SI - IF'!H46,'SPI - SI - IF'!H57,'SPI - SI - IF'!H38,'SPI - SI - IF'!H49,'SPI - SI - IF'!H27,'SPI - SI - IF'!H52,'SPI - SI - IF'!H28,'SPI - SI - IF'!H54,'SPI - SI - IF'!H63,'SPI - SI - IF'!H72:H74,'SPI - SI - IF'!H80,'SPI - SI - IF'!H82:H83,'SPI - SI - IF'!H62)</f>
        <v>0</v>
      </c>
      <c r="G288" s="940">
        <f>SUM('SPI - SI - IF'!H20,'SPI - SI - IF'!H29,'SPI - SI - IF'!H60)</f>
        <v>0</v>
      </c>
      <c r="H288" s="940">
        <f>SUM(G284,'SPI - SI - IF'!H21,'SPI - SI - IF'!H30,'SPI - SI - IF'!H31,'SPI - SI - IF'!H36,'SPI - SI - IF'!H43,'SPI - SI - IF'!H47,'SPI - SI - IF'!H55,'SPI - SI - IF'!H56,'SPI - SI - IF'!H64:H66,'SPI - SI - IF'!H71,'SPI - SI - IF'!H75,'SPI - SI - IF'!H78,'SPI - SI - IF'!H92,'SPI - SI - IF'!H88,'SPI - SI - IF'!H89)</f>
        <v>0</v>
      </c>
      <c r="I288" s="940">
        <v>0</v>
      </c>
      <c r="J288" s="940">
        <f>SUM(G285,'SPI - SI - IF'!H26,taxableInc115BB,'SPI - SI - IF'!H48,'SPI - SI - IF'!H61,,'SPI - SI - IF'!H77,,'SPI - SI - IF'!H79)</f>
        <v>0</v>
      </c>
      <c r="K288" s="940">
        <f>SUM('SPI - SI - IF'!H37)</f>
        <v>0</v>
      </c>
      <c r="L288" s="940">
        <f>SUM('SPI - SI - IF'!H50,'SPI - SI - IF'!H81)</f>
        <v>0</v>
      </c>
      <c r="O288" s="1834" t="s">
        <v>12854</v>
      </c>
      <c r="P288" s="873">
        <f>taxableInc5AD1iDiv</f>
        <v>0</v>
      </c>
      <c r="Q288" s="941">
        <f>'SPI - SI - IF'!I88</f>
        <v>0</v>
      </c>
    </row>
    <row r="289" spans="1:22" x14ac:dyDescent="0.2">
      <c r="A289" s="905" t="s">
        <v>1669</v>
      </c>
      <c r="B289" s="577">
        <f>DTAA_Inc_CG+DTAA_Inc_OS+SUM('SPI - SI - IF'!H58:H59)</f>
        <v>0</v>
      </c>
      <c r="D289" s="1763" t="s">
        <v>12078</v>
      </c>
      <c r="E289" s="917" t="b">
        <f>IF(E288&lt;J283,TRUE,FALSE)</f>
        <v>1</v>
      </c>
      <c r="F289" s="917" t="b">
        <f t="shared" ref="F289:L289" si="2">IF(F288&lt;E291,TRUE,FALSE)</f>
        <v>1</v>
      </c>
      <c r="G289" s="917" t="b">
        <f t="shared" si="2"/>
        <v>1</v>
      </c>
      <c r="H289" s="917" t="b">
        <f t="shared" si="2"/>
        <v>1</v>
      </c>
      <c r="I289" s="917" t="b">
        <f t="shared" si="2"/>
        <v>1</v>
      </c>
      <c r="J289" s="917" t="b">
        <f t="shared" si="2"/>
        <v>1</v>
      </c>
      <c r="K289" s="917" t="b">
        <f t="shared" si="2"/>
        <v>1</v>
      </c>
      <c r="L289" s="917" t="b">
        <f t="shared" si="2"/>
        <v>1</v>
      </c>
      <c r="O289" s="1834" t="s">
        <v>12855</v>
      </c>
      <c r="P289" s="873">
        <f>taxableIncPTI5AD1iDiv</f>
        <v>0</v>
      </c>
      <c r="Q289" s="941">
        <f>'SPI - SI - IF'!I89</f>
        <v>0</v>
      </c>
    </row>
    <row r="290" spans="1:22" x14ac:dyDescent="0.2">
      <c r="A290" s="905" t="s">
        <v>1670</v>
      </c>
      <c r="B290" s="577">
        <f>DTAA_TAX_CG+DTAA_TAX_OS+DTAA_TAX_OS_1+DTAA_TAX_OS_2</f>
        <v>0</v>
      </c>
      <c r="D290" s="891" t="s">
        <v>1911</v>
      </c>
      <c r="E290" s="917">
        <f>IF(E289,E288*0.05,J283*0.05)</f>
        <v>0</v>
      </c>
      <c r="F290" s="917">
        <f>IF(F289,E290+((F288-'SPI - SI - IF'!H23-'SPI - SI - IF'!H46-'SPI - SI - IF'!H62+MAX(0,'SPI - SI - IF'!H23+'SPI - SI - IF'!H62-100000)+MAX(0,'SPI - SI - IF'!H46-100000))*0.1),E290+(E291*0.1))</f>
        <v>0</v>
      </c>
      <c r="G290" s="917">
        <f>IF(G289,F290+(G288*0.15),F290+(F291*0.15))</f>
        <v>0</v>
      </c>
      <c r="H290" s="917">
        <f>IF(H289,G290+(H288*0.2),G290+(G291*0.2))</f>
        <v>0</v>
      </c>
      <c r="I290" s="917">
        <f>IF(I289,H290+(I288*0.25),H290+(H291*0.25))</f>
        <v>0</v>
      </c>
      <c r="J290" s="917">
        <f>IF(J289,I290+(J288*0.3),I290+(I291*0.3))</f>
        <v>0</v>
      </c>
      <c r="K290" s="917">
        <f>IF(K289,J290+(K288*0.5),J290+(J291*0.5))</f>
        <v>0</v>
      </c>
      <c r="L290" s="917">
        <f>TRUNC(IF(L289,K290+(L288*0.6),K290+(K291*0.6)),0)</f>
        <v>0</v>
      </c>
      <c r="O290" s="1834" t="s">
        <v>12665</v>
      </c>
      <c r="P290" s="1834">
        <f>IF(MID(sheet1.Status,1,1)="I",SUM('SPI - SI - IF'!H45,'SPI - SI - IF'!H46),0)</f>
        <v>0</v>
      </c>
      <c r="Q290" s="873">
        <f>IF(MID(sheet1.Status,1,1)="I",SUM('SPI - SI - IF'!I45,SI_Section115AD),0)</f>
        <v>0</v>
      </c>
    </row>
    <row r="291" spans="1:22" x14ac:dyDescent="0.2">
      <c r="A291" s="905" t="s">
        <v>1619</v>
      </c>
      <c r="B291" s="577">
        <f>B284</f>
        <v>0</v>
      </c>
      <c r="D291" s="891" t="s">
        <v>1912</v>
      </c>
      <c r="E291" s="917">
        <f>IF(E289,J283-E288,0)</f>
        <v>5000000</v>
      </c>
      <c r="F291" s="917">
        <f t="shared" ref="F291:L291" si="3">IF(F289,E291-F288,0)</f>
        <v>5000000</v>
      </c>
      <c r="G291" s="917">
        <f t="shared" si="3"/>
        <v>5000000</v>
      </c>
      <c r="H291" s="917">
        <f t="shared" si="3"/>
        <v>5000000</v>
      </c>
      <c r="I291" s="917">
        <f t="shared" si="3"/>
        <v>5000000</v>
      </c>
      <c r="J291" s="917">
        <f t="shared" si="3"/>
        <v>5000000</v>
      </c>
      <c r="K291" s="917">
        <f t="shared" si="3"/>
        <v>5000000</v>
      </c>
      <c r="L291" s="917">
        <f t="shared" si="3"/>
        <v>5000000</v>
      </c>
      <c r="O291" s="1834" t="s">
        <v>12666</v>
      </c>
      <c r="P291" s="873">
        <f>IF(MID(sheet1.Status,1,1)="I",SUM('SPI - SI - IF'!H60,'SPI - SI - IF'!H29),0)</f>
        <v>0</v>
      </c>
      <c r="Q291" s="873">
        <f>IF(MID(sheet1.Status,1,1)="I",SUM('SPI - SI - IF'!I60,'SPI - SI - IF'!I29),0)</f>
        <v>0</v>
      </c>
    </row>
    <row r="292" spans="1:22" x14ac:dyDescent="0.2">
      <c r="A292" s="905" t="s">
        <v>1748</v>
      </c>
      <c r="B292" s="577">
        <f>B287+B288</f>
        <v>0</v>
      </c>
      <c r="O292" s="1834" t="s">
        <v>12667</v>
      </c>
      <c r="P292" s="873">
        <f>IF(MID(sheet1.Status,1,1)="I",SUM('SPI - SI - IF'!H61,'SPI - SI - IF'!H26),0)</f>
        <v>0</v>
      </c>
      <c r="Q292" s="873">
        <f>IF(MID(sheet1.Status,1,1)="I",SUM('SPI - SI - IF'!I61,'SPI - SI - IF'!I26),0)</f>
        <v>0</v>
      </c>
    </row>
    <row r="293" spans="1:22" ht="15" x14ac:dyDescent="0.25">
      <c r="A293" s="905"/>
      <c r="B293" s="577"/>
      <c r="D293" s="958" t="s">
        <v>7904</v>
      </c>
      <c r="E293" s="577">
        <f>B292</f>
        <v>0</v>
      </c>
      <c r="F293" s="383" t="s">
        <v>7909</v>
      </c>
      <c r="G293" s="576">
        <f>MAX(0,(K291*0.6))*0.25</f>
        <v>750000</v>
      </c>
      <c r="J293" s="873">
        <f>I290+J288*0.3</f>
        <v>0</v>
      </c>
      <c r="O293" t="s">
        <v>12081</v>
      </c>
      <c r="P293">
        <f>'SPI - SI - IF'!H62</f>
        <v>0</v>
      </c>
      <c r="Q293">
        <f>'SPI - SI - IF'!I62</f>
        <v>0</v>
      </c>
      <c r="R293"/>
      <c r="S293" t="s">
        <v>12103</v>
      </c>
      <c r="T293" t="b">
        <f>IF(AND(AND(temp_Otherthan112A&lt;=20000000),AND(P298&gt;20000000,P298&lt;=50000000)),TRUE,FALSE)</f>
        <v>0</v>
      </c>
      <c r="U293">
        <f>IF(T293=TRUE,1,IF(T294=TRUE,2,IF(T295=TRUE,3,IF(T296=TRUE,4,IF(T297=TRUE,5,0)))))</f>
        <v>0</v>
      </c>
      <c r="V293">
        <f>IF(OR(U293=1,U293=2),20000000,IF(OR(U293=3,U293=4,U293=5),50000000,0))</f>
        <v>0</v>
      </c>
    </row>
    <row r="294" spans="1:22" ht="15" x14ac:dyDescent="0.25">
      <c r="A294" s="905" t="s">
        <v>1621</v>
      </c>
      <c r="B294" s="577">
        <f>L290+B290</f>
        <v>0</v>
      </c>
      <c r="D294" s="144" t="s">
        <v>7905</v>
      </c>
      <c r="E294" s="576">
        <f xml:space="preserve"> ROUND(0.25 *( SI_115BBE+SI_PTI115BBE),0)</f>
        <v>0</v>
      </c>
      <c r="F294" s="383" t="s">
        <v>7910</v>
      </c>
      <c r="G294" s="577">
        <f>MAX(0,E296-E298)</f>
        <v>0</v>
      </c>
      <c r="O294" t="s">
        <v>1584</v>
      </c>
      <c r="P294">
        <f>taxableInc1A</f>
        <v>0</v>
      </c>
      <c r="Q294">
        <f>'SPI - SI - IF'!I20</f>
        <v>0</v>
      </c>
      <c r="R294"/>
      <c r="S294" t="s">
        <v>12104</v>
      </c>
      <c r="T294" t="b">
        <f>IF(AND(AND(temp_Otherthan112A&gt;20000000,temp_Otherthan112A&lt;=50000000),AND(P298&gt;20000000,P298&lt;=50000000)),TRUE,FALSE)</f>
        <v>0</v>
      </c>
      <c r="U294"/>
      <c r="V294"/>
    </row>
    <row r="295" spans="1:22" ht="15" x14ac:dyDescent="0.25">
      <c r="A295" s="905" t="s">
        <v>1624</v>
      </c>
      <c r="B295" s="577">
        <f>IF(FLOOR(B291,10)&gt;5000000,B283*0.1,0)</f>
        <v>0</v>
      </c>
      <c r="D295" s="959" t="s">
        <v>7906</v>
      </c>
      <c r="E295" s="576">
        <f>MAX(0,ROUND(0.1 *((sheet9.TaxPayableOnTotInc)-SI_115BBE-SI_PTI115BBE),0))</f>
        <v>0</v>
      </c>
      <c r="F295" s="960" t="s">
        <v>1856</v>
      </c>
      <c r="G295" s="577">
        <f>MAX(0,(E294+E295-G294))</f>
        <v>0</v>
      </c>
      <c r="O295" t="s">
        <v>9287</v>
      </c>
      <c r="P295">
        <f>'SPI - SI - IF'!H23</f>
        <v>0</v>
      </c>
      <c r="Q295">
        <f>SI_112A_Tax</f>
        <v>0</v>
      </c>
      <c r="R295"/>
      <c r="S295" t="s">
        <v>12105</v>
      </c>
      <c r="T295" t="b">
        <f>IF(AND(temp_Otherthan112A&lt;=20000000,P298&gt;50000000),TRUE,FALSE)</f>
        <v>0</v>
      </c>
      <c r="U295"/>
      <c r="V295"/>
    </row>
    <row r="296" spans="1:22" ht="15" x14ac:dyDescent="0.25">
      <c r="A296" s="905" t="s">
        <v>1626</v>
      </c>
      <c r="B296" s="577">
        <f>MAX(FLOOR(B291,10)-5000000,0)</f>
        <v>0</v>
      </c>
      <c r="D296" s="576" t="s">
        <v>7907</v>
      </c>
      <c r="E296" s="577">
        <f>SUM(E293:E295)</f>
        <v>0</v>
      </c>
      <c r="O296" t="s">
        <v>12082</v>
      </c>
      <c r="P296">
        <f>Temp_PTI_112A+Temp_111A+Temp_112A+P292+P291+P290+P288+P289+Surcharge_IncomeEH</f>
        <v>0</v>
      </c>
      <c r="Q296" s="1922">
        <f>SUM(Q287:Q295)</f>
        <v>0</v>
      </c>
      <c r="R296"/>
      <c r="S296" t="s">
        <v>12106</v>
      </c>
      <c r="T296" t="b">
        <f>IF(AND(AND(temp_Otherthan112A&gt;20000000,temp_Otherthan112A&lt;=50000000),P298&gt;50000000),TRUE,FALSE)</f>
        <v>0</v>
      </c>
      <c r="U296"/>
      <c r="V296"/>
    </row>
    <row r="297" spans="1:22" ht="15" x14ac:dyDescent="0.25">
      <c r="A297" s="905" t="s">
        <v>1761</v>
      </c>
      <c r="B297" s="577">
        <f>MAX(B292+B295-B294-B296,0)</f>
        <v>0</v>
      </c>
      <c r="D297" s="708" t="s">
        <v>8229</v>
      </c>
      <c r="E297" s="577">
        <f>B294</f>
        <v>0</v>
      </c>
      <c r="F297" s="961" t="s">
        <v>7911</v>
      </c>
      <c r="G297" s="576">
        <f>MAX(0,E294)</f>
        <v>0</v>
      </c>
      <c r="O297" t="s">
        <v>12083</v>
      </c>
      <c r="P297">
        <f>Sheet8b.TotalIncome-Temp_111A_112A</f>
        <v>0</v>
      </c>
      <c r="Q297"/>
      <c r="R297"/>
      <c r="S297" t="s">
        <v>12107</v>
      </c>
      <c r="T297" t="b">
        <f>IF(AND(temp_Otherthan112A&gt;50000000,P298&gt;50000000),TRUE,FALSE)</f>
        <v>0</v>
      </c>
      <c r="U297"/>
      <c r="V297"/>
    </row>
    <row r="298" spans="1:22" ht="15" x14ac:dyDescent="0.25">
      <c r="A298" s="905" t="s">
        <v>1762</v>
      </c>
      <c r="B298" s="577">
        <f>MAX(0,IF((B292+B295)&gt;(B294+B296),ROUND(B295-B297,0),ROUND(B295,0)))</f>
        <v>0</v>
      </c>
      <c r="D298" s="708" t="s">
        <v>8165</v>
      </c>
      <c r="E298" s="577">
        <f>MAX(0,E297+B296+G293)</f>
        <v>750000</v>
      </c>
      <c r="F298" s="961" t="s">
        <v>7912</v>
      </c>
      <c r="G298" s="576">
        <f>IF(B284&gt;5000000,MAX(0,G295-G297),0)</f>
        <v>0</v>
      </c>
      <c r="O298" t="s">
        <v>749</v>
      </c>
      <c r="P298">
        <f>Temp_111A_112A+temp_Otherthan112A</f>
        <v>0</v>
      </c>
    </row>
    <row r="299" spans="1:22" ht="15" x14ac:dyDescent="0.25">
      <c r="O299" t="s">
        <v>12084</v>
      </c>
      <c r="P299" t="b">
        <f>IF(AND(P298&gt;20000000,P298&lt;=50000000),IF(temp_Otherthan112A&lt;=20000000,TRUE,FALSE),FALSE)</f>
        <v>0</v>
      </c>
      <c r="Q299" t="s">
        <v>12088</v>
      </c>
      <c r="R299" t="b">
        <f>IF(P300=TRUE,FALSE,P299)</f>
        <v>0</v>
      </c>
    </row>
    <row r="300" spans="1:22" ht="15" x14ac:dyDescent="0.25">
      <c r="F300" s="1766" t="s">
        <v>8166</v>
      </c>
      <c r="G300" s="576">
        <f>ROUND(IF(B284&gt;50000000,G342,IF(B284&gt;20000000,G321,IF(B284&gt;10000000,G248,G297))),0)</f>
        <v>0</v>
      </c>
      <c r="O300" t="s">
        <v>12085</v>
      </c>
      <c r="P300" t="b">
        <f>IF(AND(P298&gt;20000000,P298&lt;=50000000),IF(AND(temp_Otherthan112A&gt;20000000,temp_Otherthan112A&lt;=50000000),TRUE,FALSE),FALSE)</f>
        <v>0</v>
      </c>
      <c r="Q300"/>
      <c r="R300" t="b">
        <f>IF(P301=TRUE,FALSE,P302)</f>
        <v>0</v>
      </c>
    </row>
    <row r="301" spans="1:22" ht="15" x14ac:dyDescent="0.25">
      <c r="F301" s="1766" t="s">
        <v>8167</v>
      </c>
      <c r="G301" s="576">
        <f>ROUND(IF(B284&gt;50000000,G343,IF(B284&gt;20000000,G322,IF(B284&gt;10000000,G249,G298))),0)</f>
        <v>0</v>
      </c>
      <c r="H301" s="873">
        <f>ROUND(IF(B284&gt;50000000,G339,IF(B284&gt;20000000,G318,IF(B284&gt;10000000,G245,IF(B284&gt;5000000,G294,0)))),0)</f>
        <v>0</v>
      </c>
      <c r="O301" t="s">
        <v>12086</v>
      </c>
      <c r="P301" t="b">
        <f>IF(P298&gt;50000000,IF(temp_Otherthan112A&gt;20000000,TRUE,FALSE),FALSE)</f>
        <v>0</v>
      </c>
    </row>
    <row r="302" spans="1:22" ht="15" x14ac:dyDescent="0.25">
      <c r="O302" t="s">
        <v>12087</v>
      </c>
      <c r="P302" t="b">
        <f>IF(P298&gt;50000000,IF(temp_Otherthan112A&lt;=20000000,TRUE,FALSE),FALSE)</f>
        <v>0</v>
      </c>
    </row>
    <row r="303" spans="1:22" x14ac:dyDescent="0.2">
      <c r="A303" s="870" t="s">
        <v>12089</v>
      </c>
      <c r="B303" s="871"/>
      <c r="C303" s="871"/>
    </row>
    <row r="304" spans="1:22" x14ac:dyDescent="0.2">
      <c r="C304" s="873">
        <f>Sheet8b.GrossTotalIncome-Sheet8b.DeductionsUnder10Aor10AA-Sheet8b.DeductionsUnderScheduleVIA</f>
        <v>0</v>
      </c>
      <c r="D304" s="872" t="s">
        <v>1901</v>
      </c>
      <c r="E304" s="576">
        <f>Sheet8b.GrossTotalIncome-Sheet8b.DeductionsUnder10Aor10AA-Sheet8b.DeductionsUnderScheduleVIA</f>
        <v>0</v>
      </c>
      <c r="Q304" s="941">
        <f>SUM(0,'SPI - SI - IF'!H29,'SPI - SI - IF'!H60)</f>
        <v>0</v>
      </c>
    </row>
    <row r="305" spans="1:22" x14ac:dyDescent="0.2">
      <c r="D305" s="872" t="s">
        <v>1902</v>
      </c>
      <c r="E305" s="576">
        <f>IF(E304-Sheet8b.IncChargeableTaxSplRates&gt;0,IF((E304-Sheet8b.IncChargeableTaxSplRates)&gt;=exemption,exemption,(E304-Sheet8b.IncChargeableTaxSplRates)),0)</f>
        <v>0</v>
      </c>
      <c r="F305" s="952" t="s">
        <v>1770</v>
      </c>
      <c r="G305" s="953"/>
      <c r="Q305" s="873">
        <f>IF(J334,Q306+(Q304*0.15),Q306+(I336*0.15))</f>
        <v>0</v>
      </c>
    </row>
    <row r="306" spans="1:22" ht="25.5" x14ac:dyDescent="0.2">
      <c r="A306" s="905" t="s">
        <v>1664</v>
      </c>
      <c r="B306" s="577">
        <f>Sheet9.BalTaxPayable</f>
        <v>0</v>
      </c>
      <c r="D306" s="1571" t="s">
        <v>1755</v>
      </c>
      <c r="E306" s="577">
        <f>SUM(splRateInc22,'SPI - SI - IF'!G23,-taxableInc22,-'SPI - SI - IF'!H23,'SPI - SI - IF'!G62,-'SPI - SI - IF'!H62)</f>
        <v>0</v>
      </c>
      <c r="F306" s="1571" t="s">
        <v>9670</v>
      </c>
      <c r="G306" s="576">
        <f>getSlabbedIncome(B309,1)</f>
        <v>0</v>
      </c>
      <c r="H306" s="873">
        <f>getSlabbedIncome(B309,10)</f>
        <v>0</v>
      </c>
      <c r="I306" s="954" t="s">
        <v>8164</v>
      </c>
      <c r="J306" s="955">
        <f>MAX(0,20000000-SUM(E305:E308)-B313)</f>
        <v>20000000</v>
      </c>
      <c r="Q306" s="873">
        <f>TRUNC(IF(I334,0+(I333*0.15),0+(H336*0.15)),0)</f>
        <v>0</v>
      </c>
    </row>
    <row r="307" spans="1:22" ht="15" x14ac:dyDescent="0.25">
      <c r="A307" s="905" t="s">
        <v>1666</v>
      </c>
      <c r="B307" s="577">
        <f>Sheet8b.TotalIncome</f>
        <v>0</v>
      </c>
      <c r="D307" s="872" t="s">
        <v>1756</v>
      </c>
      <c r="E307" s="577">
        <f>(splRateInc1A-taxableInc1A)</f>
        <v>0</v>
      </c>
      <c r="F307" s="872" t="s">
        <v>1775</v>
      </c>
      <c r="G307" s="576">
        <f>getSlabbedIncome(B309,2)</f>
        <v>0</v>
      </c>
      <c r="H307" s="873">
        <f>getSlabbedIncome(B309,15)</f>
        <v>0</v>
      </c>
      <c r="P307" t="s">
        <v>12109</v>
      </c>
      <c r="Q307" s="1922">
        <f>SUM(0,'SPI - SI - IF'!H29,'SPI - SI - IF'!H60)</f>
        <v>0</v>
      </c>
      <c r="R307"/>
      <c r="S307"/>
      <c r="T307"/>
      <c r="U307"/>
      <c r="V307"/>
    </row>
    <row r="308" spans="1:22" ht="15" x14ac:dyDescent="0.25">
      <c r="A308" s="905" t="s">
        <v>1745</v>
      </c>
      <c r="B308" s="577">
        <f>Sheet8b.IncChargeableTaxSplRates</f>
        <v>0</v>
      </c>
      <c r="D308" s="872" t="s">
        <v>1757</v>
      </c>
      <c r="E308" s="577">
        <f>(splRateInc21-taxableInc21)</f>
        <v>0</v>
      </c>
      <c r="F308" s="872" t="s">
        <v>1776</v>
      </c>
      <c r="G308" s="576">
        <f>getSlabbedIncome(B309,3)</f>
        <v>0</v>
      </c>
      <c r="H308" s="873">
        <f>getSlabbedIncome(B309,25)</f>
        <v>0</v>
      </c>
      <c r="P308" t="s">
        <v>12992</v>
      </c>
      <c r="Q308">
        <f>IF(MID(sheet1.Status,1,1)="I",Q307,0)</f>
        <v>0</v>
      </c>
      <c r="R308"/>
      <c r="S308"/>
      <c r="T308"/>
      <c r="U308"/>
      <c r="V308"/>
    </row>
    <row r="309" spans="1:22" ht="26.25" x14ac:dyDescent="0.25">
      <c r="A309" s="956" t="s">
        <v>1746</v>
      </c>
      <c r="B309" s="577">
        <f>B307-B308</f>
        <v>0</v>
      </c>
      <c r="P309" t="s">
        <v>12110</v>
      </c>
      <c r="Q309" s="1922">
        <f>F333</f>
        <v>0</v>
      </c>
      <c r="R309">
        <f>F335-E335</f>
        <v>0</v>
      </c>
      <c r="S309" t="s">
        <v>12103</v>
      </c>
      <c r="T309">
        <v>0</v>
      </c>
      <c r="U309">
        <f>IF(T309=TRUE,1,IF(T311=TRUE,2,IF(T312=TRUE,3,IF(T313=TRUE,4,IF(T314=TRUE,5,0)))))</f>
        <v>4</v>
      </c>
      <c r="V309"/>
    </row>
    <row r="310" spans="1:22" ht="15" x14ac:dyDescent="0.25">
      <c r="A310" s="956"/>
      <c r="B310" s="577"/>
      <c r="P310" s="1921" t="s">
        <v>12670</v>
      </c>
      <c r="Q310" s="1921">
        <f>IF(MID(sheet1.Status,1,1)="I",G333,0)</f>
        <v>0</v>
      </c>
      <c r="R310" s="1921">
        <f>IF(MID(sheet1.Status,1,1)="I",G335-F335,0)</f>
        <v>0</v>
      </c>
      <c r="S310" s="1921"/>
      <c r="T310" s="1921"/>
      <c r="U310" s="1921"/>
      <c r="V310" s="1921"/>
    </row>
    <row r="311" spans="1:22" ht="15" x14ac:dyDescent="0.25">
      <c r="A311" s="956" t="s">
        <v>1900</v>
      </c>
      <c r="B311" s="577" cm="1">
        <f t="array" ref="B311">IF(bacValue=1,calcTaxPayableOnTINTR(B309),calculateTaxPayable(B309))</f>
        <v>0</v>
      </c>
      <c r="D311" s="957"/>
      <c r="E311" s="957" t="s">
        <v>1903</v>
      </c>
      <c r="F311" s="1768" t="s">
        <v>12108</v>
      </c>
      <c r="G311" s="1768" t="s">
        <v>1904</v>
      </c>
      <c r="H311" s="1768" t="s">
        <v>1584</v>
      </c>
      <c r="I311" s="1768" t="s">
        <v>1905</v>
      </c>
      <c r="J311" s="957" t="s">
        <v>1906</v>
      </c>
      <c r="K311" s="957" t="s">
        <v>1907</v>
      </c>
      <c r="L311" s="957" t="s">
        <v>1908</v>
      </c>
      <c r="M311" s="957" t="s">
        <v>1909</v>
      </c>
      <c r="N311" s="957" t="s">
        <v>7915</v>
      </c>
      <c r="P311" s="1923" t="s">
        <v>12671</v>
      </c>
      <c r="Q311" s="1921">
        <f>IF(MID(sheet1.Status,1,1)="I",J333,0)</f>
        <v>0</v>
      </c>
      <c r="R311" s="1921">
        <f>IF(MID(sheet1.Status,1,1)="I",Q305-Q306,0)</f>
        <v>0</v>
      </c>
      <c r="S311" t="s">
        <v>12104</v>
      </c>
      <c r="T311">
        <v>0</v>
      </c>
      <c r="U311"/>
      <c r="V311"/>
    </row>
    <row r="312" spans="1:22" ht="15" x14ac:dyDescent="0.25">
      <c r="A312" s="905" t="s">
        <v>1747</v>
      </c>
      <c r="B312" s="577">
        <f>sheet9.TaxAtSpecialRates</f>
        <v>0</v>
      </c>
      <c r="D312" s="891" t="s">
        <v>1860</v>
      </c>
      <c r="E312" s="940">
        <f>SUM(G306,'SPI - SI - IF'!H32:H35,'SPI - SI - IF'!H44,'SPI - SI - IF'!H67:H70,'SPI - SI - IF'!H76)</f>
        <v>0</v>
      </c>
      <c r="F312" s="1925">
        <f>SUM('SPI - SI - IF'!H23,'SPI - SI - IF'!H62)</f>
        <v>0</v>
      </c>
      <c r="G312" s="1922">
        <f>SUM(H306,'SPI - SI - IF'!H22,'SPI - SI - IF'!H24,'SPI - SI - IF'!H39:H42,'SPI - SI - IF'!H45,'SPI - SI - IF'!H46,'SPI - SI - IF'!H57,'SPI - SI - IF'!H38,'SPI - SI - IF'!H49,'SPI - SI - IF'!H27,'SPI - SI - IF'!H52,'SPI - SI - IF'!H28,'SPI - SI - IF'!H54,'SPI - SI - IF'!H63,'SPI - SI - IF'!H72:H74,'SPI - SI - IF'!H80,'SPI - SI - IF'!H82:H83)</f>
        <v>0</v>
      </c>
      <c r="H312">
        <f>'SPI - SI - IF'!H20</f>
        <v>0</v>
      </c>
      <c r="I312" s="1922">
        <f>SUM(H307,'SPI - SI - IF'!H29,'SPI - SI - IF'!H60)</f>
        <v>0</v>
      </c>
      <c r="J312" s="940">
        <f>SUM(G307,'SPI - SI - IF'!H21,'SPI - SI - IF'!H30,'SPI - SI - IF'!H31,'SPI - SI - IF'!H36,'SPI - SI - IF'!H43,'SPI - SI - IF'!H47,'SPI - SI - IF'!H55,'SPI - SI - IF'!H56,'SPI - SI - IF'!H64:H66,'SPI - SI - IF'!H71,'SPI - SI - IF'!H75,'SPI - SI - IF'!H78,'SPI - SI - IF'!H92,'SPI - SI - IF'!H88,'SPI - SI - IF'!H89)</f>
        <v>0</v>
      </c>
      <c r="K312" s="940">
        <f>H308</f>
        <v>0</v>
      </c>
      <c r="L312" s="940">
        <f>SUM(G308,'SPI - SI - IF'!H26,taxableInc115BB,'SPI - SI - IF'!H48,'SPI - SI - IF'!H61,,'SPI - SI - IF'!H77,,'SPI - SI - IF'!H79)</f>
        <v>0</v>
      </c>
      <c r="M312" s="940">
        <f>SUM('SPI - SI - IF'!H37)</f>
        <v>0</v>
      </c>
      <c r="N312" s="940">
        <f>SUM('SPI - SI - IF'!H50,'SPI - SI - IF'!H81)</f>
        <v>0</v>
      </c>
      <c r="P312" s="1924" t="s">
        <v>12669</v>
      </c>
      <c r="Q312" s="1922">
        <f>IF(MID(sheet1.Status,1,1)="I",M333,0)</f>
        <v>0</v>
      </c>
      <c r="R312" s="1921">
        <f>IF(MID(sheet1.Status,1,1)="I",M335-L335,0)</f>
        <v>0</v>
      </c>
      <c r="S312" t="s">
        <v>12105</v>
      </c>
      <c r="T312" t="b">
        <f>IF(AND(Q315&lt;=20000000,Q316&gt;=50000000),TRUE,FALSE)</f>
        <v>0</v>
      </c>
      <c r="U312"/>
      <c r="V312"/>
    </row>
    <row r="313" spans="1:22" ht="15" x14ac:dyDescent="0.25">
      <c r="A313" s="905" t="s">
        <v>1669</v>
      </c>
      <c r="B313" s="577">
        <f>DTAA_Inc_OS+SUM('SPI - SI - IF'!H58:H59)</f>
        <v>0</v>
      </c>
      <c r="D313" s="1763" t="s">
        <v>12092</v>
      </c>
      <c r="E313" s="917" t="b">
        <f>IF(E312&lt;J306,TRUE,FALSE)</f>
        <v>1</v>
      </c>
      <c r="F313" t="b">
        <f>IF(F312&lt;E315,TRUE,FALSE)</f>
        <v>1</v>
      </c>
      <c r="G313" t="b">
        <f>IF(G312&lt;F315,TRUE,FALSE)</f>
        <v>1</v>
      </c>
      <c r="H313" t="b">
        <f t="shared" ref="H313:N313" si="4">IF(H312&lt;G315,TRUE,FALSE)</f>
        <v>1</v>
      </c>
      <c r="I313" t="b">
        <f t="shared" si="4"/>
        <v>1</v>
      </c>
      <c r="J313" s="917" t="b">
        <f t="shared" si="4"/>
        <v>1</v>
      </c>
      <c r="K313" s="917" t="b">
        <f t="shared" si="4"/>
        <v>1</v>
      </c>
      <c r="L313" s="917" t="b">
        <f t="shared" si="4"/>
        <v>1</v>
      </c>
      <c r="M313" s="917" t="b">
        <f t="shared" si="4"/>
        <v>1</v>
      </c>
      <c r="N313" s="917" t="b">
        <f t="shared" si="4"/>
        <v>1</v>
      </c>
      <c r="P313" t="s">
        <v>1584</v>
      </c>
      <c r="Q313">
        <f>I333</f>
        <v>0</v>
      </c>
      <c r="R313">
        <f>I335-H335</f>
        <v>0</v>
      </c>
      <c r="S313" t="s">
        <v>12106</v>
      </c>
      <c r="T313" t="b">
        <f>IF(AND(AND(Q315&gt;20000000,Q315&lt;=50000000),Q316&gt;=50000000),TRUE,FALSE)</f>
        <v>1</v>
      </c>
      <c r="U313"/>
      <c r="V313"/>
    </row>
    <row r="314" spans="1:22" ht="15" x14ac:dyDescent="0.25">
      <c r="A314" s="905" t="s">
        <v>1670</v>
      </c>
      <c r="B314" s="577">
        <f>DTAA_TAX_OS+DTAA_TAX_OS_1+DTAA_TAX_OS_2</f>
        <v>0</v>
      </c>
      <c r="D314" s="891" t="s">
        <v>1911</v>
      </c>
      <c r="E314" s="917">
        <f>IF(E313,E312*0.05,J306*0.05)</f>
        <v>0</v>
      </c>
      <c r="F314">
        <f>TRUNC(IF(F313,E314+MAX(0,F312-100000)*0.1,E314+(MAX(0,(E315-100000)*0.1))))</f>
        <v>0</v>
      </c>
      <c r="G314">
        <f>IF(G313,F314+((G312-'SPI - SI - IF'!H46+MAX(0,'SPI - SI - IF'!H46-100000))*0.1),F314+(F315*0.1))</f>
        <v>0</v>
      </c>
      <c r="H314">
        <f>TRUNC(IF(H313,G314+(H312*0.15),G314+(G315*0.15)),0)</f>
        <v>0</v>
      </c>
      <c r="I314">
        <f>IF(I313,H314+(I312*0.15),H314+(H315*0.15))</f>
        <v>0</v>
      </c>
      <c r="J314" s="917">
        <f>IF(J313,I314+(J312*0.2),I314+(I315*0.2))</f>
        <v>0</v>
      </c>
      <c r="K314" s="917">
        <f>IF(K313,J314+(K312*0.25),J314+(J315*0.25))</f>
        <v>0</v>
      </c>
      <c r="L314" s="917">
        <f>IF(L313,K314+(L312*0.3),K314+(K315*0.3))</f>
        <v>0</v>
      </c>
      <c r="M314" s="917">
        <f>IF(M313,L314+(M312*0.5),L314+(L315*0.5))</f>
        <v>0</v>
      </c>
      <c r="N314" s="917">
        <f>TRUNC(IF(N313,M314+(N312*0.6),M314+(M315*0.6)),0)</f>
        <v>0</v>
      </c>
      <c r="P314" t="s">
        <v>12111</v>
      </c>
      <c r="Q314">
        <f>Q309+Q313+SUM(Q310:Q312)</f>
        <v>0</v>
      </c>
      <c r="R314">
        <f>SUM(R309:R313)+SUM(R317:R319)</f>
        <v>0</v>
      </c>
      <c r="S314" t="s">
        <v>12107</v>
      </c>
      <c r="T314" t="b">
        <f>IF(AND(Q315&gt;50000000,Q316&gt;=50000000),TRUE,FALSE)</f>
        <v>0</v>
      </c>
      <c r="U314"/>
      <c r="V314"/>
    </row>
    <row r="315" spans="1:22" ht="15" x14ac:dyDescent="0.25">
      <c r="A315" s="905" t="s">
        <v>1619</v>
      </c>
      <c r="B315" s="577">
        <f>B307</f>
        <v>0</v>
      </c>
      <c r="D315" s="891" t="s">
        <v>1912</v>
      </c>
      <c r="E315" s="917">
        <f>IF(E313,J306-E312,0)</f>
        <v>20000000</v>
      </c>
      <c r="F315">
        <f>IF(F313,E315-F312,0)</f>
        <v>20000000</v>
      </c>
      <c r="G315">
        <f t="shared" ref="G315:N315" si="5">IF(G313,F315-G312,0)</f>
        <v>20000000</v>
      </c>
      <c r="H315">
        <f t="shared" si="5"/>
        <v>20000000</v>
      </c>
      <c r="I315">
        <f t="shared" si="5"/>
        <v>20000000</v>
      </c>
      <c r="J315" s="917">
        <f t="shared" si="5"/>
        <v>20000000</v>
      </c>
      <c r="K315" s="917">
        <f t="shared" si="5"/>
        <v>20000000</v>
      </c>
      <c r="L315" s="917">
        <f t="shared" si="5"/>
        <v>20000000</v>
      </c>
      <c r="M315" s="917">
        <f t="shared" si="5"/>
        <v>20000000</v>
      </c>
      <c r="N315" s="917">
        <f t="shared" si="5"/>
        <v>20000000</v>
      </c>
      <c r="P315" t="s">
        <v>12083</v>
      </c>
      <c r="Q315">
        <f>Q316-Q314</f>
        <v>50000000</v>
      </c>
      <c r="R315">
        <f>SUM(R309:R313)</f>
        <v>0</v>
      </c>
    </row>
    <row r="316" spans="1:22" ht="15" x14ac:dyDescent="0.25">
      <c r="A316" s="905" t="s">
        <v>1748</v>
      </c>
      <c r="B316" s="577">
        <f>B311+B312</f>
        <v>0</v>
      </c>
      <c r="P316" t="s">
        <v>749</v>
      </c>
      <c r="Q316">
        <v>50000000</v>
      </c>
      <c r="R316"/>
    </row>
    <row r="317" spans="1:22" x14ac:dyDescent="0.2">
      <c r="A317" s="905"/>
      <c r="B317" s="577"/>
      <c r="D317" s="958" t="s">
        <v>7904</v>
      </c>
      <c r="E317" s="577">
        <f>B316</f>
        <v>0</v>
      </c>
      <c r="F317" s="847" t="s">
        <v>7909</v>
      </c>
      <c r="G317" s="576">
        <f>MAX(0,(M315*0.6))*0.25</f>
        <v>3000000</v>
      </c>
      <c r="J317" s="873">
        <f>K314+L312*0.3</f>
        <v>0</v>
      </c>
      <c r="P317" s="1834" t="s">
        <v>12983</v>
      </c>
      <c r="R317" s="873">
        <f>Q287</f>
        <v>0</v>
      </c>
    </row>
    <row r="318" spans="1:22" x14ac:dyDescent="0.2">
      <c r="A318" s="905" t="s">
        <v>1621</v>
      </c>
      <c r="B318" s="577">
        <f>N314+B314</f>
        <v>0</v>
      </c>
      <c r="D318" s="144" t="s">
        <v>7905</v>
      </c>
      <c r="E318" s="576">
        <f xml:space="preserve"> ROUND(0.25 *( SI_115BBE+SI_PTI115BBE),0)</f>
        <v>0</v>
      </c>
      <c r="F318" s="383" t="s">
        <v>7910</v>
      </c>
      <c r="G318" s="577">
        <f>MAX(0,E320-E322)</f>
        <v>0</v>
      </c>
      <c r="H318" s="1834"/>
      <c r="P318" s="1834" t="s">
        <v>12854</v>
      </c>
      <c r="R318" s="941">
        <f>Q288</f>
        <v>0</v>
      </c>
    </row>
    <row r="319" spans="1:22" x14ac:dyDescent="0.2">
      <c r="A319" s="905" t="s">
        <v>1624</v>
      </c>
      <c r="B319" s="577">
        <f>IF(FLOOR(B315,10)&gt;20000000,B306*0.25,0)</f>
        <v>0</v>
      </c>
      <c r="D319" s="959" t="s">
        <v>7906</v>
      </c>
      <c r="E319" s="576">
        <f>MAX(0,ROUND(IF(Temp_111A_Number=1,0.15*((sheet9.TaxPayableOnTotInc)-SI_115BBE-SI_PTI115BBE),IF(Temp_111A_Number=2,0.25*((sheet9.TaxPayableOnTotInc)-SI_115BBE-SI_PTI115BBE-Q296)+0.15*Q296,0)),0))</f>
        <v>0</v>
      </c>
      <c r="F319" s="960" t="s">
        <v>1856</v>
      </c>
      <c r="G319" s="577">
        <f>MAX(0,(E318+E319-G318))</f>
        <v>0</v>
      </c>
      <c r="H319" s="1834"/>
      <c r="P319" s="1834" t="s">
        <v>12855</v>
      </c>
      <c r="R319" s="941">
        <f>Q289</f>
        <v>0</v>
      </c>
    </row>
    <row r="320" spans="1:22" x14ac:dyDescent="0.2">
      <c r="A320" s="905" t="s">
        <v>1626</v>
      </c>
      <c r="B320" s="577">
        <f>MAX(FLOOR(B315,10)-20000000,0)</f>
        <v>0</v>
      </c>
      <c r="D320" s="576" t="s">
        <v>7907</v>
      </c>
      <c r="E320" s="577">
        <f>SUM(E317:E319)</f>
        <v>0</v>
      </c>
      <c r="H320" s="1834"/>
    </row>
    <row r="321" spans="1:16" x14ac:dyDescent="0.2">
      <c r="A321" s="905" t="s">
        <v>1761</v>
      </c>
      <c r="B321" s="577">
        <f>MAX(B316+B319-B318-B320,0)</f>
        <v>0</v>
      </c>
      <c r="D321" s="708" t="s">
        <v>12091</v>
      </c>
      <c r="E321" s="577">
        <f>B318</f>
        <v>0</v>
      </c>
      <c r="F321" s="961" t="s">
        <v>7911</v>
      </c>
      <c r="G321" s="576">
        <f>MAX(0,E318)</f>
        <v>0</v>
      </c>
      <c r="H321" s="1834"/>
    </row>
    <row r="322" spans="1:16" x14ac:dyDescent="0.2">
      <c r="A322" s="905" t="s">
        <v>1762</v>
      </c>
      <c r="B322" s="577">
        <f>MAX(0,IF((B316+B319)&gt;(B318+B320),ROUND(B319-B321,0),ROUND(B319,0)))</f>
        <v>0</v>
      </c>
      <c r="D322" s="708" t="s">
        <v>12093</v>
      </c>
      <c r="E322" s="577">
        <f>MAX(0,E321+B320+G317+(0.15*L314))</f>
        <v>3000000</v>
      </c>
      <c r="F322" s="961" t="s">
        <v>7912</v>
      </c>
      <c r="G322" s="576">
        <f>IF(B307&gt;20000000,MAX(0,G319-G321),0)</f>
        <v>0</v>
      </c>
      <c r="I322" s="1834"/>
    </row>
    <row r="325" spans="1:16" x14ac:dyDescent="0.2">
      <c r="A325" s="870" t="s">
        <v>12090</v>
      </c>
      <c r="B325" s="871"/>
      <c r="C325" s="871"/>
    </row>
    <row r="326" spans="1:16" x14ac:dyDescent="0.2">
      <c r="C326" s="873">
        <f>Sheet8b.GrossTotalIncome-Sheet8b.DeductionsUnder10Aor10AA-Sheet8b.DeductionsUnderScheduleVIA</f>
        <v>0</v>
      </c>
      <c r="D326" s="872" t="s">
        <v>1901</v>
      </c>
      <c r="E326" s="576">
        <f>Sheet8b.GrossTotalIncome-Sheet8b.DeductionsUnder10Aor10AA-Sheet8b.DeductionsUnderScheduleVIA</f>
        <v>0</v>
      </c>
    </row>
    <row r="327" spans="1:16" x14ac:dyDescent="0.2">
      <c r="D327" s="872" t="s">
        <v>1902</v>
      </c>
      <c r="E327" s="576">
        <f>IF(E326-Sheet8b.IncChargeableTaxSplRates&gt;0,IF((E326-Sheet8b.IncChargeableTaxSplRates)&gt;=exemption,exemption,(E326-Sheet8b.IncChargeableTaxSplRates)),0)</f>
        <v>0</v>
      </c>
      <c r="F327" s="952" t="s">
        <v>1770</v>
      </c>
      <c r="G327" s="953"/>
    </row>
    <row r="328" spans="1:16" ht="25.5" x14ac:dyDescent="0.2">
      <c r="A328" s="905" t="s">
        <v>1664</v>
      </c>
      <c r="B328" s="577">
        <f>Sheet9.BalTaxPayable</f>
        <v>0</v>
      </c>
      <c r="D328" s="1571" t="s">
        <v>1755</v>
      </c>
      <c r="E328" s="577">
        <f>SUM(splRateInc22,'SPI - SI - IF'!G23,-taxableInc22,-'SPI - SI - IF'!H23,'SPI - SI - IF'!G62,-'SPI - SI - IF'!H62)</f>
        <v>0</v>
      </c>
      <c r="F328" s="1571" t="s">
        <v>9670</v>
      </c>
      <c r="G328" s="576">
        <f>getSlabbedIncome(B331,1)</f>
        <v>0</v>
      </c>
      <c r="H328" s="873">
        <f>getSlabbedIncome(B331,10)</f>
        <v>0</v>
      </c>
      <c r="I328" s="954" t="s">
        <v>8164</v>
      </c>
      <c r="J328" s="955">
        <f>MAX(0,50000000-SUM(E327:E330)-B334)</f>
        <v>50000000</v>
      </c>
    </row>
    <row r="329" spans="1:16" x14ac:dyDescent="0.2">
      <c r="A329" s="905" t="s">
        <v>1666</v>
      </c>
      <c r="B329" s="577">
        <f>Sheet8b.TotalIncome</f>
        <v>0</v>
      </c>
      <c r="D329" s="872" t="s">
        <v>1756</v>
      </c>
      <c r="E329" s="577">
        <f>(splRateInc1A-taxableInc1A)</f>
        <v>0</v>
      </c>
      <c r="F329" s="872" t="s">
        <v>1775</v>
      </c>
      <c r="G329" s="576">
        <f>getSlabbedIncome(B331,2)</f>
        <v>0</v>
      </c>
      <c r="H329" s="873">
        <f>getSlabbedIncome(B331,15)</f>
        <v>0</v>
      </c>
    </row>
    <row r="330" spans="1:16" x14ac:dyDescent="0.2">
      <c r="A330" s="905" t="s">
        <v>1745</v>
      </c>
      <c r="B330" s="577">
        <f>Sheet8b.IncChargeableTaxSplRates</f>
        <v>0</v>
      </c>
      <c r="D330" s="872" t="s">
        <v>1757</v>
      </c>
      <c r="E330" s="577">
        <f>(splRateInc21-taxableInc21)</f>
        <v>0</v>
      </c>
      <c r="F330" s="872" t="s">
        <v>1776</v>
      </c>
      <c r="G330" s="576">
        <f>getSlabbedIncome(B331,3)</f>
        <v>0</v>
      </c>
      <c r="H330" s="873">
        <f>getSlabbedIncome(B331,25)</f>
        <v>0</v>
      </c>
    </row>
    <row r="331" spans="1:16" ht="25.5" x14ac:dyDescent="0.2">
      <c r="A331" s="956" t="s">
        <v>1746</v>
      </c>
      <c r="B331" s="577">
        <f>B329-B330</f>
        <v>0</v>
      </c>
    </row>
    <row r="332" spans="1:16" x14ac:dyDescent="0.2">
      <c r="A332" s="956" t="s">
        <v>1900</v>
      </c>
      <c r="B332" s="577" cm="1">
        <f t="array" ref="B332">IF(bacValue=1,calcTaxPayableOnTINTR(B331),calculateTaxPayable(B331))</f>
        <v>0</v>
      </c>
      <c r="D332" s="957"/>
      <c r="E332" s="957" t="s">
        <v>1903</v>
      </c>
      <c r="F332" s="1768" t="s">
        <v>12108</v>
      </c>
      <c r="G332" s="1768" t="s">
        <v>12668</v>
      </c>
      <c r="H332" s="1768" t="s">
        <v>1904</v>
      </c>
      <c r="I332" s="1768" t="s">
        <v>1584</v>
      </c>
      <c r="J332" s="1768" t="s">
        <v>1905</v>
      </c>
      <c r="K332" s="957" t="s">
        <v>1906</v>
      </c>
      <c r="L332" s="957" t="s">
        <v>1907</v>
      </c>
      <c r="M332" s="1768" t="s">
        <v>12669</v>
      </c>
      <c r="N332" s="957" t="s">
        <v>1908</v>
      </c>
      <c r="O332" s="957" t="s">
        <v>1909</v>
      </c>
      <c r="P332" s="957" t="s">
        <v>7915</v>
      </c>
    </row>
    <row r="333" spans="1:16" ht="15" x14ac:dyDescent="0.25">
      <c r="A333" s="905" t="s">
        <v>1747</v>
      </c>
      <c r="B333" s="577">
        <f>sheet9.TaxAtSpecialRates</f>
        <v>0</v>
      </c>
      <c r="D333" s="891" t="s">
        <v>1860</v>
      </c>
      <c r="E333" s="940">
        <f>SUM(G328,'SPI - SI - IF'!H32:H35,'SPI - SI - IF'!H44,'SPI - SI - IF'!H67:H70,'SPI - SI - IF'!H76)</f>
        <v>0</v>
      </c>
      <c r="F333" s="1922">
        <f>SUM('SPI - SI - IF'!H23,'SPI - SI - IF'!H62)</f>
        <v>0</v>
      </c>
      <c r="G333" s="1922">
        <f>SUM('SPI - SI - IF'!H45,'SPI - SI - IF'!H46)</f>
        <v>0</v>
      </c>
      <c r="H333" s="1922">
        <f>SUM(H328,'SPI - SI - IF'!H22,'SPI - SI - IF'!H24,'SPI - SI - IF'!H39:H42,'SPI - SI - IF'!H57,'SPI - SI - IF'!H38,'SPI - SI - IF'!H49,'SPI - SI - IF'!H27,'SPI - SI - IF'!H52,'SPI - SI - IF'!H28,'SPI - SI - IF'!H54,'SPI - SI - IF'!H63,'SPI - SI - IF'!H72:H74,'SPI - SI - IF'!H80,'SPI - SI - IF'!H82:H83)</f>
        <v>0</v>
      </c>
      <c r="I333">
        <f>'SPI - SI - IF'!H20</f>
        <v>0</v>
      </c>
      <c r="J333" s="1922">
        <f>SUM(H329,'SPI - SI - IF'!H29,'SPI - SI - IF'!H60)</f>
        <v>0</v>
      </c>
      <c r="K333" s="940">
        <f>SUM(G329,'SPI - SI - IF'!H21,'SPI - SI - IF'!H30,'SPI - SI - IF'!H31,'SPI - SI - IF'!H36,'SPI - SI - IF'!H43,'SPI - SI - IF'!H47,'SPI - SI - IF'!H55,'SPI - SI - IF'!H56,'SPI - SI - IF'!H64:H66,'SPI - SI - IF'!H71,'SPI - SI - IF'!H75,'SPI - SI - IF'!H78,'SPI - SI - IF'!H92,'SPI - SI - IF'!H88,'SPI - SI - IF'!H89)</f>
        <v>0</v>
      </c>
      <c r="L333" s="940">
        <f>H330</f>
        <v>0</v>
      </c>
      <c r="M333" s="940">
        <f>SUM('SPI - SI - IF'!H61,'SPI - SI - IF'!H26)</f>
        <v>0</v>
      </c>
      <c r="N333" s="940">
        <f>SUM(G330,taxableInc115BB,'SPI - SI - IF'!H48,'SPI - SI - IF'!H77,'SPI - SI - IF'!H79)</f>
        <v>0</v>
      </c>
      <c r="O333" s="940">
        <f>SUM('SPI - SI - IF'!H37)</f>
        <v>0</v>
      </c>
      <c r="P333" s="940">
        <f>SUM('SPI - SI - IF'!H50,'SPI - SI - IF'!H81)</f>
        <v>0</v>
      </c>
    </row>
    <row r="334" spans="1:16" ht="15" x14ac:dyDescent="0.25">
      <c r="A334" s="905" t="s">
        <v>1669</v>
      </c>
      <c r="B334" s="577">
        <f>DTAA_Inc_OS+SUM('SPI - SI - IF'!H58:H59)</f>
        <v>0</v>
      </c>
      <c r="D334" s="1763" t="s">
        <v>12094</v>
      </c>
      <c r="E334" s="917" t="b">
        <f>IF(E333&lt;J328,TRUE,FALSE)</f>
        <v>1</v>
      </c>
      <c r="F334" t="b">
        <f t="shared" ref="F334:P334" si="6">IF(F333&lt;E336,TRUE,FALSE)</f>
        <v>1</v>
      </c>
      <c r="G334" s="1921" t="b">
        <f t="shared" si="6"/>
        <v>1</v>
      </c>
      <c r="H334" t="b">
        <f t="shared" si="6"/>
        <v>1</v>
      </c>
      <c r="I334" t="b">
        <f t="shared" si="6"/>
        <v>1</v>
      </c>
      <c r="J334" t="b">
        <f t="shared" si="6"/>
        <v>1</v>
      </c>
      <c r="K334" s="917" t="b">
        <f t="shared" si="6"/>
        <v>1</v>
      </c>
      <c r="L334" s="917" t="b">
        <f t="shared" si="6"/>
        <v>1</v>
      </c>
      <c r="M334" s="917" t="b">
        <f t="shared" si="6"/>
        <v>1</v>
      </c>
      <c r="N334" s="917" t="b">
        <f t="shared" si="6"/>
        <v>1</v>
      </c>
      <c r="O334" s="917" t="b">
        <f t="shared" si="6"/>
        <v>1</v>
      </c>
      <c r="P334" s="917" t="b">
        <f t="shared" si="6"/>
        <v>1</v>
      </c>
    </row>
    <row r="335" spans="1:16" ht="15" x14ac:dyDescent="0.25">
      <c r="A335" s="905" t="s">
        <v>1670</v>
      </c>
      <c r="B335" s="577">
        <f>DTAA_TAX_OS+DTAA_TAX_OS_1+DTAA_TAX_OS_2</f>
        <v>0</v>
      </c>
      <c r="D335" s="891" t="s">
        <v>1911</v>
      </c>
      <c r="E335" s="917">
        <f>IF(E334,E333*0.05,J328*0.05)</f>
        <v>0</v>
      </c>
      <c r="F335">
        <f>TRUNC(IF(F334,E335+MAX(0,F333-100000)*0.1,E335+(MAX(0,(E336-100000)*0.1))))</f>
        <v>0</v>
      </c>
      <c r="G335" s="1921">
        <f>TRUNC(IF(G334,F335+MAX(0,G333-'SPI - SI - IF'!H46+MAX(0,('SPI - SI - IF'!H46)-100000))*0.1,F335+(MAX(0,(F336-'SPI - SI - IF'!H46+MAX(0,('SPI - SI - IF'!H46)-100000)*0.1)))))</f>
        <v>0</v>
      </c>
      <c r="H335">
        <f>TRUNC(IF(H334,G335+((H333)*0.1),G335+MAX(0,(G336)*0.1)))</f>
        <v>0</v>
      </c>
      <c r="I335">
        <f>TRUNC(IF(I334,H335+(I333*0.15),H335+(H336*0.15)),0)</f>
        <v>0</v>
      </c>
      <c r="J335">
        <f>IF(J334,I335+(J333*0.15),I335+(I336*0.15))</f>
        <v>0</v>
      </c>
      <c r="K335" s="917">
        <f>IF(K334,J335+(K333*0.2),J335+(J336*0.2))</f>
        <v>0</v>
      </c>
      <c r="L335" s="917">
        <f>IF(L334,K335+(L333*0.25),K335+(K336*0.25))</f>
        <v>0</v>
      </c>
      <c r="M335" s="917">
        <f>IF(M334,L335+(M333*0.3),L335+(L336*0.3))</f>
        <v>0</v>
      </c>
      <c r="N335" s="917">
        <f>IF(N334,M335+(N333*0.3),M335+(M336*0.3))</f>
        <v>0</v>
      </c>
      <c r="O335" s="917">
        <f>IF(O334,N335+(O333*0.5),N335+(N336*0.5))</f>
        <v>0</v>
      </c>
      <c r="P335" s="917">
        <f>TRUNC(IF(P334,O335+(P333*0.6),O335+(O336*0.6)),0)</f>
        <v>0</v>
      </c>
    </row>
    <row r="336" spans="1:16" ht="15" x14ac:dyDescent="0.25">
      <c r="A336" s="905" t="s">
        <v>1619</v>
      </c>
      <c r="B336" s="577">
        <f>B329</f>
        <v>0</v>
      </c>
      <c r="D336" s="891" t="s">
        <v>1912</v>
      </c>
      <c r="E336" s="917">
        <f>IF(E334,J328-E333,0)</f>
        <v>50000000</v>
      </c>
      <c r="F336">
        <f t="shared" ref="F336:L336" si="7">IF(F334,E336-F333,0)</f>
        <v>50000000</v>
      </c>
      <c r="G336" s="1921">
        <f>IF(G334,F336-G333,0)</f>
        <v>50000000</v>
      </c>
      <c r="H336">
        <f>IF(H334,G336-H333,0)</f>
        <v>50000000</v>
      </c>
      <c r="I336">
        <f t="shared" si="7"/>
        <v>50000000</v>
      </c>
      <c r="J336">
        <f t="shared" si="7"/>
        <v>50000000</v>
      </c>
      <c r="K336" s="917">
        <f t="shared" si="7"/>
        <v>50000000</v>
      </c>
      <c r="L336" s="917">
        <f t="shared" si="7"/>
        <v>50000000</v>
      </c>
      <c r="M336" s="917">
        <f>IF(M334,L336-M333,0)</f>
        <v>50000000</v>
      </c>
      <c r="N336" s="917">
        <f>IF(N334,M336-N333,0)</f>
        <v>50000000</v>
      </c>
      <c r="O336" s="917">
        <f>IF(O334,N336-O333,0)</f>
        <v>50000000</v>
      </c>
      <c r="P336" s="917">
        <f>IF(P334,O336-P333,0)</f>
        <v>50000000</v>
      </c>
    </row>
    <row r="337" spans="1:10" x14ac:dyDescent="0.2">
      <c r="A337" s="905" t="s">
        <v>1748</v>
      </c>
      <c r="B337" s="577">
        <f>B332+B333</f>
        <v>0</v>
      </c>
    </row>
    <row r="338" spans="1:10" x14ac:dyDescent="0.2">
      <c r="A338" s="905"/>
      <c r="B338" s="577"/>
      <c r="D338" s="958" t="s">
        <v>7904</v>
      </c>
      <c r="E338" s="577">
        <f>B337</f>
        <v>0</v>
      </c>
      <c r="F338" s="383" t="s">
        <v>7909</v>
      </c>
      <c r="G338" s="576">
        <f>MAX(0,(O336*0.6))*0.25</f>
        <v>7500000</v>
      </c>
      <c r="J338" s="873">
        <f>L335+N333*0.3</f>
        <v>0</v>
      </c>
    </row>
    <row r="339" spans="1:10" x14ac:dyDescent="0.2">
      <c r="A339" s="905" t="s">
        <v>1621</v>
      </c>
      <c r="B339" s="577">
        <f>P335+B335</f>
        <v>0</v>
      </c>
      <c r="D339" s="144" t="s">
        <v>7905</v>
      </c>
      <c r="E339" s="576">
        <f xml:space="preserve"> ROUND(0.25 *( SI_115BBE+SI_PTI115BBE),0)</f>
        <v>0</v>
      </c>
      <c r="F339" s="383" t="s">
        <v>7910</v>
      </c>
      <c r="G339" s="577">
        <f>MAX(0,E341-E343)</f>
        <v>0</v>
      </c>
    </row>
    <row r="340" spans="1:10" x14ac:dyDescent="0.2">
      <c r="A340" s="905" t="s">
        <v>1624</v>
      </c>
      <c r="B340" s="577">
        <f>IF(FLOOR(B336,10)&gt;10000000,B328*0.15,0)</f>
        <v>0</v>
      </c>
      <c r="D340" s="959" t="s">
        <v>7906</v>
      </c>
      <c r="E340" s="576">
        <f>MAX(0,ROUND(IF(Temp_111A_Number=3,0.15*((sheet9.TaxPayableOnTotInc)-SI_115BBE-SI_PTI115BBE),IF(Temp_111A_Number=4,0.25*((sheet9.TaxPayableOnTotInc)-SI_115BBE-SI_PTI115BBE-Q296)+0.15*Q296,IF(Temp_111A_Number=5,0.37*((sheet9.TaxPayableOnTotInc)-SI_115BBE-SI_PTI115BBE-Q296)+0.15*Q296,0))),0))</f>
        <v>0</v>
      </c>
      <c r="F340" s="960" t="s">
        <v>1856</v>
      </c>
      <c r="G340" s="577">
        <f>MAX(0,(E339+E340-G339))</f>
        <v>0</v>
      </c>
    </row>
    <row r="341" spans="1:10" x14ac:dyDescent="0.2">
      <c r="A341" s="905" t="s">
        <v>1626</v>
      </c>
      <c r="B341" s="577">
        <f>MAX(FLOOR(B336,10)-50000000,0)</f>
        <v>0</v>
      </c>
      <c r="D341" s="576" t="s">
        <v>7907</v>
      </c>
      <c r="E341" s="577">
        <f>SUM(E338:E340)</f>
        <v>0</v>
      </c>
    </row>
    <row r="342" spans="1:10" x14ac:dyDescent="0.2">
      <c r="A342" s="905" t="s">
        <v>1761</v>
      </c>
      <c r="B342" s="577">
        <f>MAX(B337+B340-B339-B341,0)</f>
        <v>0</v>
      </c>
      <c r="D342" s="708" t="s">
        <v>12095</v>
      </c>
      <c r="E342" s="577">
        <f>B339</f>
        <v>0</v>
      </c>
      <c r="F342" s="961" t="s">
        <v>7911</v>
      </c>
      <c r="G342" s="576">
        <f>MAX(0,E339)</f>
        <v>0</v>
      </c>
    </row>
    <row r="343" spans="1:10" x14ac:dyDescent="0.2">
      <c r="A343" s="905" t="s">
        <v>1762</v>
      </c>
      <c r="B343" s="577">
        <f>MAX(0,IF((B337+B340)&gt;(B339+B341),ROUND(B340-B342,0),ROUND(B340,0)))</f>
        <v>0</v>
      </c>
      <c r="D343" s="708" t="s">
        <v>12096</v>
      </c>
      <c r="E343" s="577">
        <f>MAX(0,E342+B341+G338+IF(U309=3,N335*0.15,IF(OR(U309=4,U309=5),(0.25*(N335-R314)+0.15*(R314)),0)))</f>
        <v>7500000</v>
      </c>
      <c r="F343" s="961" t="s">
        <v>7912</v>
      </c>
      <c r="G343" s="576">
        <f>IF(B329&gt;50000000,MAX(0,G340-G342),0)</f>
        <v>0</v>
      </c>
    </row>
    <row r="344" spans="1:10" x14ac:dyDescent="0.2">
      <c r="E344" s="873">
        <f>MAX(0,E342+B341+G338+IF(U309=3,N335*0.1,IF(U309=4,N335*0.15,IF(U309=5,(0.25*(N335-R314)+0.15*(R314)),0))))</f>
        <v>7500000</v>
      </c>
    </row>
  </sheetData>
  <sheetProtection algorithmName="SHA-512" hashValue="Z8HtUUos5ELf5+c2TIa8bfYy5+pjlI9O8Vd1gZ936o+7vilWpQmOVabennYJLSQ1ZVKzCSnNA+6fJeARecHoYA==" saltValue="dRrrXwfYQf8fByhEdDRH8g==" spinCount="100000" sheet="1" objects="1" scenarios="1"/>
  <mergeCells count="21">
    <mergeCell ref="AB65:AE65"/>
    <mergeCell ref="AC93:AE93"/>
    <mergeCell ref="AC94:AE94"/>
    <mergeCell ref="AC95:AE95"/>
    <mergeCell ref="AC96:AG96"/>
    <mergeCell ref="AC84:AE84"/>
    <mergeCell ref="AC81:AE81"/>
    <mergeCell ref="A113:B113"/>
    <mergeCell ref="AD98:AE98"/>
    <mergeCell ref="AC89:AE89"/>
    <mergeCell ref="AD99:AE99"/>
    <mergeCell ref="AC82:AE82"/>
    <mergeCell ref="AD97:AE97"/>
    <mergeCell ref="AC83:AE83"/>
    <mergeCell ref="AC88:AE88"/>
    <mergeCell ref="I255:L255"/>
    <mergeCell ref="AC101:AE101"/>
    <mergeCell ref="AC90:AE90"/>
    <mergeCell ref="AC91:AE91"/>
    <mergeCell ref="AC92:AE92"/>
    <mergeCell ref="AD100:AE100"/>
  </mergeCells>
  <dataValidations disablePrompts="1" count="8">
    <dataValidation type="whole" allowBlank="1" showErrorMessage="1" error="  Non negative, no decimal, upto 99,999,999,999,999" sqref="AG97:AG99 L265 L262:L263">
      <formula1>0</formula1>
      <formula2>99999999999999</formula2>
    </dataValidation>
    <dataValidation type="whole" allowBlank="1" showErrorMessage="1" error="  No decimal, upto 99,999,999,999,999 " sqref="AG81:AG83 L264">
      <formula1>-99999999999999</formula1>
      <formula2>99999999999999</formula2>
    </dataValidation>
    <dataValidation type="whole" allowBlank="1" showInputMessage="1" showErrorMessage="1" error="Deductions claimed under any Section in CHapter V1-A cannot have more then 14 digits" sqref="L256">
      <formula1>0</formula1>
      <formula2>99999999999999</formula2>
    </dataValidation>
    <dataValidation type="whole" allowBlank="1" showErrorMessage="1" errorTitle="Tax payable under 115JC" error="Tax payable under 115JC can not be more than 14 digits." sqref="L260">
      <formula1>0</formula1>
      <formula2>99999999999999</formula2>
    </dataValidation>
    <dataValidation type="whole" allowBlank="1" showErrorMessage="1" errorTitle="Adjusted Total Income" error="Adjusted Total Income can not be more than 14 digits." sqref="L259">
      <formula1>0</formula1>
      <formula2>99999999999999</formula2>
    </dataValidation>
    <dataValidation type="whole" allowBlank="1" showErrorMessage="1" errorTitle="Total Adjustment" error="Total Adjustment can not be more than 14 digits." sqref="L258">
      <formula1>0</formula1>
      <formula2>99999999999999</formula2>
    </dataValidation>
    <dataValidation type="whole" allowBlank="1" showErrorMessage="1" errorTitle="Deduction Claimed u/s 10AA" error="Deduction Claimed u/s 10AA can not be more than 14 digits." sqref="L257">
      <formula1>0</formula1>
      <formula2>99999999999999</formula2>
    </dataValidation>
    <dataValidation type="whole" allowBlank="1" showErrorMessage="1" errorTitle="Total Income as per item 11" error="Total Income as per item 11 can not be more than 14 digits." sqref="N254">
      <formula1>0</formula1>
      <formula2>99999999999999</formula2>
    </dataValidation>
  </dataValidation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FC42"/>
  <sheetViews>
    <sheetView showGridLines="0" showRowColHeaders="0" zoomScaleNormal="100" workbookViewId="0">
      <selection activeCell="E7" sqref="E7"/>
    </sheetView>
  </sheetViews>
  <sheetFormatPr defaultColWidth="0" defaultRowHeight="12.75" zeroHeight="1" x14ac:dyDescent="0.2"/>
  <cols>
    <col min="1" max="1" width="4.5703125" style="113" customWidth="1"/>
    <col min="2" max="2" width="4.42578125" style="113" customWidth="1"/>
    <col min="3" max="3" width="9.140625" style="113" customWidth="1"/>
    <col min="4" max="4" width="11.28515625" style="113" customWidth="1"/>
    <col min="5" max="5" width="20.7109375" style="113" customWidth="1"/>
    <col min="6" max="6" width="15" style="113" customWidth="1"/>
    <col min="7" max="7" width="12.140625" style="113" customWidth="1"/>
    <col min="8" max="8" width="16.140625" style="113" customWidth="1"/>
    <col min="9" max="9" width="4.42578125" style="113" customWidth="1"/>
    <col min="10" max="10" width="26.28515625" style="113" customWidth="1"/>
    <col min="11" max="16383" width="3" style="113" hidden="1"/>
    <col min="16384" max="16384" width="2" style="113" hidden="1"/>
  </cols>
  <sheetData>
    <row r="1" spans="2:33" ht="13.5" thickBot="1" x14ac:dyDescent="0.25"/>
    <row r="2" spans="2:33" x14ac:dyDescent="0.2">
      <c r="B2" s="1794"/>
      <c r="C2" s="1795"/>
      <c r="D2" s="1795"/>
      <c r="E2" s="1795"/>
      <c r="F2" s="1795"/>
      <c r="G2" s="1795"/>
      <c r="H2" s="1795"/>
      <c r="I2" s="1831"/>
      <c r="AD2" s="121" t="s">
        <v>12674</v>
      </c>
    </row>
    <row r="3" spans="2:33" ht="30.75" customHeight="1" x14ac:dyDescent="0.2">
      <c r="B3" s="1797"/>
      <c r="C3" s="2075" t="s">
        <v>13233</v>
      </c>
      <c r="D3" s="3932"/>
      <c r="E3" s="3865"/>
      <c r="F3" s="3865"/>
      <c r="G3" s="3865"/>
      <c r="H3" s="3866"/>
      <c r="I3" s="1809"/>
      <c r="J3" s="310"/>
      <c r="AD3" s="113" t="str">
        <f>MID(sheet1.StateCode1,1,2)</f>
        <v/>
      </c>
    </row>
    <row r="4" spans="2:33" ht="12.75" customHeight="1" x14ac:dyDescent="0.2">
      <c r="B4" s="1797"/>
      <c r="C4" s="2065" t="s">
        <v>309</v>
      </c>
      <c r="D4" s="3110" t="s">
        <v>9713</v>
      </c>
      <c r="E4" s="3111"/>
      <c r="F4" s="3111"/>
      <c r="G4" s="3111"/>
      <c r="H4" s="3112"/>
      <c r="I4" s="1809"/>
      <c r="J4" s="310"/>
      <c r="W4" s="113" t="s">
        <v>7656</v>
      </c>
      <c r="AA4" s="113" t="s">
        <v>7655</v>
      </c>
    </row>
    <row r="5" spans="2:33" ht="42" customHeight="1" x14ac:dyDescent="0.2">
      <c r="B5" s="1797"/>
      <c r="C5" s="1157"/>
      <c r="D5" s="2068" t="s">
        <v>11922</v>
      </c>
      <c r="E5" s="31" t="s">
        <v>8855</v>
      </c>
      <c r="F5" s="31" t="s">
        <v>7337</v>
      </c>
      <c r="G5" s="35" t="s">
        <v>1229</v>
      </c>
      <c r="H5" s="36" t="s">
        <v>1176</v>
      </c>
      <c r="I5" s="1809"/>
      <c r="J5" s="310"/>
      <c r="S5" s="376" t="s">
        <v>12675</v>
      </c>
      <c r="T5" s="144" t="b">
        <f>IF(OR(AD3="03",AD3="04",AD3="20",AD3="21",AD3="22",AD3="23",AD3="30"),FALSE,FALSE)</f>
        <v>0</v>
      </c>
      <c r="U5" s="377" t="s">
        <v>7545</v>
      </c>
      <c r="V5" s="144">
        <f>SUMIF(FormulaOfExSAT,"=A",IT.Amt)</f>
        <v>0</v>
      </c>
      <c r="Y5" s="377" t="s">
        <v>7644</v>
      </c>
      <c r="Z5" s="144">
        <f>SUMIF(FormulaOfExSAT1,"=B",IT.Amt)</f>
        <v>0</v>
      </c>
      <c r="AA5" s="113" cm="1">
        <f t="array" ref="AA5">IF(IT.Qtr0&gt;0,0.75,1)</f>
        <v>1</v>
      </c>
      <c r="AB5" s="113" cm="1">
        <f t="array" ref="AB5">SUMIF(FormulaofQ0,"=1",IT.Amt)</f>
        <v>0</v>
      </c>
    </row>
    <row r="6" spans="2:33" ht="12.75" customHeight="1" x14ac:dyDescent="0.2">
      <c r="B6" s="1797"/>
      <c r="C6" s="58"/>
      <c r="D6" s="2068"/>
      <c r="E6" s="2065">
        <v>1</v>
      </c>
      <c r="F6" s="2065">
        <v>2</v>
      </c>
      <c r="G6" s="2065">
        <v>3</v>
      </c>
      <c r="H6" s="2065">
        <v>4</v>
      </c>
      <c r="I6" s="1809"/>
      <c r="J6" s="310"/>
      <c r="X6" s="144" t="s">
        <v>7548</v>
      </c>
      <c r="Y6" s="263" t="s">
        <v>7549</v>
      </c>
      <c r="AC6" s="113" t="s">
        <v>8158</v>
      </c>
      <c r="AE6" s="378">
        <v>92</v>
      </c>
      <c r="AG6" s="113" t="s">
        <v>8159</v>
      </c>
    </row>
    <row r="7" spans="2:33" ht="12.75" customHeight="1" x14ac:dyDescent="0.2">
      <c r="B7" s="1797"/>
      <c r="C7" s="58"/>
      <c r="D7" s="1152">
        <v>1</v>
      </c>
      <c r="E7" s="2401" t="s">
        <v>23</v>
      </c>
      <c r="F7" s="2401"/>
      <c r="G7" s="2402"/>
      <c r="H7" s="2400"/>
      <c r="I7" s="1809"/>
      <c r="J7" s="310"/>
      <c r="Q7" s="144" t="e">
        <f t="shared" ref="Q7:Q15" si="0">VALUE(MID(F7,7,4))</f>
        <v>#VALUE!</v>
      </c>
      <c r="R7" s="144" t="e">
        <f t="shared" ref="R7:R15" si="1">VALUE(MID(F7,1,2))</f>
        <v>#VALUE!</v>
      </c>
      <c r="S7" s="144" t="e">
        <f t="shared" ref="S7:S15" si="2">VALUE(MID(F7,4,2))</f>
        <v>#VALUE!</v>
      </c>
      <c r="T7" s="379" t="e">
        <f>IF(Q7&gt;2022,2,IF(Q7&gt;=2022,IF(S7&gt;=4,2,1),1))</f>
        <v>#VALUE!</v>
      </c>
      <c r="U7" s="379" t="e">
        <f t="shared" ref="U7:U15" si="3">IF(TN.Flag,Y7,X7)</f>
        <v>#VALUE!</v>
      </c>
      <c r="V7" s="379" t="e">
        <f>IF(Q7&lt;=2022,IF(T7&gt;1,IF(S7&lt;4,S7+9,S7-3),0),S7+9)</f>
        <v>#VALUE!</v>
      </c>
      <c r="W7" s="380" t="e">
        <f>IF(Q7&lt;=2023,IF(T7&gt;1,IF(AND(S7=1,R7&lt;=10),"A",S7-3),0),S7+9)</f>
        <v>#VALUE!</v>
      </c>
      <c r="X7" s="379" t="e">
        <f>IF(T7&gt;1,6,IF(Q7&lt;2022,IF((S7=6)*(R7&gt;15),2,IF(S7&lt;7,1,IF((S7=9)*(R7&gt;15),3,IF(S7&lt;10,2,IF((S7=12)*(R7&gt;15),4,IF(S7&lt;13,3,4)))))),IF(S7&lt;3,4,IF(R7&lt;16,4,5))))</f>
        <v>#VALUE!</v>
      </c>
      <c r="Y7" s="379" t="e">
        <f>IF(T7&gt;1,6,IF(Q7&lt;2022,IF((S7=6)*(R7&gt;30),2,IF(S7&lt;7,1,IF((S7=9)*(R7&gt;15),3,IF(S7&lt;10,2,IF((S7=12)*(R7&gt;31),4,IF(S7&lt;13,3,4)))))),IF(S7&lt;3,4,IF(R7&lt;16,4,5))))</f>
        <v>#VALUE!</v>
      </c>
      <c r="Z7" s="380" t="e">
        <f>IF(Q7&lt;=2023,IF(AND(S7=3,R7&lt;=15),"B",S7-3),S7+9)</f>
        <v>#VALUE!</v>
      </c>
      <c r="AA7" s="144" t="e">
        <f>IF(Q7&lt;=2022,IF(T7&gt;1,IF(S7&lt;4,S7+9,S7-3),0),S7-3 + MAX(Q7-2022) *12)</f>
        <v>#VALUE!</v>
      </c>
    </row>
    <row r="8" spans="2:33" ht="12.75" customHeight="1" x14ac:dyDescent="0.2">
      <c r="B8" s="1797"/>
      <c r="C8" s="58"/>
      <c r="D8" s="1152">
        <f t="shared" ref="D8:D15" si="4">D7+1</f>
        <v>2</v>
      </c>
      <c r="E8" s="2401"/>
      <c r="F8" s="2401"/>
      <c r="G8" s="2402"/>
      <c r="H8" s="2400"/>
      <c r="I8" s="1809"/>
      <c r="J8" s="310"/>
      <c r="Q8" s="144" t="e">
        <f t="shared" si="0"/>
        <v>#VALUE!</v>
      </c>
      <c r="R8" s="144" t="e">
        <f t="shared" si="1"/>
        <v>#VALUE!</v>
      </c>
      <c r="S8" s="144" t="e">
        <f t="shared" si="2"/>
        <v>#VALUE!</v>
      </c>
      <c r="T8" s="379" t="e">
        <f t="shared" ref="T8:T15" si="5">IF(Q8&gt;2022,2,IF(Q8&gt;=2022,IF(S8&gt;=4,2,1),1))</f>
        <v>#VALUE!</v>
      </c>
      <c r="U8" s="379" t="e">
        <f t="shared" si="3"/>
        <v>#VALUE!</v>
      </c>
      <c r="V8" s="379" t="e">
        <f t="shared" ref="V8:V15" si="6">IF(Q8&lt;=2022,IF(T8&gt;1,IF(S8&lt;4,S8+9,S8-3),0),S8+9)</f>
        <v>#VALUE!</v>
      </c>
      <c r="W8" s="380" t="e">
        <f t="shared" ref="W8:W15" si="7">IF(Q8&lt;=2023,IF(T8&gt;1,IF(AND(S8=1,R8&lt;=10),"A",S8-3),0),S8+9)</f>
        <v>#VALUE!</v>
      </c>
      <c r="X8" s="379" t="e">
        <f t="shared" ref="X8:X15" si="8">IF(T8&gt;1,6,IF(Q8&lt;2022,IF((S8=6)*(R8&gt;15),2,IF(S8&lt;7,1,IF((S8=9)*(R8&gt;15),3,IF(S8&lt;10,2,IF((S8=12)*(R8&gt;15),4,IF(S8&lt;13,3,4)))))),IF(S8&lt;3,4,IF(R8&lt;16,4,5))))</f>
        <v>#VALUE!</v>
      </c>
      <c r="Y8" s="379" t="e">
        <f t="shared" ref="Y8:Y15" si="9">IF(T8&gt;1,6,IF(Q8&lt;2022,IF((S8=6)*(R8&gt;30),2,IF(S8&lt;7,1,IF((S8=9)*(R8&gt;15),3,IF(S8&lt;10,2,IF((S8=12)*(R8&gt;31),4,IF(S8&lt;13,3,4)))))),IF(S8&lt;3,4,IF(R8&lt;16,4,5))))</f>
        <v>#VALUE!</v>
      </c>
      <c r="Z8" s="380" t="e">
        <f t="shared" ref="Z8:Z15" si="10">IF(Q8&lt;=2022,IF(AND(S8=3,R8&lt;=15),"B",S8-3),S8+9)</f>
        <v>#VALUE!</v>
      </c>
      <c r="AA8" s="2444" t="e">
        <f t="shared" ref="AA8:AA15" si="11">IF(Q8&lt;=2022,IF(T8&gt;1,IF(S8&lt;4,S8+9,S8-3),0),S8-3 + MAX(Q8-2022) *12)</f>
        <v>#VALUE!</v>
      </c>
      <c r="AC8" s="113">
        <f>IF(OR(MID(sheet1.LiableSec44ABflg,1,1)="Y",$AE$8=1,$AG$8=1),1,0)</f>
        <v>0</v>
      </c>
      <c r="AE8" s="113">
        <f>IF(COUNTIF(sheet1.AuditedSection,"&lt;&gt;92E")-COUNTIF(sheet1.AuditedSection,"(Select)")-COUNTIF(sheet1.AuditedSection,"")&gt;=1,1,0)</f>
        <v>0</v>
      </c>
      <c r="AG8" s="113">
        <f>IF(COUNTIF(IF.IsLiableToAudit,"Y")&gt;=1,1,0)</f>
        <v>0</v>
      </c>
    </row>
    <row r="9" spans="2:33" ht="12.75" customHeight="1" x14ac:dyDescent="0.2">
      <c r="B9" s="1797"/>
      <c r="C9" s="58"/>
      <c r="D9" s="1152">
        <f t="shared" si="4"/>
        <v>3</v>
      </c>
      <c r="E9" s="2401"/>
      <c r="F9" s="2401"/>
      <c r="G9" s="2402"/>
      <c r="H9" s="2400"/>
      <c r="I9" s="1809"/>
      <c r="J9" s="310"/>
      <c r="Q9" s="144" t="e">
        <f t="shared" si="0"/>
        <v>#VALUE!</v>
      </c>
      <c r="R9" s="144" t="e">
        <f t="shared" si="1"/>
        <v>#VALUE!</v>
      </c>
      <c r="S9" s="144" t="e">
        <f t="shared" si="2"/>
        <v>#VALUE!</v>
      </c>
      <c r="T9" s="379" t="e">
        <f t="shared" si="5"/>
        <v>#VALUE!</v>
      </c>
      <c r="U9" s="379" t="e">
        <f t="shared" si="3"/>
        <v>#VALUE!</v>
      </c>
      <c r="V9" s="379" t="e">
        <f t="shared" si="6"/>
        <v>#VALUE!</v>
      </c>
      <c r="W9" s="380" t="e">
        <f t="shared" si="7"/>
        <v>#VALUE!</v>
      </c>
      <c r="X9" s="379" t="e">
        <f t="shared" si="8"/>
        <v>#VALUE!</v>
      </c>
      <c r="Y9" s="379" t="e">
        <f t="shared" si="9"/>
        <v>#VALUE!</v>
      </c>
      <c r="Z9" s="380" t="e">
        <f t="shared" si="10"/>
        <v>#VALUE!</v>
      </c>
      <c r="AA9" s="2444" t="e">
        <f t="shared" si="11"/>
        <v>#VALUE!</v>
      </c>
    </row>
    <row r="10" spans="2:33" ht="12.75" customHeight="1" x14ac:dyDescent="0.2">
      <c r="B10" s="1797"/>
      <c r="C10" s="58"/>
      <c r="D10" s="1152">
        <f t="shared" si="4"/>
        <v>4</v>
      </c>
      <c r="E10" s="2401"/>
      <c r="F10" s="2401"/>
      <c r="G10" s="2402"/>
      <c r="H10" s="2400"/>
      <c r="I10" s="1809"/>
      <c r="J10" s="310"/>
      <c r="Q10" s="144" t="e">
        <f t="shared" si="0"/>
        <v>#VALUE!</v>
      </c>
      <c r="R10" s="144" t="e">
        <f t="shared" si="1"/>
        <v>#VALUE!</v>
      </c>
      <c r="S10" s="144" t="e">
        <f t="shared" si="2"/>
        <v>#VALUE!</v>
      </c>
      <c r="T10" s="379" t="e">
        <f t="shared" si="5"/>
        <v>#VALUE!</v>
      </c>
      <c r="U10" s="379" t="e">
        <f t="shared" si="3"/>
        <v>#VALUE!</v>
      </c>
      <c r="V10" s="379" t="e">
        <f t="shared" si="6"/>
        <v>#VALUE!</v>
      </c>
      <c r="W10" s="380" t="e">
        <f t="shared" si="7"/>
        <v>#VALUE!</v>
      </c>
      <c r="X10" s="379" t="e">
        <f t="shared" si="8"/>
        <v>#VALUE!</v>
      </c>
      <c r="Y10" s="379" t="e">
        <f t="shared" si="9"/>
        <v>#VALUE!</v>
      </c>
      <c r="Z10" s="380" t="e">
        <f t="shared" si="10"/>
        <v>#VALUE!</v>
      </c>
      <c r="AA10" s="2444" t="e">
        <f t="shared" si="11"/>
        <v>#VALUE!</v>
      </c>
    </row>
    <row r="11" spans="2:33" ht="12.75" customHeight="1" x14ac:dyDescent="0.2">
      <c r="B11" s="1797"/>
      <c r="C11" s="58"/>
      <c r="D11" s="1152">
        <f t="shared" si="4"/>
        <v>5</v>
      </c>
      <c r="E11" s="2144"/>
      <c r="F11" s="2039"/>
      <c r="G11" s="2142"/>
      <c r="H11" s="2034"/>
      <c r="I11" s="1809"/>
      <c r="J11" s="310"/>
      <c r="Q11" s="144" t="e">
        <f t="shared" si="0"/>
        <v>#VALUE!</v>
      </c>
      <c r="R11" s="144" t="e">
        <f t="shared" si="1"/>
        <v>#VALUE!</v>
      </c>
      <c r="S11" s="144" t="e">
        <f t="shared" si="2"/>
        <v>#VALUE!</v>
      </c>
      <c r="T11" s="379" t="e">
        <f t="shared" si="5"/>
        <v>#VALUE!</v>
      </c>
      <c r="U11" s="379" t="e">
        <f t="shared" si="3"/>
        <v>#VALUE!</v>
      </c>
      <c r="V11" s="379" t="e">
        <f t="shared" si="6"/>
        <v>#VALUE!</v>
      </c>
      <c r="W11" s="380" t="e">
        <f t="shared" si="7"/>
        <v>#VALUE!</v>
      </c>
      <c r="X11" s="379" t="e">
        <f t="shared" si="8"/>
        <v>#VALUE!</v>
      </c>
      <c r="Y11" s="379" t="e">
        <f t="shared" si="9"/>
        <v>#VALUE!</v>
      </c>
      <c r="Z11" s="380" t="e">
        <f t="shared" si="10"/>
        <v>#VALUE!</v>
      </c>
      <c r="AA11" s="2444" t="e">
        <f t="shared" si="11"/>
        <v>#VALUE!</v>
      </c>
    </row>
    <row r="12" spans="2:33" ht="12.75" customHeight="1" x14ac:dyDescent="0.2">
      <c r="B12" s="1797"/>
      <c r="C12" s="58"/>
      <c r="D12" s="1152">
        <f t="shared" si="4"/>
        <v>6</v>
      </c>
      <c r="E12" s="2144"/>
      <c r="F12" s="2144"/>
      <c r="G12" s="2142"/>
      <c r="H12" s="2143"/>
      <c r="I12" s="1809"/>
      <c r="J12" s="310"/>
      <c r="Q12" s="144" t="e">
        <f t="shared" si="0"/>
        <v>#VALUE!</v>
      </c>
      <c r="R12" s="144" t="e">
        <f t="shared" si="1"/>
        <v>#VALUE!</v>
      </c>
      <c r="S12" s="144" t="e">
        <f t="shared" si="2"/>
        <v>#VALUE!</v>
      </c>
      <c r="T12" s="379" t="e">
        <f t="shared" si="5"/>
        <v>#VALUE!</v>
      </c>
      <c r="U12" s="379" t="e">
        <f t="shared" si="3"/>
        <v>#VALUE!</v>
      </c>
      <c r="V12" s="379" t="e">
        <f t="shared" si="6"/>
        <v>#VALUE!</v>
      </c>
      <c r="W12" s="380" t="e">
        <f t="shared" si="7"/>
        <v>#VALUE!</v>
      </c>
      <c r="X12" s="379" t="e">
        <f t="shared" si="8"/>
        <v>#VALUE!</v>
      </c>
      <c r="Y12" s="379" t="e">
        <f t="shared" si="9"/>
        <v>#VALUE!</v>
      </c>
      <c r="Z12" s="380" t="e">
        <f t="shared" si="10"/>
        <v>#VALUE!</v>
      </c>
      <c r="AA12" s="2444" t="e">
        <f t="shared" si="11"/>
        <v>#VALUE!</v>
      </c>
    </row>
    <row r="13" spans="2:33" ht="12.75" customHeight="1" x14ac:dyDescent="0.2">
      <c r="B13" s="1797"/>
      <c r="C13" s="58"/>
      <c r="D13" s="1152">
        <f t="shared" si="4"/>
        <v>7</v>
      </c>
      <c r="E13" s="2144"/>
      <c r="F13" s="2465"/>
      <c r="G13" s="2142"/>
      <c r="H13" s="2143"/>
      <c r="I13" s="1809"/>
      <c r="J13" s="310"/>
      <c r="Q13" s="144" t="e">
        <f t="shared" si="0"/>
        <v>#VALUE!</v>
      </c>
      <c r="R13" s="144" t="e">
        <f t="shared" si="1"/>
        <v>#VALUE!</v>
      </c>
      <c r="S13" s="144" t="e">
        <f t="shared" si="2"/>
        <v>#VALUE!</v>
      </c>
      <c r="T13" s="379" t="e">
        <f t="shared" si="5"/>
        <v>#VALUE!</v>
      </c>
      <c r="U13" s="379" t="e">
        <f t="shared" si="3"/>
        <v>#VALUE!</v>
      </c>
      <c r="V13" s="379" t="e">
        <f t="shared" si="6"/>
        <v>#VALUE!</v>
      </c>
      <c r="W13" s="380" t="e">
        <f t="shared" si="7"/>
        <v>#VALUE!</v>
      </c>
      <c r="X13" s="379" t="e">
        <f t="shared" si="8"/>
        <v>#VALUE!</v>
      </c>
      <c r="Y13" s="379" t="e">
        <f t="shared" si="9"/>
        <v>#VALUE!</v>
      </c>
      <c r="Z13" s="380" t="e">
        <f t="shared" si="10"/>
        <v>#VALUE!</v>
      </c>
      <c r="AA13" s="2444" t="e">
        <f t="shared" si="11"/>
        <v>#VALUE!</v>
      </c>
    </row>
    <row r="14" spans="2:33" ht="12.75" customHeight="1" x14ac:dyDescent="0.2">
      <c r="B14" s="1797"/>
      <c r="C14" s="58"/>
      <c r="D14" s="1152">
        <f t="shared" si="4"/>
        <v>8</v>
      </c>
      <c r="E14" s="2144"/>
      <c r="F14" s="2144"/>
      <c r="G14" s="2142"/>
      <c r="H14" s="2143"/>
      <c r="I14" s="1809"/>
      <c r="J14" s="310"/>
      <c r="Q14" s="144" t="e">
        <f t="shared" si="0"/>
        <v>#VALUE!</v>
      </c>
      <c r="R14" s="144" t="e">
        <f t="shared" si="1"/>
        <v>#VALUE!</v>
      </c>
      <c r="S14" s="144" t="e">
        <f t="shared" si="2"/>
        <v>#VALUE!</v>
      </c>
      <c r="T14" s="379" t="e">
        <f t="shared" si="5"/>
        <v>#VALUE!</v>
      </c>
      <c r="U14" s="379" t="e">
        <f t="shared" si="3"/>
        <v>#VALUE!</v>
      </c>
      <c r="V14" s="379" t="e">
        <f t="shared" si="6"/>
        <v>#VALUE!</v>
      </c>
      <c r="W14" s="380" t="e">
        <f t="shared" si="7"/>
        <v>#VALUE!</v>
      </c>
      <c r="X14" s="379" t="e">
        <f t="shared" si="8"/>
        <v>#VALUE!</v>
      </c>
      <c r="Y14" s="379" t="e">
        <f t="shared" si="9"/>
        <v>#VALUE!</v>
      </c>
      <c r="Z14" s="380" t="e">
        <f t="shared" si="10"/>
        <v>#VALUE!</v>
      </c>
      <c r="AA14" s="2444" t="e">
        <f t="shared" si="11"/>
        <v>#VALUE!</v>
      </c>
    </row>
    <row r="15" spans="2:33" ht="12.75" customHeight="1" x14ac:dyDescent="0.2">
      <c r="B15" s="1797"/>
      <c r="C15" s="58"/>
      <c r="D15" s="1152">
        <f t="shared" si="4"/>
        <v>9</v>
      </c>
      <c r="E15" s="2039"/>
      <c r="F15" s="2039"/>
      <c r="G15" s="2037"/>
      <c r="H15" s="2034"/>
      <c r="I15" s="1809"/>
      <c r="J15" s="310"/>
      <c r="Q15" s="144" t="e">
        <f t="shared" si="0"/>
        <v>#VALUE!</v>
      </c>
      <c r="R15" s="144" t="e">
        <f t="shared" si="1"/>
        <v>#VALUE!</v>
      </c>
      <c r="S15" s="144" t="e">
        <f t="shared" si="2"/>
        <v>#VALUE!</v>
      </c>
      <c r="T15" s="379" t="e">
        <f t="shared" si="5"/>
        <v>#VALUE!</v>
      </c>
      <c r="U15" s="379" t="e">
        <f t="shared" si="3"/>
        <v>#VALUE!</v>
      </c>
      <c r="V15" s="379" t="e">
        <f t="shared" si="6"/>
        <v>#VALUE!</v>
      </c>
      <c r="W15" s="380" t="e">
        <f t="shared" si="7"/>
        <v>#VALUE!</v>
      </c>
      <c r="X15" s="379" t="e">
        <f t="shared" si="8"/>
        <v>#VALUE!</v>
      </c>
      <c r="Y15" s="379" t="e">
        <f t="shared" si="9"/>
        <v>#VALUE!</v>
      </c>
      <c r="Z15" s="380" t="e">
        <f t="shared" si="10"/>
        <v>#VALUE!</v>
      </c>
      <c r="AA15" s="2444" t="e">
        <f t="shared" si="11"/>
        <v>#VALUE!</v>
      </c>
    </row>
    <row r="16" spans="2:33" ht="12.75" customHeight="1" x14ac:dyDescent="0.2">
      <c r="B16" s="1797"/>
      <c r="C16" s="1855"/>
      <c r="D16" s="1133"/>
      <c r="E16" s="1133"/>
      <c r="F16" s="1133"/>
      <c r="G16" s="1133"/>
      <c r="H16" s="1873"/>
      <c r="I16" s="1809"/>
      <c r="J16" s="310"/>
    </row>
    <row r="17" spans="2:23" ht="12.75" customHeight="1" x14ac:dyDescent="0.2">
      <c r="B17" s="1797"/>
      <c r="C17" s="1158"/>
      <c r="D17" s="3389" t="s">
        <v>749</v>
      </c>
      <c r="E17" s="3389"/>
      <c r="F17" s="3389"/>
      <c r="G17" s="3390"/>
      <c r="H17" s="45">
        <f>SUM(IT.Amt)</f>
        <v>0</v>
      </c>
      <c r="I17" s="1809"/>
      <c r="J17" s="310"/>
    </row>
    <row r="18" spans="2:23" ht="12.75" customHeight="1" x14ac:dyDescent="0.2">
      <c r="B18" s="1797"/>
      <c r="C18" s="37" t="s">
        <v>7544</v>
      </c>
      <c r="D18" s="3933" t="s">
        <v>1230</v>
      </c>
      <c r="E18" s="3934"/>
      <c r="F18" s="3934"/>
      <c r="G18" s="3934"/>
      <c r="H18" s="3935"/>
      <c r="I18" s="1159"/>
      <c r="J18" s="1103"/>
    </row>
    <row r="19" spans="2:23" ht="15" x14ac:dyDescent="0.25">
      <c r="B19" s="1797"/>
      <c r="C19" s="848"/>
      <c r="D19" s="3384"/>
      <c r="E19" s="3384"/>
      <c r="F19" s="848"/>
      <c r="G19" s="848"/>
      <c r="H19" s="848"/>
      <c r="I19" s="1809"/>
    </row>
    <row r="20" spans="2:23" ht="33" customHeight="1" x14ac:dyDescent="0.2">
      <c r="B20" s="1797"/>
      <c r="C20" s="848"/>
      <c r="D20" s="848"/>
      <c r="E20" s="848"/>
      <c r="F20" s="848"/>
      <c r="G20" s="848"/>
      <c r="H20" s="848"/>
      <c r="I20" s="1809"/>
      <c r="V20" s="148">
        <f>SUMIF(FormulaOfSAT,"=12",IT.Amt)</f>
        <v>0</v>
      </c>
      <c r="W20" s="148">
        <f>SUMIF(FormulaOfSAT,"=24",IT.Amt)</f>
        <v>0</v>
      </c>
    </row>
    <row r="21" spans="2:23" ht="13.5" thickBot="1" x14ac:dyDescent="0.25">
      <c r="B21" s="1824"/>
      <c r="C21" s="1825"/>
      <c r="D21" s="1825"/>
      <c r="E21" s="1825"/>
      <c r="F21" s="1825"/>
      <c r="G21" s="1825"/>
      <c r="H21" s="1825"/>
      <c r="I21" s="1842"/>
      <c r="V21" s="148">
        <f>SUMIF(FormulaOfSAT,"=11",IT.Amt)</f>
        <v>0</v>
      </c>
      <c r="W21" s="148">
        <f>SUMIF(FormulaOfSAT,"=23",IT.Amt)</f>
        <v>0</v>
      </c>
    </row>
    <row r="22" spans="2:23" ht="10.5" customHeight="1" x14ac:dyDescent="0.2">
      <c r="V22" s="148">
        <f>SUMIF(FormulaOfSAT,"=10",IT.Amt)</f>
        <v>0</v>
      </c>
      <c r="W22" s="148">
        <f>SUMIF(FormulaOfSAT,"=22",IT.Amt)</f>
        <v>0</v>
      </c>
    </row>
    <row r="23" spans="2:23" hidden="1" x14ac:dyDescent="0.2">
      <c r="V23" s="148">
        <f>SUMIF(FormulaOfSAT,"=9",IT.Amt)</f>
        <v>0</v>
      </c>
      <c r="W23" s="148">
        <f>SUMIF(FormulaOfSAT,"=21",IT.Amt)</f>
        <v>0</v>
      </c>
    </row>
    <row r="24" spans="2:23" hidden="1" x14ac:dyDescent="0.2">
      <c r="V24" s="148">
        <f>SUMIF(FormulaOfSAT,"=8",IT.Amt)</f>
        <v>0</v>
      </c>
      <c r="W24" s="148">
        <f>SUMIF(FormulaOfSAT,"=20",IT.Amt)</f>
        <v>0</v>
      </c>
    </row>
    <row r="25" spans="2:23" hidden="1" x14ac:dyDescent="0.2">
      <c r="V25" s="148">
        <f>SUMIF(FormulaOfSAT,"=7",IT.Amt)</f>
        <v>0</v>
      </c>
      <c r="W25" s="148">
        <f>SUMIF(FormulaOfSAT,"=19",IT.Amt)</f>
        <v>0</v>
      </c>
    </row>
    <row r="26" spans="2:23" hidden="1" x14ac:dyDescent="0.2">
      <c r="V26" s="148">
        <f>SUMIF(FormulaOfSAT,"=6",IT.Amt)</f>
        <v>0</v>
      </c>
      <c r="W26" s="148">
        <f>SUMIF(FormulaOfSAT,"=18",IT.Amt)</f>
        <v>0</v>
      </c>
    </row>
    <row r="27" spans="2:23" hidden="1" x14ac:dyDescent="0.2">
      <c r="T27" s="144" t="s">
        <v>1701</v>
      </c>
      <c r="U27" s="379">
        <f>SUMIF(FormulaOfQ,"=5",IT.Amt)</f>
        <v>0</v>
      </c>
      <c r="V27" s="148">
        <f>SUMIF(FormulaOfSAT,"=5",IT.Amt)</f>
        <v>0</v>
      </c>
      <c r="W27" s="148">
        <f>SUMIF(FormulaOfSAT,"=17",IT.Amt)</f>
        <v>0</v>
      </c>
    </row>
    <row r="28" spans="2:23" hidden="1" x14ac:dyDescent="0.2">
      <c r="U28" s="379">
        <f>SUMIF(FormulaOfQ,"=4",IT.Amt)</f>
        <v>0</v>
      </c>
      <c r="V28" s="148">
        <f>SUMIF(FormulaOfSAT,"=4",IT.Amt)</f>
        <v>0</v>
      </c>
      <c r="W28" s="148">
        <f>SUMIF(FormulaOfSAT,"=16",IT.Amt)</f>
        <v>0</v>
      </c>
    </row>
    <row r="29" spans="2:23" hidden="1" x14ac:dyDescent="0.2">
      <c r="U29" s="379">
        <f>SUMIF(FormulaOfQ,"=3",IT.Amt)</f>
        <v>0</v>
      </c>
      <c r="V29" s="148">
        <f>SUMIF(FormulaOfSAT,"=3",IT.Amt)</f>
        <v>0</v>
      </c>
      <c r="W29" s="148">
        <f>SUMIF(FormulaOfSAT,"=15",IT.Amt)</f>
        <v>0</v>
      </c>
    </row>
    <row r="30" spans="2:23" hidden="1" x14ac:dyDescent="0.2">
      <c r="U30" s="379">
        <f>SUMIF(FormulaOfQ,"=2",IT.Amt)</f>
        <v>0</v>
      </c>
      <c r="V30" s="148">
        <f>SUMIF(FormulaOfSAT,"=2",IT.Amt)</f>
        <v>0</v>
      </c>
      <c r="W30" s="148">
        <f>SUMIF(FormulaOfSAT,"=14",IT.Amt)</f>
        <v>0</v>
      </c>
    </row>
    <row r="31" spans="2:23" ht="12.75" hidden="1" customHeight="1" x14ac:dyDescent="0.2">
      <c r="Q31" s="382" t="s">
        <v>7546</v>
      </c>
      <c r="R31" s="256">
        <f>SUMIF(IT.FormulaOFS,"&gt;=2",IT.Amt)</f>
        <v>0</v>
      </c>
      <c r="S31" s="382" t="s">
        <v>7547</v>
      </c>
      <c r="T31" s="144">
        <f>SUMIF(IT.FormulaOFS,"&lt;2",IT.Amt)</f>
        <v>0</v>
      </c>
      <c r="U31" s="383">
        <f>SUMIF(FormulaOfQ,"=1",IT.Amt)</f>
        <v>0</v>
      </c>
      <c r="V31" s="148">
        <f>SUMIF(FormulaOfSAT,"=1",IT.Amt)</f>
        <v>0</v>
      </c>
      <c r="W31" s="148">
        <f>SUMIF(FormulaOfSAT,"=13",IT.Amt)</f>
        <v>0</v>
      </c>
    </row>
    <row r="32" spans="2:23" hidden="1" x14ac:dyDescent="0.2">
      <c r="V32" s="384"/>
      <c r="W32" s="384"/>
    </row>
    <row r="33" spans="22:23" hidden="1" x14ac:dyDescent="0.2">
      <c r="V33" s="148"/>
      <c r="W33" s="148"/>
    </row>
    <row r="34" spans="22:23" hidden="1" x14ac:dyDescent="0.2">
      <c r="V34" s="148"/>
      <c r="W34" s="148"/>
    </row>
    <row r="35" spans="22:23" hidden="1" x14ac:dyDescent="0.2">
      <c r="V35" s="148"/>
      <c r="W35" s="148"/>
    </row>
    <row r="36" spans="22:23" hidden="1" x14ac:dyDescent="0.2">
      <c r="V36" s="148"/>
      <c r="W36" s="148"/>
    </row>
    <row r="37" spans="22:23" hidden="1" x14ac:dyDescent="0.2">
      <c r="V37" s="148"/>
      <c r="W37" s="148"/>
    </row>
    <row r="38" spans="22:23" hidden="1" x14ac:dyDescent="0.2">
      <c r="V38" s="148"/>
      <c r="W38" s="148"/>
    </row>
    <row r="39" spans="22:23" hidden="1" x14ac:dyDescent="0.2">
      <c r="V39" s="148"/>
      <c r="W39" s="148"/>
    </row>
    <row r="40" spans="22:23" hidden="1" x14ac:dyDescent="0.2">
      <c r="V40" s="148"/>
      <c r="W40" s="148"/>
    </row>
    <row r="41" spans="22:23" hidden="1" x14ac:dyDescent="0.2">
      <c r="V41" s="148"/>
      <c r="W41" s="148"/>
    </row>
    <row r="42" spans="22:23" hidden="1" x14ac:dyDescent="0.2">
      <c r="V42" s="148"/>
      <c r="W42" s="148"/>
    </row>
  </sheetData>
  <sheetProtection algorithmName="SHA-512" hashValue="zpOKEyGnDos2jPGNCQEL48Ls82Mib3foRgHdjwCIAh3R7+mCZzVdeBmMuwidLPwHVbg7Kc4WoK9hTFKxmNYUIw==" saltValue="JNsCob3L6y1ukLCdoHnM6w==" spinCount="100000" sheet="1" objects="1" scenarios="1"/>
  <mergeCells count="5">
    <mergeCell ref="D3:H3"/>
    <mergeCell ref="D4:H4"/>
    <mergeCell ref="D18:H18"/>
    <mergeCell ref="D17:G17"/>
    <mergeCell ref="D19:E19"/>
  </mergeCells>
  <dataValidations count="5">
    <dataValidation type="textLength" operator="equal" allowBlank="1" showErrorMessage="1" errorTitle="BSRCode" error="Please enter a valid 7 digits BSR Code ._x000a_" sqref="E7:E15">
      <formula1>7</formula1>
    </dataValidation>
    <dataValidation type="textLength" operator="equal" allowBlank="1" showErrorMessage="1" errorTitle="DateDep" error="Date of Deposit  is invalid. Please enter in dd/mm/yyyy format" sqref="F7:F15">
      <formula1>10</formula1>
    </dataValidation>
    <dataValidation type="textLength" operator="equal" allowBlank="1" showErrorMessage="1" errorTitle="SrlNoOfChaln" error="Please enter 5 digit serial number of challan in schedule IT" sqref="G8:G15">
      <formula1>5</formula1>
    </dataValidation>
    <dataValidation type="whole" allowBlank="1" showErrorMessage="1" errorTitle="Amt" error="Amount entered should be  Non negative, no decimal, upto 99,999,999,999,999" sqref="H7:H15">
      <formula1>0</formula1>
      <formula2>99999999999999</formula2>
    </dataValidation>
    <dataValidation type="textLength" operator="greaterThanOrEqual" allowBlank="1" showErrorMessage="1" errorTitle="SrlNoOfChaln" error="Please enter minimum 1digit serial number of challan in schedule IT" sqref="G7">
      <formula1>1</formula1>
    </dataValidation>
  </dataValidations>
  <printOptions horizontalCentered="1"/>
  <pageMargins left="5.5555555555555558E-3" right="5.5555555555555558E-3" top="0.75" bottom="0.75" header="0.3" footer="0.3"/>
  <pageSetup paperSize="9" orientation="landscape" blackAndWhite="1" verticalDpi="4294967295"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37225" r:id="rId5" name="Button 9">
              <controlPr defaultSize="0" print="0" autoFill="0" autoPict="0" macro="[0]!Img_Home_Click">
                <anchor>
                  <from>
                    <xdr:col>9</xdr:col>
                    <xdr:colOff>209550</xdr:colOff>
                    <xdr:row>1</xdr:row>
                    <xdr:rowOff>66675</xdr:rowOff>
                  </from>
                  <to>
                    <xdr:col>9</xdr:col>
                    <xdr:colOff>1581150</xdr:colOff>
                    <xdr:row>2</xdr:row>
                    <xdr:rowOff>180975</xdr:rowOff>
                  </to>
                </anchor>
              </controlPr>
            </control>
          </mc:Choice>
        </mc:AlternateContent>
        <mc:AlternateContent xmlns:mc="http://schemas.openxmlformats.org/markup-compatibility/2006">
          <mc:Choice Requires="x14">
            <control shapeId="137226" r:id="rId6" name="Button 10">
              <controlPr defaultSize="0" print="0" autoFill="0" autoPict="0" macro="[0]!Next_Sheet">
                <anchor>
                  <from>
                    <xdr:col>9</xdr:col>
                    <xdr:colOff>209550</xdr:colOff>
                    <xdr:row>3</xdr:row>
                    <xdr:rowOff>104775</xdr:rowOff>
                  </from>
                  <to>
                    <xdr:col>9</xdr:col>
                    <xdr:colOff>1581150</xdr:colOff>
                    <xdr:row>4</xdr:row>
                    <xdr:rowOff>219075</xdr:rowOff>
                  </to>
                </anchor>
              </controlPr>
            </control>
          </mc:Choice>
        </mc:AlternateContent>
        <mc:AlternateContent xmlns:mc="http://schemas.openxmlformats.org/markup-compatibility/2006">
          <mc:Choice Requires="x14">
            <control shapeId="137227" r:id="rId7" name="Button 11">
              <controlPr defaultSize="0" print="0" autoFill="0" autoPict="0" macro="[0]!Prev_Sheet">
                <anchor>
                  <from>
                    <xdr:col>9</xdr:col>
                    <xdr:colOff>209550</xdr:colOff>
                    <xdr:row>4</xdr:row>
                    <xdr:rowOff>247650</xdr:rowOff>
                  </from>
                  <to>
                    <xdr:col>9</xdr:col>
                    <xdr:colOff>1581150</xdr:colOff>
                    <xdr:row>4</xdr:row>
                    <xdr:rowOff>514350</xdr:rowOff>
                  </to>
                </anchor>
              </controlPr>
            </control>
          </mc:Choice>
        </mc:AlternateContent>
        <mc:AlternateContent xmlns:mc="http://schemas.openxmlformats.org/markup-compatibility/2006">
          <mc:Choice Requires="x14">
            <control shapeId="137228" r:id="rId8" name="Button 12">
              <controlPr defaultSize="0" print="0" autoFill="0" autoPict="0" macro="[0]!Cmd_Validate_IT_Click">
                <anchor>
                  <from>
                    <xdr:col>9</xdr:col>
                    <xdr:colOff>209550</xdr:colOff>
                    <xdr:row>2</xdr:row>
                    <xdr:rowOff>209550</xdr:rowOff>
                  </from>
                  <to>
                    <xdr:col>9</xdr:col>
                    <xdr:colOff>1581150</xdr:colOff>
                    <xdr:row>3</xdr:row>
                    <xdr:rowOff>95250</xdr:rowOff>
                  </to>
                </anchor>
              </controlPr>
            </control>
          </mc:Choice>
        </mc:AlternateContent>
        <mc:AlternateContent xmlns:mc="http://schemas.openxmlformats.org/markup-compatibility/2006">
          <mc:Choice Requires="x14">
            <control shapeId="137229" r:id="rId9" name="Button 13">
              <controlPr defaultSize="0" print="0" autoFill="0" autoPict="0" macro="[0]!WorksheetsPrint">
                <anchor>
                  <from>
                    <xdr:col>9</xdr:col>
                    <xdr:colOff>209550</xdr:colOff>
                    <xdr:row>6</xdr:row>
                    <xdr:rowOff>133350</xdr:rowOff>
                  </from>
                  <to>
                    <xdr:col>9</xdr:col>
                    <xdr:colOff>1581150</xdr:colOff>
                    <xdr:row>8</xdr:row>
                    <xdr:rowOff>95250</xdr:rowOff>
                  </to>
                </anchor>
              </controlPr>
            </control>
          </mc:Choice>
        </mc:AlternateContent>
        <mc:AlternateContent xmlns:mc="http://schemas.openxmlformats.org/markup-compatibility/2006">
          <mc:Choice Requires="x14">
            <control shapeId="137230" r:id="rId10" name="Button 14">
              <controlPr defaultSize="0" print="0" autoFill="0" autoPict="0" macro="[0]!GenerateJSON.GenerateJSON">
                <anchor>
                  <from>
                    <xdr:col>9</xdr:col>
                    <xdr:colOff>209550</xdr:colOff>
                    <xdr:row>5</xdr:row>
                    <xdr:rowOff>0</xdr:rowOff>
                  </from>
                  <to>
                    <xdr:col>9</xdr:col>
                    <xdr:colOff>1581150</xdr:colOff>
                    <xdr:row>6</xdr:row>
                    <xdr:rowOff>114300</xdr:rowOff>
                  </to>
                </anchor>
              </controlPr>
            </control>
          </mc:Choice>
        </mc:AlternateContent>
        <mc:AlternateContent xmlns:mc="http://schemas.openxmlformats.org/markup-compatibility/2006">
          <mc:Choice Requires="x14">
            <control shapeId="137231" r:id="rId11" name="Button 15">
              <controlPr defaultSize="0" print="0" autoFill="0" autoPict="0" macro="[0]!Instruction_Sheet">
                <anchor>
                  <from>
                    <xdr:col>9</xdr:col>
                    <xdr:colOff>209550</xdr:colOff>
                    <xdr:row>8</xdr:row>
                    <xdr:rowOff>104775</xdr:rowOff>
                  </from>
                  <to>
                    <xdr:col>9</xdr:col>
                    <xdr:colOff>1581150</xdr:colOff>
                    <xdr:row>10</xdr:row>
                    <xdr:rowOff>57150</xdr:rowOff>
                  </to>
                </anchor>
              </controlPr>
            </control>
          </mc:Choice>
        </mc:AlternateContent>
        <mc:AlternateContent xmlns:mc="http://schemas.openxmlformats.org/markup-compatibility/2006">
          <mc:Choice Requires="x14">
            <control shapeId="137232" r:id="rId12" name="Button 16">
              <controlPr defaultSize="0" print="0" autoFill="0" autoPict="0" macro="[0]!Cmd_AddRows_IT_Click">
                <anchor moveWithCells="1">
                  <from>
                    <xdr:col>3</xdr:col>
                    <xdr:colOff>38100</xdr:colOff>
                    <xdr:row>18</xdr:row>
                    <xdr:rowOff>66675</xdr:rowOff>
                  </from>
                  <to>
                    <xdr:col>4</xdr:col>
                    <xdr:colOff>666750</xdr:colOff>
                    <xdr:row>19</xdr:row>
                    <xdr:rowOff>180975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XFC74"/>
  <sheetViews>
    <sheetView showGridLines="0" showRowColHeaders="0" zoomScaleNormal="100" workbookViewId="0"/>
  </sheetViews>
  <sheetFormatPr defaultColWidth="0" defaultRowHeight="0" customHeight="1" zeroHeight="1" x14ac:dyDescent="0.25"/>
  <cols>
    <col min="1" max="1" width="3.140625" style="113" customWidth="1"/>
    <col min="2" max="2" width="3.85546875" style="113" customWidth="1"/>
    <col min="3" max="3" width="16.7109375" style="113" customWidth="1"/>
    <col min="4" max="4" width="11.140625" style="113" customWidth="1"/>
    <col min="5" max="5" width="22.42578125" style="113" customWidth="1"/>
    <col min="6" max="6" width="18.7109375" style="113" customWidth="1"/>
    <col min="7" max="7" width="22.42578125" style="113" customWidth="1"/>
    <col min="8" max="8" width="17.5703125" style="113" customWidth="1"/>
    <col min="9" max="9" width="24.28515625" style="113" customWidth="1"/>
    <col min="10" max="11" width="18.7109375" style="113" bestFit="1" customWidth="1"/>
    <col min="12" max="13" width="19.5703125" style="113" customWidth="1"/>
    <col min="14" max="14" width="41" style="113" customWidth="1"/>
    <col min="15" max="15" width="4.140625" style="113" customWidth="1"/>
    <col min="16" max="16" width="13.28515625" style="113" hidden="1"/>
    <col min="17" max="17" width="15.85546875" style="113" hidden="1"/>
    <col min="18" max="18" width="13.28515625" style="113" hidden="1"/>
    <col min="19" max="23" width="9.140625" style="113" hidden="1"/>
    <col min="24" max="16107" width="9.140625" style="2506" hidden="1"/>
    <col min="16108" max="16108" width="6.28515625" style="2506" hidden="1"/>
    <col min="16109" max="16130" width="9.140625" style="2506" hidden="1"/>
    <col min="16131" max="16131" width="6.28515625" style="2506" hidden="1"/>
    <col min="16132" max="16142" width="9.140625" style="2506" hidden="1"/>
    <col min="16143" max="16143" width="6.28515625" style="2506" hidden="1"/>
    <col min="16144" max="16146" width="9.140625" style="2506" hidden="1"/>
    <col min="16147" max="16147" width="6.28515625" style="2506" hidden="1"/>
    <col min="16148" max="16158" width="9.140625" style="2506" hidden="1"/>
    <col min="16159" max="16159" width="6.28515625" style="2506" hidden="1"/>
    <col min="16160" max="16162" width="9.140625" style="2506" hidden="1"/>
    <col min="16163" max="16163" width="6.28515625" style="2506" hidden="1"/>
    <col min="16164" max="16174" width="9.140625" style="2506" hidden="1"/>
    <col min="16175" max="16175" width="6.28515625" style="2506" hidden="1"/>
    <col min="16176" max="16178" width="9.140625" style="2506" hidden="1"/>
    <col min="16179" max="16179" width="6.28515625" style="2506" hidden="1"/>
    <col min="16180" max="16190" width="9.140625" style="2506" hidden="1"/>
    <col min="16191" max="16191" width="6.28515625" style="2506" hidden="1"/>
    <col min="16192" max="16194" width="9.140625" style="2506" hidden="1"/>
    <col min="16195" max="16195" width="6.28515625" style="2506" hidden="1"/>
    <col min="16196" max="16206" width="9.140625" style="2506" hidden="1"/>
    <col min="16207" max="16207" width="6.28515625" style="2506" hidden="1"/>
    <col min="16208" max="16210" width="9.140625" style="2506" hidden="1"/>
    <col min="16211" max="16211" width="6.28515625" style="2506" hidden="1"/>
    <col min="16212" max="16222" width="9.140625" style="2506" hidden="1"/>
    <col min="16223" max="16223" width="6.28515625" style="2506" hidden="1"/>
    <col min="16224" max="16226" width="9.140625" style="2506" hidden="1"/>
    <col min="16227" max="16227" width="6.28515625" style="2506" hidden="1"/>
    <col min="16228" max="16238" width="9.140625" style="2506" hidden="1"/>
    <col min="16239" max="16239" width="6.28515625" style="2506" hidden="1"/>
    <col min="16240" max="16242" width="9.140625" style="2506" hidden="1"/>
    <col min="16243" max="16243" width="6.28515625" style="2506" hidden="1"/>
    <col min="16244" max="16254" width="9.140625" style="2506" hidden="1"/>
    <col min="16255" max="16255" width="6.28515625" style="2506" hidden="1"/>
    <col min="16256" max="16258" width="9.140625" style="2506" hidden="1"/>
    <col min="16259" max="16259" width="6.28515625" style="2506" hidden="1"/>
    <col min="16260" max="16270" width="9.140625" style="2506" hidden="1"/>
    <col min="16271" max="16271" width="6.28515625" style="2506" hidden="1"/>
    <col min="16272" max="16274" width="9.140625" style="2506" hidden="1"/>
    <col min="16275" max="16275" width="6.28515625" style="2506" hidden="1"/>
    <col min="16276" max="16286" width="9.140625" style="2506" hidden="1"/>
    <col min="16287" max="16287" width="6.28515625" style="2506" hidden="1"/>
    <col min="16288" max="16290" width="9.140625" style="2506" hidden="1"/>
    <col min="16291" max="16291" width="6.28515625" style="2506" hidden="1"/>
    <col min="16292" max="16302" width="9.140625" style="2506" hidden="1"/>
    <col min="16303" max="16303" width="6.28515625" style="2506" hidden="1"/>
    <col min="16304" max="16306" width="9.140625" style="2506" hidden="1"/>
    <col min="16307" max="16307" width="6.28515625" style="2506" hidden="1"/>
    <col min="16308" max="16318" width="9.140625" style="2506" hidden="1"/>
    <col min="16319" max="16319" width="6.28515625" style="2506" hidden="1"/>
    <col min="16320" max="16322" width="9.140625" style="2506" hidden="1"/>
    <col min="16323" max="16323" width="6.28515625" style="2506" hidden="1"/>
    <col min="16324" max="16335" width="9.140625" style="2506" hidden="1"/>
    <col min="16336" max="16336" width="6.28515625" style="2506" hidden="1"/>
    <col min="16337" max="16348" width="9.140625" style="2506" hidden="1"/>
    <col min="16349" max="16349" width="6.28515625" style="2506" hidden="1"/>
    <col min="16350" max="16361" width="9.140625" style="2506" hidden="1"/>
    <col min="16362" max="16362" width="6.28515625" style="2506" hidden="1"/>
    <col min="16363" max="16374" width="9.140625" style="2506" hidden="1"/>
    <col min="16375" max="16375" width="6.28515625" style="2506" hidden="1"/>
    <col min="16376" max="16383" width="9.140625" style="2506" hidden="1"/>
    <col min="16384" max="16384" width="10.140625" style="2506" hidden="1"/>
  </cols>
  <sheetData>
    <row r="1" spans="1:23" ht="9" customHeight="1" thickBot="1" x14ac:dyDescent="0.3">
      <c r="A1" s="310"/>
      <c r="B1" s="310"/>
      <c r="C1" s="310"/>
      <c r="D1" s="310"/>
      <c r="E1" s="310"/>
      <c r="F1" s="310"/>
      <c r="G1" s="310"/>
      <c r="H1" s="310"/>
      <c r="I1" s="310"/>
      <c r="J1" s="310"/>
      <c r="K1" s="310"/>
      <c r="L1" s="310"/>
      <c r="M1" s="310"/>
      <c r="N1" s="310"/>
      <c r="O1" s="310"/>
      <c r="P1" s="310"/>
      <c r="Q1" s="310"/>
      <c r="R1" s="310"/>
      <c r="S1" s="310"/>
    </row>
    <row r="2" spans="1:23" ht="23.25" customHeight="1" x14ac:dyDescent="0.25">
      <c r="A2" s="310"/>
      <c r="B2" s="1794"/>
      <c r="C2" s="1795"/>
      <c r="D2" s="1795"/>
      <c r="E2" s="1795"/>
      <c r="F2" s="1795"/>
      <c r="G2" s="1795"/>
      <c r="H2" s="1795"/>
      <c r="I2" s="1795"/>
      <c r="J2" s="1795"/>
      <c r="K2" s="1795"/>
      <c r="L2" s="1795"/>
      <c r="M2" s="1795"/>
      <c r="N2" s="1843"/>
      <c r="O2" s="1133"/>
      <c r="P2" s="1133"/>
      <c r="Q2" s="1133"/>
      <c r="R2" s="1133"/>
      <c r="S2" s="1133"/>
    </row>
    <row r="3" spans="1:23" ht="37.5" customHeight="1" x14ac:dyDescent="0.25">
      <c r="A3" s="310"/>
      <c r="B3" s="1797"/>
      <c r="C3" s="2508" t="s">
        <v>13225</v>
      </c>
      <c r="D3" s="2993" t="s">
        <v>13150</v>
      </c>
      <c r="E3" s="2994"/>
      <c r="F3" s="2994"/>
      <c r="G3" s="2994"/>
      <c r="H3" s="2994"/>
      <c r="I3" s="2994"/>
      <c r="J3" s="2994"/>
      <c r="K3" s="2994"/>
      <c r="L3" s="2994"/>
      <c r="M3" s="2995"/>
      <c r="N3" s="1836"/>
      <c r="O3" s="1133"/>
      <c r="P3" s="1133"/>
      <c r="Q3" s="1133"/>
      <c r="R3" s="1133"/>
      <c r="S3" s="1133"/>
    </row>
    <row r="4" spans="1:23" ht="127.5" x14ac:dyDescent="0.25">
      <c r="A4" s="310"/>
      <c r="B4" s="1797"/>
      <c r="C4" s="68"/>
      <c r="D4" s="2528" t="s">
        <v>11921</v>
      </c>
      <c r="E4" s="2530" t="s">
        <v>13143</v>
      </c>
      <c r="F4" s="2530" t="s">
        <v>13144</v>
      </c>
      <c r="G4" s="2570" t="s">
        <v>13145</v>
      </c>
      <c r="H4" s="2572" t="s">
        <v>13227</v>
      </c>
      <c r="I4" s="3936" t="s">
        <v>13146</v>
      </c>
      <c r="J4" s="3938" t="s">
        <v>13221</v>
      </c>
      <c r="K4" s="2531" t="s">
        <v>13147</v>
      </c>
      <c r="L4" s="2531" t="s">
        <v>13148</v>
      </c>
      <c r="M4" s="2531" t="s">
        <v>13149</v>
      </c>
      <c r="N4" s="1836"/>
      <c r="O4" s="1133"/>
      <c r="P4" s="1133"/>
      <c r="Q4" s="1133"/>
      <c r="R4" s="1133"/>
      <c r="S4" s="1133"/>
      <c r="T4" s="1133"/>
      <c r="U4" s="1133"/>
      <c r="W4" s="2506"/>
    </row>
    <row r="5" spans="1:23" ht="15" x14ac:dyDescent="0.25">
      <c r="A5" s="310"/>
      <c r="B5" s="1797"/>
      <c r="C5" s="207"/>
      <c r="D5" s="399" t="s">
        <v>1279</v>
      </c>
      <c r="E5" s="399" t="s">
        <v>6979</v>
      </c>
      <c r="F5" s="400" t="s">
        <v>1280</v>
      </c>
      <c r="G5" s="2571" t="s">
        <v>13226</v>
      </c>
      <c r="H5" s="2571" t="s">
        <v>13228</v>
      </c>
      <c r="I5" s="3937"/>
      <c r="J5" s="3939"/>
      <c r="K5" s="401" t="s">
        <v>1281</v>
      </c>
      <c r="L5" s="400" t="s">
        <v>1282</v>
      </c>
      <c r="M5" s="400" t="s">
        <v>1283</v>
      </c>
      <c r="N5" s="1836"/>
      <c r="O5" s="1133"/>
      <c r="P5" s="1133"/>
      <c r="Q5" s="1133"/>
      <c r="R5" s="1133"/>
      <c r="S5" s="1133"/>
      <c r="T5" s="1133"/>
      <c r="U5" s="1133"/>
      <c r="W5" s="2506"/>
    </row>
    <row r="6" spans="1:23" ht="15" x14ac:dyDescent="0.25">
      <c r="A6" s="310"/>
      <c r="B6" s="1797"/>
      <c r="C6" s="207"/>
      <c r="D6" s="402">
        <v>1</v>
      </c>
      <c r="E6" s="2584" t="s">
        <v>12790</v>
      </c>
      <c r="F6" s="2633"/>
      <c r="G6" s="2647"/>
      <c r="H6" s="1562">
        <f>SUM(ESOP.AttributedTax)</f>
        <v>0</v>
      </c>
      <c r="I6" s="2603"/>
      <c r="J6" s="2604"/>
      <c r="K6" s="2532"/>
      <c r="L6" s="1562">
        <f>IF(ESOP.SecType="Not sold",0,IF(ESOP.SecType="Fully",ESOP.TaxPrevAY,MAX(0,ESOP.TaxPrevAY)))</f>
        <v>0</v>
      </c>
      <c r="M6" s="1562">
        <f>MAX(0,F6-L6)</f>
        <v>0</v>
      </c>
      <c r="N6" s="1836"/>
      <c r="O6" s="1133"/>
      <c r="P6" s="1133"/>
      <c r="Q6" s="1133"/>
      <c r="R6" s="1133"/>
      <c r="S6" s="1133"/>
      <c r="T6" s="1133"/>
      <c r="U6" s="1133"/>
      <c r="W6" s="2506"/>
    </row>
    <row r="7" spans="1:23" ht="15" x14ac:dyDescent="0.25">
      <c r="A7" s="310"/>
      <c r="B7" s="1797"/>
      <c r="C7" s="208"/>
      <c r="D7" s="402">
        <f>D6+1</f>
        <v>2</v>
      </c>
      <c r="E7" s="2584" t="s">
        <v>13029</v>
      </c>
      <c r="F7" s="2532"/>
      <c r="G7" s="2532"/>
      <c r="H7" s="2532"/>
      <c r="I7" s="2532"/>
      <c r="J7" s="2532"/>
      <c r="K7" s="2532"/>
      <c r="L7" s="2532"/>
      <c r="M7" s="1562">
        <f>sheet9.GrossTaxPayable_3b</f>
        <v>0</v>
      </c>
      <c r="N7" s="1836"/>
      <c r="O7" s="1133"/>
      <c r="P7" s="1133"/>
      <c r="Q7" s="1133"/>
      <c r="R7" s="1133"/>
      <c r="S7" s="1133"/>
      <c r="T7" s="1133"/>
      <c r="U7" s="1133"/>
      <c r="W7" s="2506"/>
    </row>
    <row r="8" spans="1:23" ht="12.75" customHeight="1" x14ac:dyDescent="0.25">
      <c r="A8" s="310"/>
      <c r="B8" s="1797"/>
      <c r="C8" s="392"/>
      <c r="D8" s="1133"/>
      <c r="E8" s="1133"/>
      <c r="F8" s="1133"/>
      <c r="G8" s="1133"/>
      <c r="H8" s="1133"/>
      <c r="I8" s="1133"/>
      <c r="J8" s="1133"/>
      <c r="K8" s="1133"/>
      <c r="L8" s="1133"/>
      <c r="M8" s="1133"/>
      <c r="N8" s="1836"/>
      <c r="O8" s="1133"/>
      <c r="P8" s="1133"/>
      <c r="Q8" s="1133"/>
      <c r="R8" s="1133"/>
      <c r="S8" s="1133"/>
    </row>
    <row r="9" spans="1:23" s="2529" customFormat="1" ht="12.75" customHeight="1" x14ac:dyDescent="0.25">
      <c r="A9" s="310"/>
      <c r="B9" s="1797"/>
      <c r="C9" s="392"/>
      <c r="D9" s="1133"/>
      <c r="E9" s="1133"/>
      <c r="F9" s="1133"/>
      <c r="G9" s="1133"/>
      <c r="H9" s="1133"/>
      <c r="I9" s="1133"/>
      <c r="J9" s="1133"/>
      <c r="K9" s="1133"/>
      <c r="L9" s="1133"/>
      <c r="M9" s="1133"/>
      <c r="N9" s="1836"/>
      <c r="O9" s="1133"/>
      <c r="P9" s="1133"/>
      <c r="Q9" s="1133"/>
      <c r="R9" s="1133"/>
      <c r="S9" s="1133"/>
      <c r="T9" s="113"/>
      <c r="U9" s="113"/>
      <c r="V9" s="113"/>
      <c r="W9" s="113"/>
    </row>
    <row r="10" spans="1:23" s="2529" customFormat="1" ht="12.75" customHeight="1" x14ac:dyDescent="0.25">
      <c r="A10" s="310"/>
      <c r="B10" s="1797"/>
      <c r="C10" s="392"/>
      <c r="D10" s="1133"/>
      <c r="E10" s="1133"/>
      <c r="F10" s="1133"/>
      <c r="G10" s="1133"/>
      <c r="H10" s="1133"/>
      <c r="I10" s="1133"/>
      <c r="J10" s="1133"/>
      <c r="K10" s="1133"/>
      <c r="L10" s="1133"/>
      <c r="M10" s="1133"/>
      <c r="N10" s="1836"/>
      <c r="O10" s="1133"/>
      <c r="P10" s="1133"/>
      <c r="Q10" s="1133"/>
      <c r="R10" s="1133"/>
      <c r="S10" s="1133"/>
      <c r="T10" s="113"/>
      <c r="U10" s="113"/>
      <c r="V10" s="113"/>
      <c r="W10" s="113"/>
    </row>
    <row r="11" spans="1:23" s="2529" customFormat="1" ht="62.25" customHeight="1" x14ac:dyDescent="0.25">
      <c r="A11" s="310"/>
      <c r="B11" s="1797"/>
      <c r="C11" s="392"/>
      <c r="D11" s="3023" t="s">
        <v>11921</v>
      </c>
      <c r="E11" s="3263" t="s">
        <v>13229</v>
      </c>
      <c r="F11" s="3323"/>
      <c r="G11" s="3264"/>
      <c r="H11" s="1133"/>
      <c r="I11" s="1133"/>
      <c r="J11" s="1133"/>
      <c r="K11" s="1133"/>
      <c r="L11" s="1133"/>
      <c r="M11" s="1133"/>
      <c r="N11" s="1836"/>
      <c r="O11" s="1133"/>
      <c r="P11" s="1133"/>
      <c r="Q11" s="1133"/>
      <c r="R11" s="1133"/>
      <c r="S11" s="1133"/>
      <c r="T11" s="113"/>
      <c r="U11" s="113"/>
      <c r="V11" s="113"/>
      <c r="W11" s="113"/>
    </row>
    <row r="12" spans="1:23" s="2529" customFormat="1" ht="51.75" customHeight="1" x14ac:dyDescent="0.25">
      <c r="A12" s="310"/>
      <c r="B12" s="1797"/>
      <c r="C12" s="392"/>
      <c r="D12" s="3025"/>
      <c r="E12" s="2571" t="s">
        <v>13230</v>
      </c>
      <c r="F12" s="401" t="s">
        <v>13231</v>
      </c>
      <c r="G12" s="401" t="s">
        <v>13232</v>
      </c>
      <c r="H12" s="1133"/>
      <c r="I12" s="1133"/>
      <c r="J12" s="1133"/>
      <c r="K12" s="1133"/>
      <c r="L12" s="1133"/>
      <c r="M12" s="1133"/>
      <c r="N12" s="1836"/>
      <c r="O12" s="1133"/>
      <c r="P12" s="1133"/>
      <c r="Q12" s="1133"/>
      <c r="R12" s="1133"/>
      <c r="S12" s="113"/>
      <c r="T12" s="113"/>
      <c r="U12" s="113"/>
      <c r="V12" s="113"/>
    </row>
    <row r="13" spans="1:23" s="2529" customFormat="1" ht="12.75" customHeight="1" x14ac:dyDescent="0.25">
      <c r="A13" s="310"/>
      <c r="B13" s="1797"/>
      <c r="C13" s="392"/>
      <c r="D13" s="1307">
        <v>1</v>
      </c>
      <c r="E13" s="2647"/>
      <c r="F13" s="2604" t="s">
        <v>23</v>
      </c>
      <c r="G13" s="2633"/>
      <c r="H13" s="1133"/>
      <c r="I13" s="1133"/>
      <c r="J13" s="1133"/>
      <c r="K13" s="1133"/>
      <c r="L13" s="1133"/>
      <c r="M13" s="1133"/>
      <c r="N13" s="1836"/>
      <c r="O13" s="1133"/>
      <c r="P13" s="1133"/>
      <c r="Q13" s="1133"/>
      <c r="R13" s="1133"/>
      <c r="S13" s="113"/>
      <c r="T13" s="113"/>
      <c r="U13" s="113"/>
      <c r="V13" s="113"/>
    </row>
    <row r="14" spans="1:23" s="2529" customFormat="1" ht="12.75" customHeight="1" x14ac:dyDescent="0.25">
      <c r="A14" s="310"/>
      <c r="B14" s="1797"/>
      <c r="C14" s="392"/>
      <c r="D14" s="1307">
        <f>D13+1</f>
        <v>2</v>
      </c>
      <c r="E14" s="2647"/>
      <c r="F14" s="2604" t="s">
        <v>23</v>
      </c>
      <c r="G14" s="2633"/>
      <c r="H14" s="1133"/>
      <c r="I14" s="1133"/>
      <c r="J14" s="1133"/>
      <c r="K14" s="1133"/>
      <c r="L14" s="1133"/>
      <c r="M14" s="1133"/>
      <c r="N14" s="1836"/>
      <c r="O14" s="1133"/>
      <c r="P14" s="1133"/>
      <c r="Q14" s="1133"/>
      <c r="R14" s="1133"/>
      <c r="S14" s="113"/>
      <c r="T14" s="113"/>
      <c r="U14" s="113"/>
      <c r="V14" s="113"/>
    </row>
    <row r="15" spans="1:23" s="2529" customFormat="1" ht="12.75" customHeight="1" x14ac:dyDescent="0.25">
      <c r="A15" s="310"/>
      <c r="B15" s="1797"/>
      <c r="C15" s="392"/>
      <c r="D15" s="1133"/>
      <c r="E15" s="1133"/>
      <c r="F15" s="1133"/>
      <c r="G15" s="1133"/>
      <c r="H15" s="1133"/>
      <c r="I15" s="1133"/>
      <c r="J15" s="1133"/>
      <c r="K15" s="1133"/>
      <c r="L15" s="1133"/>
      <c r="M15" s="1133"/>
      <c r="N15" s="1836"/>
      <c r="O15" s="1133"/>
      <c r="P15" s="1133"/>
      <c r="Q15" s="1133"/>
      <c r="R15" s="1133"/>
      <c r="S15" s="1133"/>
      <c r="T15" s="113"/>
      <c r="U15" s="113"/>
      <c r="V15" s="113"/>
      <c r="W15" s="113"/>
    </row>
    <row r="16" spans="1:23" s="2529" customFormat="1" ht="12.75" customHeight="1" x14ac:dyDescent="0.25">
      <c r="A16" s="310"/>
      <c r="B16" s="1797"/>
      <c r="C16" s="392"/>
      <c r="D16" s="1133"/>
      <c r="E16" s="1133"/>
      <c r="F16" s="1133"/>
      <c r="G16" s="1133"/>
      <c r="H16" s="1133"/>
      <c r="I16" s="1133"/>
      <c r="J16" s="1133"/>
      <c r="K16" s="1133"/>
      <c r="L16" s="1133"/>
      <c r="M16" s="1133"/>
      <c r="N16" s="1836"/>
      <c r="O16" s="1133"/>
      <c r="P16" s="1133"/>
      <c r="Q16" s="1133"/>
      <c r="R16" s="1133"/>
      <c r="S16" s="1133"/>
      <c r="T16" s="113"/>
      <c r="U16" s="113"/>
      <c r="V16" s="113"/>
      <c r="W16" s="113"/>
    </row>
    <row r="17" spans="1:23" s="2529" customFormat="1" ht="12.75" customHeight="1" x14ac:dyDescent="0.25">
      <c r="A17" s="310"/>
      <c r="B17" s="1797"/>
      <c r="C17" s="392"/>
      <c r="D17" s="1133"/>
      <c r="E17" s="1133"/>
      <c r="F17" s="1133"/>
      <c r="G17" s="1133"/>
      <c r="H17" s="1133"/>
      <c r="I17" s="1133"/>
      <c r="J17" s="1133"/>
      <c r="K17" s="1133"/>
      <c r="L17" s="1133"/>
      <c r="M17" s="1133"/>
      <c r="N17" s="1836"/>
      <c r="O17" s="1133"/>
      <c r="P17" s="1133"/>
      <c r="Q17" s="1133"/>
      <c r="R17" s="1133"/>
      <c r="S17" s="1133"/>
      <c r="T17" s="113"/>
      <c r="U17" s="113"/>
      <c r="V17" s="113"/>
      <c r="W17" s="113"/>
    </row>
    <row r="18" spans="1:23" s="2529" customFormat="1" ht="12.75" customHeight="1" x14ac:dyDescent="0.25">
      <c r="A18" s="310"/>
      <c r="B18" s="1797"/>
      <c r="C18" s="392"/>
      <c r="D18" s="1133"/>
      <c r="E18" s="1133"/>
      <c r="F18" s="1133"/>
      <c r="G18" s="1133"/>
      <c r="H18" s="1133"/>
      <c r="I18" s="1133"/>
      <c r="J18" s="1133"/>
      <c r="K18" s="1133"/>
      <c r="L18" s="1133"/>
      <c r="M18" s="1133"/>
      <c r="N18" s="1836"/>
      <c r="O18" s="1133"/>
      <c r="P18" s="1133"/>
      <c r="Q18" s="1133"/>
      <c r="R18" s="1133"/>
      <c r="S18" s="1133"/>
      <c r="T18" s="113"/>
      <c r="U18" s="113"/>
      <c r="V18" s="113"/>
      <c r="W18" s="113"/>
    </row>
    <row r="19" spans="1:23" s="2529" customFormat="1" ht="12.75" customHeight="1" x14ac:dyDescent="0.25">
      <c r="A19" s="310"/>
      <c r="B19" s="1797"/>
      <c r="C19" s="392"/>
      <c r="D19" s="1133" t="s">
        <v>13222</v>
      </c>
      <c r="E19" s="1133"/>
      <c r="F19" s="1133"/>
      <c r="G19" s="1133"/>
      <c r="H19" s="1133"/>
      <c r="I19" s="1133"/>
      <c r="J19" s="1133"/>
      <c r="K19" s="1133"/>
      <c r="L19" s="1133"/>
      <c r="M19" s="1133"/>
      <c r="N19" s="1836"/>
      <c r="O19" s="1133"/>
      <c r="P19" s="1133"/>
      <c r="Q19" s="1133"/>
      <c r="R19" s="1133"/>
      <c r="S19" s="1133"/>
      <c r="T19" s="113"/>
      <c r="U19" s="113"/>
      <c r="V19" s="113"/>
      <c r="W19" s="113"/>
    </row>
    <row r="20" spans="1:23" ht="17.25" customHeight="1" x14ac:dyDescent="0.25">
      <c r="A20" s="310"/>
      <c r="B20" s="1797"/>
      <c r="C20" s="1133"/>
      <c r="D20" s="3309"/>
      <c r="E20" s="3309"/>
      <c r="F20" s="1133"/>
      <c r="G20" s="1133"/>
      <c r="H20" s="1133"/>
      <c r="I20" s="1133"/>
      <c r="J20" s="1133"/>
      <c r="K20" s="1133"/>
      <c r="L20" s="1133"/>
      <c r="M20" s="1133"/>
      <c r="N20" s="1836"/>
      <c r="O20" s="1133"/>
      <c r="P20" s="1133"/>
      <c r="Q20" s="1133"/>
      <c r="R20" s="1133"/>
      <c r="S20" s="1133"/>
    </row>
    <row r="21" spans="1:23" s="310" customFormat="1" ht="15" customHeight="1" thickBot="1" x14ac:dyDescent="0.25">
      <c r="B21" s="1824"/>
      <c r="C21" s="1841"/>
      <c r="D21" s="1909"/>
      <c r="E21" s="1909"/>
      <c r="F21" s="1909"/>
      <c r="G21" s="1909"/>
      <c r="H21" s="1909"/>
      <c r="I21" s="1909"/>
      <c r="J21" s="1909"/>
      <c r="K21" s="1909"/>
      <c r="L21" s="1909"/>
      <c r="M21" s="1909"/>
      <c r="N21" s="1845"/>
      <c r="O21" s="1133"/>
      <c r="P21" s="1133"/>
      <c r="Q21" s="1133"/>
      <c r="R21" s="1133"/>
      <c r="S21" s="1133"/>
    </row>
    <row r="22" spans="1:23" ht="15" hidden="1" x14ac:dyDescent="0.25">
      <c r="A22" s="310"/>
      <c r="B22" s="848"/>
      <c r="C22" s="1133"/>
      <c r="D22" s="1133"/>
      <c r="E22" s="1133"/>
      <c r="F22" s="1133"/>
      <c r="G22" s="1133"/>
      <c r="H22" s="1133"/>
      <c r="I22" s="1133"/>
      <c r="J22" s="1133"/>
      <c r="K22" s="1133"/>
      <c r="L22" s="1133"/>
      <c r="M22" s="1133"/>
      <c r="N22" s="1133"/>
      <c r="O22" s="1133"/>
      <c r="P22" s="1133"/>
      <c r="Q22" s="1133"/>
      <c r="R22" s="310"/>
      <c r="S22" s="310"/>
    </row>
    <row r="23" spans="1:23" s="113" customFormat="1" ht="12.75" hidden="1" x14ac:dyDescent="0.2">
      <c r="A23" s="310"/>
      <c r="B23" s="310"/>
      <c r="C23" s="354"/>
      <c r="D23" s="354"/>
      <c r="E23" s="354"/>
      <c r="F23" s="354"/>
      <c r="G23" s="354"/>
      <c r="H23" s="354"/>
      <c r="I23" s="354"/>
      <c r="J23" s="354"/>
      <c r="K23" s="354"/>
      <c r="L23" s="354"/>
      <c r="M23" s="354"/>
      <c r="N23" s="354"/>
      <c r="O23" s="354"/>
      <c r="P23" s="354"/>
      <c r="Q23" s="354"/>
    </row>
    <row r="24" spans="1:23" s="113" customFormat="1" ht="12.75" hidden="1" x14ac:dyDescent="0.2">
      <c r="A24" s="310"/>
    </row>
    <row r="25" spans="1:23" s="113" customFormat="1" ht="12.75" hidden="1" x14ac:dyDescent="0.2">
      <c r="A25" s="310"/>
    </row>
    <row r="26" spans="1:23" s="113" customFormat="1" ht="12.75" hidden="1" x14ac:dyDescent="0.2">
      <c r="A26" s="310"/>
    </row>
    <row r="27" spans="1:23" s="113" customFormat="1" ht="12.75" hidden="1" x14ac:dyDescent="0.2">
      <c r="A27" s="310"/>
    </row>
    <row r="28" spans="1:23" s="113" customFormat="1" ht="12.75" hidden="1" x14ac:dyDescent="0.2">
      <c r="A28" s="310"/>
    </row>
    <row r="29" spans="1:23" s="113" customFormat="1" ht="12.75" hidden="1" x14ac:dyDescent="0.2">
      <c r="A29" s="310"/>
    </row>
    <row r="30" spans="1:23" s="113" customFormat="1" ht="12.75" hidden="1" x14ac:dyDescent="0.2">
      <c r="A30" s="310"/>
    </row>
    <row r="31" spans="1:23" ht="15" hidden="1" customHeight="1" x14ac:dyDescent="0.25"/>
    <row r="32" spans="1:2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sheetData>
  <sheetProtection algorithmName="SHA-512" hashValue="9Aq6LWKyi78VTjMOU5yn5/RDtAoDoPwEtUKKwGU88uaNOPG7umEq5SkMQZGU4Lwne7an3GCxTUT+ilfnGvOZ/g==" saltValue="SvqZwW8DpgILMdLq9udLRg==" spinCount="100000" sheet="1" objects="1" scenarios="1"/>
  <mergeCells count="6">
    <mergeCell ref="D3:M3"/>
    <mergeCell ref="E11:G11"/>
    <mergeCell ref="I4:I5"/>
    <mergeCell ref="J4:J5"/>
    <mergeCell ref="D20:E20"/>
    <mergeCell ref="D11:D12"/>
  </mergeCells>
  <dataValidations count="11">
    <dataValidation type="whole" allowBlank="1" showErrorMessage="1" error="Non negative, no decimal, upto 99,999,999,999,999" sqref="L6 G13:G14 F6 H6 H10:H14 N15:S21 N12:R14 N8:N11 I8:M19">
      <formula1>0</formula1>
      <formula2>99999999999999</formula2>
    </dataValidation>
    <dataValidation type="whole" allowBlank="1" showErrorMessage="1" errorTitle="Deducted Year" error="Do not enter future years.Enter 2014 when TDS made during the financial year 2014-15" sqref="G15:H19 H8:H9 G8:G10">
      <formula1>1000</formula1>
      <formula2>2014</formula2>
    </dataValidation>
    <dataValidation type="textLength" operator="lessThanOrEqual" allowBlank="1" showErrorMessage="1" errorTitle="EmployerOrDeductorOrCollecterNam" error="EmployerOrDeductorOrCollecterNam  should not exceed 125 characters " sqref="F15:F19 F8:F10">
      <formula1>125</formula1>
    </dataValidation>
    <dataValidation type="textLength" operator="equal" allowBlank="1" showErrorMessage="1" errorTitle="TAN" error="TAN  is invalid. First 4 alphabets, next 5 digits, then alphabet" sqref="E15:E19 E8:E10">
      <formula1>10</formula1>
    </dataValidation>
    <dataValidation type="textLength" operator="equal" allowBlank="1" showErrorMessage="1" sqref="E6:E7">
      <formula1>7</formula1>
    </dataValidation>
    <dataValidation type="list" allowBlank="1" showErrorMessage="1" sqref="I6">
      <formula1>"(Select),Yes,No"</formula1>
    </dataValidation>
    <dataValidation type="textLength" operator="equal" allowBlank="1" showErrorMessage="1" error="invalid Date. Please enter in dd/mm/yyyy format" sqref="F13:F14 J6">
      <formula1>10</formula1>
    </dataValidation>
    <dataValidation type="list" allowBlank="1" showErrorMessage="1" errorTitle="Deducted Year" error="Please Select from the list" sqref="E13:E14">
      <formula1>"2021-22"</formula1>
    </dataValidation>
    <dataValidation type="list" allowBlank="1" showErrorMessage="1" errorTitle="Deducted Year" error="Please Select from the list" sqref="G6">
      <formula1>"(Select),Fully,Partly,Not sold"</formula1>
    </dataValidation>
    <dataValidation type="whole" allowBlank="1" showErrorMessage="1" errorTitle="ClaimOutOfTotTDSOnAmtPaid" error="ClaimOutOfTotTDSOnAmtPaid  Non negative, no decimal, upto 99,999,999,999,999_x000a__x000a_(5) cannot be greater than (4)" sqref="M6:M7 O8:S11">
      <formula1>0</formula1>
      <formula2>99999999999999</formula2>
    </dataValidation>
    <dataValidation type="whole" allowBlank="1" showInputMessage="1" showErrorMessage="1" errorTitle="Gross Amount" error="Gross Amount should be Numeric,Non negative, no decimal, upto 99,999,999,999,999" sqref="K6 F7:L7">
      <formula1>0</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Button 1">
              <controlPr defaultSize="0" print="0" autoFill="0" autoPict="0" macro="[0]!Cmd_Validate_ESOP_Click">
                <anchor>
                  <from>
                    <xdr:col>13</xdr:col>
                    <xdr:colOff>476250</xdr:colOff>
                    <xdr:row>3</xdr:row>
                    <xdr:rowOff>476250</xdr:rowOff>
                  </from>
                  <to>
                    <xdr:col>13</xdr:col>
                    <xdr:colOff>1847850</xdr:colOff>
                    <xdr:row>3</xdr:row>
                    <xdr:rowOff>742950</xdr:rowOff>
                  </to>
                </anchor>
              </controlPr>
            </control>
          </mc:Choice>
        </mc:AlternateContent>
        <mc:AlternateContent xmlns:mc="http://schemas.openxmlformats.org/markup-compatibility/2006">
          <mc:Choice Requires="x14">
            <control shapeId="339974" r:id="rId5" name="Button 6">
              <controlPr defaultSize="0" print="0" autoFill="0" autoPict="0" macro="[0]!Prev_Sheet">
                <anchor>
                  <from>
                    <xdr:col>13</xdr:col>
                    <xdr:colOff>476250</xdr:colOff>
                    <xdr:row>2</xdr:row>
                    <xdr:rowOff>400050</xdr:rowOff>
                  </from>
                  <to>
                    <xdr:col>13</xdr:col>
                    <xdr:colOff>1866900</xdr:colOff>
                    <xdr:row>3</xdr:row>
                    <xdr:rowOff>171450</xdr:rowOff>
                  </to>
                </anchor>
              </controlPr>
            </control>
          </mc:Choice>
        </mc:AlternateContent>
        <mc:AlternateContent xmlns:mc="http://schemas.openxmlformats.org/markup-compatibility/2006">
          <mc:Choice Requires="x14">
            <control shapeId="339975" r:id="rId6" name="Button 7">
              <controlPr defaultSize="0" print="0" autoFill="0" autoPict="0" macro="[0]!Img_Home_Click">
                <anchor>
                  <from>
                    <xdr:col>13</xdr:col>
                    <xdr:colOff>476250</xdr:colOff>
                    <xdr:row>2</xdr:row>
                    <xdr:rowOff>95250</xdr:rowOff>
                  </from>
                  <to>
                    <xdr:col>13</xdr:col>
                    <xdr:colOff>1847850</xdr:colOff>
                    <xdr:row>2</xdr:row>
                    <xdr:rowOff>361950</xdr:rowOff>
                  </to>
                </anchor>
              </controlPr>
            </control>
          </mc:Choice>
        </mc:AlternateContent>
        <mc:AlternateContent xmlns:mc="http://schemas.openxmlformats.org/markup-compatibility/2006">
          <mc:Choice Requires="x14">
            <control shapeId="339976" r:id="rId7" name="Button 8">
              <controlPr defaultSize="0" print="0" autoFill="0" autoPict="0" macro="[0]!Instruction_Sheet">
                <anchor>
                  <from>
                    <xdr:col>13</xdr:col>
                    <xdr:colOff>485775</xdr:colOff>
                    <xdr:row>3</xdr:row>
                    <xdr:rowOff>1428750</xdr:rowOff>
                  </from>
                  <to>
                    <xdr:col>13</xdr:col>
                    <xdr:colOff>1885950</xdr:colOff>
                    <xdr:row>4</xdr:row>
                    <xdr:rowOff>95250</xdr:rowOff>
                  </to>
                </anchor>
              </controlPr>
            </control>
          </mc:Choice>
        </mc:AlternateContent>
        <mc:AlternateContent xmlns:mc="http://schemas.openxmlformats.org/markup-compatibility/2006">
          <mc:Choice Requires="x14">
            <control shapeId="339977" r:id="rId8" name="Button 9">
              <controlPr defaultSize="0" print="0" autoFill="0" autoPict="0" macro="[0]!WorksheetsPrint">
                <anchor>
                  <from>
                    <xdr:col>13</xdr:col>
                    <xdr:colOff>485775</xdr:colOff>
                    <xdr:row>3</xdr:row>
                    <xdr:rowOff>1085850</xdr:rowOff>
                  </from>
                  <to>
                    <xdr:col>13</xdr:col>
                    <xdr:colOff>1885950</xdr:colOff>
                    <xdr:row>3</xdr:row>
                    <xdr:rowOff>1362075</xdr:rowOff>
                  </to>
                </anchor>
              </controlPr>
            </control>
          </mc:Choice>
        </mc:AlternateContent>
        <mc:AlternateContent xmlns:mc="http://schemas.openxmlformats.org/markup-compatibility/2006">
          <mc:Choice Requires="x14">
            <control shapeId="339978" r:id="rId9" name="Button 10">
              <controlPr defaultSize="0" print="0" autoFill="0" autoPict="0" macro="[0]!GenerateJSON.GenerateJSON">
                <anchor>
                  <from>
                    <xdr:col>13</xdr:col>
                    <xdr:colOff>476250</xdr:colOff>
                    <xdr:row>3</xdr:row>
                    <xdr:rowOff>209550</xdr:rowOff>
                  </from>
                  <to>
                    <xdr:col>13</xdr:col>
                    <xdr:colOff>1866900</xdr:colOff>
                    <xdr:row>3</xdr:row>
                    <xdr:rowOff>485775</xdr:rowOff>
                  </to>
                </anchor>
              </controlPr>
            </control>
          </mc:Choice>
        </mc:AlternateContent>
        <mc:AlternateContent xmlns:mc="http://schemas.openxmlformats.org/markup-compatibility/2006">
          <mc:Choice Requires="x14">
            <control shapeId="339979" r:id="rId10" name="Button 11">
              <controlPr defaultSize="0" print="0" autoFill="0" autoPict="0" macro="[0]!Next_Sheet">
                <anchor>
                  <from>
                    <xdr:col>13</xdr:col>
                    <xdr:colOff>476250</xdr:colOff>
                    <xdr:row>3</xdr:row>
                    <xdr:rowOff>762000</xdr:rowOff>
                  </from>
                  <to>
                    <xdr:col>13</xdr:col>
                    <xdr:colOff>1847850</xdr:colOff>
                    <xdr:row>3</xdr:row>
                    <xdr:rowOff>1047750</xdr:rowOff>
                  </to>
                </anchor>
              </controlPr>
            </control>
          </mc:Choice>
        </mc:AlternateContent>
        <mc:AlternateContent xmlns:mc="http://schemas.openxmlformats.org/markup-compatibility/2006">
          <mc:Choice Requires="x14">
            <control shapeId="339983" r:id="rId11" name="Button 15">
              <controlPr defaultSize="0" print="0" autoFill="0" autoPict="0" macro="[0]!Cmd_AddRows_ESOP_Click">
                <anchor moveWithCells="1">
                  <from>
                    <xdr:col>3</xdr:col>
                    <xdr:colOff>647700</xdr:colOff>
                    <xdr:row>14</xdr:row>
                    <xdr:rowOff>104775</xdr:rowOff>
                  </from>
                  <to>
                    <xdr:col>4</xdr:col>
                    <xdr:colOff>1276350</xdr:colOff>
                    <xdr:row>16</xdr:row>
                    <xdr:rowOff>95250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IV72"/>
  <sheetViews>
    <sheetView showGridLines="0" zoomScaleNormal="100" workbookViewId="0"/>
  </sheetViews>
  <sheetFormatPr defaultColWidth="0" defaultRowHeight="15" zeroHeight="1" x14ac:dyDescent="0.25"/>
  <cols>
    <col min="1" max="1" width="3.140625" style="113" customWidth="1"/>
    <col min="2" max="2" width="3.85546875" style="113" customWidth="1"/>
    <col min="3" max="3" width="6.42578125" style="113" customWidth="1"/>
    <col min="4" max="4" width="11.140625" style="113" customWidth="1"/>
    <col min="5" max="5" width="22.42578125" style="113" customWidth="1"/>
    <col min="6" max="6" width="17.140625" style="113" customWidth="1"/>
    <col min="7" max="8" width="17.7109375" style="113" customWidth="1"/>
    <col min="9" max="9" width="18" style="113" customWidth="1"/>
    <col min="10" max="10" width="16.28515625" style="113" customWidth="1"/>
    <col min="11" max="11" width="19.42578125" style="113" bestFit="1" customWidth="1"/>
    <col min="12" max="12" width="13.140625" style="113" bestFit="1" customWidth="1"/>
    <col min="13" max="13" width="13.28515625" style="113" customWidth="1"/>
    <col min="14" max="14" width="15.85546875" style="113" customWidth="1"/>
    <col min="15" max="15" width="13.140625" style="113" bestFit="1" customWidth="1"/>
    <col min="16" max="16" width="15.140625" style="113" bestFit="1" customWidth="1"/>
    <col min="17" max="17" width="14" style="113" customWidth="1"/>
    <col min="18" max="18" width="14.42578125" style="113" customWidth="1"/>
    <col min="19" max="19" width="17.5703125" style="113" customWidth="1"/>
    <col min="20" max="20" width="22.7109375" style="113" customWidth="1"/>
    <col min="21" max="22" width="17.5703125" style="113" customWidth="1"/>
    <col min="23" max="23" width="13.28515625" style="113" customWidth="1"/>
    <col min="24" max="24" width="9.140625" style="113" customWidth="1"/>
    <col min="25" max="253" width="9.140625" style="113" hidden="1" customWidth="1"/>
    <col min="254" max="16384" width="9.140625" hidden="1"/>
  </cols>
  <sheetData>
    <row r="1" spans="1:256" ht="15.75" thickBot="1" x14ac:dyDescent="0.3">
      <c r="A1" s="310"/>
      <c r="B1" s="310"/>
      <c r="C1" s="310"/>
      <c r="D1" s="310"/>
      <c r="E1" s="310"/>
      <c r="F1" s="310"/>
      <c r="G1" s="310"/>
      <c r="H1" s="310"/>
      <c r="I1" s="310"/>
      <c r="J1" s="310"/>
      <c r="K1" s="310"/>
      <c r="L1" s="310"/>
      <c r="M1" s="310"/>
      <c r="N1" s="310"/>
      <c r="O1" s="310"/>
      <c r="P1" s="310"/>
      <c r="Q1" s="310"/>
      <c r="R1" s="310"/>
      <c r="S1" s="310"/>
      <c r="T1" s="310"/>
      <c r="U1" s="310"/>
      <c r="V1" s="310"/>
      <c r="W1" s="310"/>
      <c r="X1" s="310"/>
    </row>
    <row r="2" spans="1:256" x14ac:dyDescent="0.25">
      <c r="A2" s="310"/>
      <c r="B2" s="1794"/>
      <c r="C2" s="1795"/>
      <c r="D2" s="1795"/>
      <c r="E2" s="1795"/>
      <c r="F2" s="1795"/>
      <c r="G2" s="1795"/>
      <c r="H2" s="1795"/>
      <c r="I2" s="1795"/>
      <c r="J2" s="1795"/>
      <c r="K2" s="1795"/>
      <c r="L2" s="1795"/>
      <c r="M2" s="1795"/>
      <c r="N2" s="1795"/>
      <c r="O2" s="1795"/>
      <c r="P2" s="1795"/>
      <c r="Q2" s="1795"/>
      <c r="R2" s="1795"/>
      <c r="S2" s="1795"/>
      <c r="T2" s="1795"/>
      <c r="U2" s="1795"/>
      <c r="V2" s="1131"/>
      <c r="W2" s="1132"/>
      <c r="X2" s="310"/>
      <c r="IQ2"/>
      <c r="IR2"/>
      <c r="IS2"/>
      <c r="IU2" s="113"/>
      <c r="IV2" s="113"/>
    </row>
    <row r="3" spans="1:256" x14ac:dyDescent="0.25">
      <c r="A3" s="310"/>
      <c r="B3" s="1797"/>
      <c r="C3" s="708" t="s">
        <v>11842</v>
      </c>
      <c r="D3" s="846"/>
      <c r="E3" s="846"/>
      <c r="F3" s="846"/>
      <c r="G3" s="846"/>
      <c r="H3" s="847"/>
      <c r="I3" s="848"/>
      <c r="J3" s="848"/>
      <c r="K3" s="848"/>
      <c r="L3" s="848"/>
      <c r="M3" s="848"/>
      <c r="N3" s="848"/>
      <c r="O3" s="848"/>
      <c r="P3" s="848"/>
      <c r="Q3" s="848"/>
      <c r="R3" s="848"/>
      <c r="S3" s="848"/>
      <c r="T3" s="848"/>
      <c r="U3" s="848"/>
      <c r="V3" s="848"/>
      <c r="W3" s="1122"/>
      <c r="X3" s="310"/>
      <c r="IQ3"/>
      <c r="IR3"/>
      <c r="IS3"/>
      <c r="IU3" s="113"/>
      <c r="IV3" s="113"/>
    </row>
    <row r="4" spans="1:256" ht="17.25" customHeight="1" x14ac:dyDescent="0.25">
      <c r="A4" s="310"/>
      <c r="B4" s="1797"/>
      <c r="C4" s="1667" t="s">
        <v>11839</v>
      </c>
      <c r="D4" s="2993" t="s">
        <v>8216</v>
      </c>
      <c r="E4" s="2994"/>
      <c r="F4" s="2994"/>
      <c r="G4" s="2994"/>
      <c r="H4" s="2995"/>
      <c r="I4" s="1133"/>
      <c r="J4" s="1133"/>
      <c r="K4" s="1133"/>
      <c r="L4" s="1133"/>
      <c r="M4" s="1133"/>
      <c r="N4" s="1133"/>
      <c r="O4" s="1133"/>
      <c r="P4" s="1133"/>
      <c r="Q4" s="1133"/>
      <c r="R4" s="1133"/>
      <c r="S4" s="1133"/>
      <c r="T4" s="1133"/>
      <c r="U4" s="1133"/>
      <c r="V4" s="848"/>
      <c r="W4" s="1122"/>
      <c r="X4" s="310"/>
      <c r="IQ4"/>
      <c r="IR4"/>
      <c r="IS4"/>
      <c r="IU4" s="113"/>
      <c r="IV4" s="113"/>
    </row>
    <row r="5" spans="1:256" s="386" customFormat="1" ht="5.25" hidden="1" customHeight="1" x14ac:dyDescent="0.25">
      <c r="B5" s="1160"/>
      <c r="C5" s="219"/>
      <c r="D5" s="385"/>
      <c r="E5" s="385"/>
      <c r="F5" s="385"/>
      <c r="G5" s="385"/>
      <c r="H5" s="223"/>
      <c r="I5" s="385"/>
      <c r="J5" s="385"/>
      <c r="K5" s="385"/>
      <c r="L5" s="385"/>
      <c r="M5" s="385"/>
      <c r="N5" s="385"/>
      <c r="O5" s="385"/>
      <c r="P5" s="385"/>
      <c r="Q5" s="385"/>
      <c r="R5" s="385"/>
      <c r="S5" s="385"/>
      <c r="T5" s="385"/>
      <c r="U5" s="385"/>
      <c r="W5" s="1184"/>
      <c r="IQ5"/>
      <c r="IR5"/>
      <c r="IS5"/>
      <c r="IT5"/>
    </row>
    <row r="6" spans="1:256" ht="58.5" customHeight="1" x14ac:dyDescent="0.25">
      <c r="A6" s="310"/>
      <c r="B6" s="1797"/>
      <c r="C6" s="11"/>
      <c r="D6" s="2065" t="s">
        <v>7563</v>
      </c>
      <c r="E6" s="31" t="s">
        <v>8398</v>
      </c>
      <c r="F6" s="31" t="s">
        <v>7338</v>
      </c>
      <c r="G6" s="31" t="s">
        <v>1274</v>
      </c>
      <c r="H6" s="31" t="s">
        <v>1275</v>
      </c>
      <c r="I6" s="1133"/>
      <c r="J6" s="1133"/>
      <c r="K6" s="1133"/>
      <c r="L6" s="1133"/>
      <c r="M6" s="1133"/>
      <c r="N6" s="1133"/>
      <c r="O6" s="1133"/>
      <c r="P6" s="1133"/>
      <c r="Q6" s="1133"/>
      <c r="R6" s="1133"/>
      <c r="S6" s="1133"/>
      <c r="T6" s="1133"/>
      <c r="U6" s="1133"/>
      <c r="V6" s="848"/>
      <c r="W6" s="1122"/>
      <c r="X6" s="310"/>
      <c r="IQ6"/>
      <c r="IR6"/>
      <c r="IS6"/>
      <c r="IU6" s="113"/>
      <c r="IV6" s="113"/>
    </row>
    <row r="7" spans="1:256" x14ac:dyDescent="0.25">
      <c r="A7" s="310"/>
      <c r="B7" s="1797"/>
      <c r="C7" s="207"/>
      <c r="D7" s="389">
        <v>1</v>
      </c>
      <c r="E7" s="389">
        <v>2</v>
      </c>
      <c r="F7" s="389">
        <v>3</v>
      </c>
      <c r="G7" s="389">
        <v>4</v>
      </c>
      <c r="H7" s="389">
        <v>5</v>
      </c>
      <c r="I7" s="1133"/>
      <c r="J7" s="1133"/>
      <c r="K7" s="1133"/>
      <c r="L7" s="1133"/>
      <c r="M7" s="1133"/>
      <c r="N7" s="1133"/>
      <c r="O7" s="1133"/>
      <c r="P7" s="1133"/>
      <c r="Q7" s="1133"/>
      <c r="R7" s="1133"/>
      <c r="S7" s="1133"/>
      <c r="T7" s="1133"/>
      <c r="U7" s="1133"/>
      <c r="V7" s="848"/>
      <c r="W7" s="1122"/>
      <c r="X7" s="310"/>
      <c r="IQ7"/>
      <c r="IR7"/>
      <c r="IS7"/>
      <c r="IU7" s="113"/>
      <c r="IV7" s="113"/>
    </row>
    <row r="8" spans="1:256" x14ac:dyDescent="0.25">
      <c r="A8" s="310"/>
      <c r="B8" s="1797"/>
      <c r="C8" s="207"/>
      <c r="D8" s="2065">
        <v>1</v>
      </c>
      <c r="E8" s="2647"/>
      <c r="F8" s="2617"/>
      <c r="G8" s="2633"/>
      <c r="H8" s="2633"/>
      <c r="I8" s="1133"/>
      <c r="J8" s="1133"/>
      <c r="K8" s="1133"/>
      <c r="L8" s="1133"/>
      <c r="M8" s="1133"/>
      <c r="N8" s="1133"/>
      <c r="O8" s="1133"/>
      <c r="P8" s="1133"/>
      <c r="Q8" s="1133"/>
      <c r="R8" s="1133"/>
      <c r="S8" s="1133"/>
      <c r="T8" s="1133"/>
      <c r="U8" s="1133"/>
      <c r="V8" s="848"/>
      <c r="W8" s="1122"/>
      <c r="X8" s="310"/>
      <c r="IQ8"/>
      <c r="IR8"/>
      <c r="IS8"/>
      <c r="IU8" s="113"/>
      <c r="IV8" s="113"/>
    </row>
    <row r="9" spans="1:256" x14ac:dyDescent="0.25">
      <c r="A9" s="310"/>
      <c r="B9" s="1797"/>
      <c r="C9" s="207"/>
      <c r="D9" s="2065">
        <f>D8+1</f>
        <v>2</v>
      </c>
      <c r="E9" s="2647"/>
      <c r="F9" s="2647"/>
      <c r="G9" s="2633"/>
      <c r="H9" s="2633"/>
      <c r="I9" s="1133"/>
      <c r="J9" s="1133"/>
      <c r="K9" s="1133"/>
      <c r="L9" s="1133"/>
      <c r="M9" s="1133"/>
      <c r="N9" s="1133"/>
      <c r="O9" s="1133"/>
      <c r="P9" s="1133"/>
      <c r="Q9" s="1133"/>
      <c r="R9" s="1133"/>
      <c r="S9" s="1133"/>
      <c r="T9" s="1133"/>
      <c r="U9" s="1133"/>
      <c r="V9" s="848"/>
      <c r="W9" s="1122"/>
      <c r="X9" s="310"/>
      <c r="IQ9"/>
      <c r="IR9"/>
      <c r="IS9"/>
      <c r="IU9" s="113"/>
      <c r="IV9" s="113"/>
    </row>
    <row r="10" spans="1:256" x14ac:dyDescent="0.25">
      <c r="A10" s="310"/>
      <c r="B10" s="1797"/>
      <c r="C10" s="207"/>
      <c r="D10" s="2065">
        <f>D9+1</f>
        <v>3</v>
      </c>
      <c r="E10" s="2647"/>
      <c r="F10" s="2647"/>
      <c r="G10" s="2633"/>
      <c r="H10" s="2633"/>
      <c r="I10" s="1133"/>
      <c r="J10" s="1133"/>
      <c r="K10" s="1133"/>
      <c r="L10" s="1133"/>
      <c r="M10" s="1133"/>
      <c r="N10" s="1133"/>
      <c r="O10" s="1133"/>
      <c r="P10" s="1133"/>
      <c r="Q10" s="1133"/>
      <c r="R10" s="1133"/>
      <c r="S10" s="1133"/>
      <c r="T10" s="1133"/>
      <c r="U10" s="1133"/>
      <c r="V10" s="848"/>
      <c r="W10" s="1122"/>
      <c r="X10" s="310"/>
      <c r="IQ10"/>
      <c r="IR10"/>
      <c r="IS10"/>
      <c r="IU10" s="113"/>
      <c r="IV10" s="113"/>
    </row>
    <row r="11" spans="1:256" x14ac:dyDescent="0.25">
      <c r="A11" s="310"/>
      <c r="B11" s="1797"/>
      <c r="C11" s="208"/>
      <c r="D11" s="2065">
        <f>D10+1</f>
        <v>4</v>
      </c>
      <c r="E11" s="2647"/>
      <c r="F11" s="2647"/>
      <c r="G11" s="2633"/>
      <c r="H11" s="2633"/>
      <c r="I11" s="1133"/>
      <c r="J11" s="1133"/>
      <c r="K11" s="1133"/>
      <c r="L11" s="1133"/>
      <c r="M11" s="1133"/>
      <c r="N11" s="1133"/>
      <c r="O11" s="1133"/>
      <c r="P11" s="1133"/>
      <c r="Q11" s="1133"/>
      <c r="R11" s="1133"/>
      <c r="S11" s="1133"/>
      <c r="T11" s="1133"/>
      <c r="U11" s="1133"/>
      <c r="V11" s="848"/>
      <c r="W11" s="1122"/>
      <c r="X11" s="310"/>
      <c r="IQ11"/>
      <c r="IR11"/>
      <c r="IS11"/>
      <c r="IU11" s="113"/>
      <c r="IV11" s="113"/>
    </row>
    <row r="12" spans="1:256" x14ac:dyDescent="0.25">
      <c r="A12" s="310"/>
      <c r="B12" s="1797"/>
      <c r="C12" s="392"/>
      <c r="D12" s="1133"/>
      <c r="E12" s="1133"/>
      <c r="F12" s="1133"/>
      <c r="G12" s="1133"/>
      <c r="H12" s="1133"/>
      <c r="I12" s="1133"/>
      <c r="J12" s="1133"/>
      <c r="K12" s="1133"/>
      <c r="L12" s="1133"/>
      <c r="M12" s="1133"/>
      <c r="N12" s="1133"/>
      <c r="O12" s="1133"/>
      <c r="P12" s="1133"/>
      <c r="Q12" s="1133"/>
      <c r="R12" s="1133"/>
      <c r="S12" s="1133"/>
      <c r="T12" s="1133"/>
      <c r="U12" s="1133"/>
      <c r="V12" s="848"/>
      <c r="W12" s="1122"/>
      <c r="X12" s="310"/>
      <c r="IQ12"/>
      <c r="IR12"/>
      <c r="IS12"/>
      <c r="IU12" s="113"/>
      <c r="IV12" s="113"/>
    </row>
    <row r="13" spans="1:256" ht="12.75" customHeight="1" x14ac:dyDescent="0.25">
      <c r="A13" s="310"/>
      <c r="B13" s="1797"/>
      <c r="C13" s="392"/>
      <c r="D13" s="1802"/>
      <c r="E13" s="1590" t="s">
        <v>749</v>
      </c>
      <c r="F13" s="1591"/>
      <c r="G13" s="393">
        <f>SUM(TDS1.IncChrgSal)</f>
        <v>0</v>
      </c>
      <c r="H13" s="394">
        <f>SUM(TDS1.TotalTDSSal)</f>
        <v>0</v>
      </c>
      <c r="I13" s="1133"/>
      <c r="J13" s="1133"/>
      <c r="K13" s="1133"/>
      <c r="L13" s="1133"/>
      <c r="M13" s="1133"/>
      <c r="N13" s="1133"/>
      <c r="O13" s="1133"/>
      <c r="P13" s="1133"/>
      <c r="Q13" s="1133"/>
      <c r="R13" s="1133"/>
      <c r="S13" s="1133"/>
      <c r="T13" s="1133"/>
      <c r="U13" s="1133"/>
      <c r="V13" s="848"/>
      <c r="W13" s="1122"/>
      <c r="X13" s="310"/>
      <c r="IQ13"/>
      <c r="IR13"/>
      <c r="IS13"/>
      <c r="IU13" s="113"/>
      <c r="IV13" s="113"/>
    </row>
    <row r="14" spans="1:256" x14ac:dyDescent="0.25">
      <c r="A14" s="310"/>
      <c r="B14" s="1797"/>
      <c r="C14" s="1133"/>
      <c r="D14" s="3309"/>
      <c r="E14" s="3309"/>
      <c r="F14" s="1133"/>
      <c r="G14" s="1133"/>
      <c r="H14" s="1133"/>
      <c r="I14" s="1133"/>
      <c r="J14" s="1133"/>
      <c r="K14" s="1133"/>
      <c r="L14" s="1133"/>
      <c r="M14" s="1133"/>
      <c r="N14" s="1133"/>
      <c r="O14" s="1133"/>
      <c r="P14" s="1133"/>
      <c r="Q14" s="1133"/>
      <c r="R14" s="1133"/>
      <c r="S14" s="1133"/>
      <c r="T14" s="1133"/>
      <c r="U14" s="1133"/>
      <c r="V14" s="848"/>
      <c r="W14" s="1122"/>
      <c r="X14" s="310"/>
      <c r="IQ14"/>
      <c r="IR14"/>
      <c r="IS14"/>
      <c r="IU14" s="113"/>
      <c r="IV14" s="113"/>
    </row>
    <row r="15" spans="1:256" ht="14.25" customHeight="1" x14ac:dyDescent="0.25">
      <c r="A15" s="310"/>
      <c r="B15" s="1797"/>
      <c r="C15" s="1133"/>
      <c r="D15" s="3309"/>
      <c r="E15" s="3309"/>
      <c r="F15" s="1133"/>
      <c r="G15" s="1133"/>
      <c r="H15" s="1133"/>
      <c r="I15" s="1133"/>
      <c r="J15" s="1133"/>
      <c r="K15" s="1133"/>
      <c r="L15" s="1133"/>
      <c r="M15" s="1133"/>
      <c r="N15" s="1133"/>
      <c r="O15" s="1133"/>
      <c r="P15" s="1133"/>
      <c r="Q15" s="1133"/>
      <c r="R15" s="1133"/>
      <c r="S15" s="1133"/>
      <c r="T15" s="1133"/>
      <c r="U15" s="1133"/>
      <c r="V15" s="848"/>
      <c r="W15" s="1122"/>
      <c r="X15" s="310"/>
      <c r="IQ15"/>
      <c r="IR15"/>
      <c r="IS15"/>
      <c r="IU15" s="113"/>
      <c r="IV15" s="113"/>
    </row>
    <row r="16" spans="1:256" x14ac:dyDescent="0.25">
      <c r="A16" s="310"/>
      <c r="B16" s="1797"/>
      <c r="C16" s="1133"/>
      <c r="D16" s="3950" t="s">
        <v>8910</v>
      </c>
      <c r="E16" s="3951"/>
      <c r="F16" s="3951"/>
      <c r="G16" s="3951"/>
      <c r="H16" s="3951"/>
      <c r="I16" s="3951"/>
      <c r="J16" s="3951"/>
      <c r="K16" s="3952"/>
      <c r="L16" s="1133"/>
      <c r="M16" s="1133"/>
      <c r="N16" s="1133"/>
      <c r="O16" s="1133"/>
      <c r="P16" s="1133"/>
      <c r="Q16" s="1133"/>
      <c r="R16" s="1133"/>
      <c r="S16" s="1133"/>
      <c r="T16" s="1133"/>
      <c r="U16" s="1133"/>
      <c r="V16" s="848"/>
      <c r="W16" s="1122"/>
      <c r="X16" s="310"/>
      <c r="IQ16"/>
      <c r="IR16"/>
      <c r="IS16"/>
      <c r="IU16" s="113"/>
      <c r="IV16" s="113"/>
    </row>
    <row r="17" spans="1:256" x14ac:dyDescent="0.25">
      <c r="A17" s="310"/>
      <c r="B17" s="1797"/>
      <c r="C17" s="1133"/>
      <c r="D17" s="1133"/>
      <c r="E17" s="1133"/>
      <c r="F17" s="1133"/>
      <c r="G17" s="1133"/>
      <c r="H17" s="1133"/>
      <c r="I17" s="1133"/>
      <c r="J17" s="1133"/>
      <c r="K17" s="1133"/>
      <c r="L17" s="1133"/>
      <c r="M17" s="1133"/>
      <c r="N17" s="1133"/>
      <c r="O17" s="1133"/>
      <c r="P17" s="1133"/>
      <c r="Q17" s="1133"/>
      <c r="R17" s="1133"/>
      <c r="S17" s="1133"/>
      <c r="T17" s="1133"/>
      <c r="U17" s="1133"/>
      <c r="V17" s="848"/>
      <c r="W17" s="1122"/>
      <c r="X17" s="310"/>
      <c r="IQ17"/>
      <c r="IR17"/>
      <c r="IS17"/>
      <c r="IU17" s="113"/>
      <c r="IV17" s="113"/>
    </row>
    <row r="18" spans="1:256" x14ac:dyDescent="0.25">
      <c r="A18" s="310"/>
      <c r="B18" s="1797"/>
      <c r="C18" s="405" t="s">
        <v>11841</v>
      </c>
      <c r="D18" s="1837"/>
      <c r="E18" s="1837"/>
      <c r="F18" s="1837"/>
      <c r="G18" s="1837"/>
      <c r="H18" s="1837"/>
      <c r="I18" s="1837"/>
      <c r="J18" s="1837"/>
      <c r="K18" s="1837"/>
      <c r="L18" s="1837"/>
      <c r="M18" s="1837"/>
      <c r="N18" s="1837"/>
      <c r="O18" s="1837"/>
      <c r="P18" s="1837"/>
      <c r="Q18" s="1837"/>
      <c r="R18" s="1837"/>
      <c r="S18" s="1837"/>
      <c r="T18" s="1837"/>
      <c r="U18" s="1851"/>
      <c r="V18" s="848"/>
      <c r="W18" s="1122"/>
      <c r="X18" s="310"/>
      <c r="IQ18"/>
      <c r="IR18"/>
      <c r="IS18"/>
      <c r="IU18" s="113"/>
      <c r="IV18" s="113"/>
    </row>
    <row r="19" spans="1:256" ht="12.75" customHeight="1" x14ac:dyDescent="0.25">
      <c r="A19" s="310"/>
      <c r="B19" s="1797"/>
      <c r="C19" s="1064" t="s">
        <v>9729</v>
      </c>
      <c r="D19" s="3110" t="s">
        <v>9731</v>
      </c>
      <c r="E19" s="3111"/>
      <c r="F19" s="3111"/>
      <c r="G19" s="3111"/>
      <c r="H19" s="3111"/>
      <c r="I19" s="3111"/>
      <c r="J19" s="3111"/>
      <c r="K19" s="3111"/>
      <c r="L19" s="3111"/>
      <c r="M19" s="3111"/>
      <c r="N19" s="3111"/>
      <c r="O19" s="3111"/>
      <c r="P19" s="3111"/>
      <c r="Q19" s="3111"/>
      <c r="R19" s="3111"/>
      <c r="S19" s="3111"/>
      <c r="T19" s="3111"/>
      <c r="U19" s="3112"/>
      <c r="V19" s="848"/>
      <c r="W19" s="1122"/>
      <c r="X19" s="310"/>
      <c r="IQ19"/>
      <c r="IR19"/>
      <c r="IS19"/>
      <c r="IU19" s="113"/>
      <c r="IV19" s="113"/>
    </row>
    <row r="20" spans="1:256" s="1069" customFormat="1" ht="72.75" customHeight="1" x14ac:dyDescent="0.25">
      <c r="A20" s="1908"/>
      <c r="B20" s="1904"/>
      <c r="C20" s="201"/>
      <c r="D20" s="2019" t="s">
        <v>7563</v>
      </c>
      <c r="E20" s="108" t="s">
        <v>9732</v>
      </c>
      <c r="F20" s="2019" t="s">
        <v>9581</v>
      </c>
      <c r="G20" s="2019" t="s">
        <v>12127</v>
      </c>
      <c r="H20" s="108" t="s">
        <v>1273</v>
      </c>
      <c r="I20" s="3263" t="s">
        <v>7270</v>
      </c>
      <c r="J20" s="3264"/>
      <c r="K20" s="3263" t="s">
        <v>13055</v>
      </c>
      <c r="L20" s="3323"/>
      <c r="M20" s="3264"/>
      <c r="N20" s="3263" t="s">
        <v>12792</v>
      </c>
      <c r="O20" s="3323"/>
      <c r="P20" s="3323"/>
      <c r="Q20" s="3323"/>
      <c r="R20" s="3264"/>
      <c r="S20" s="3263" t="s">
        <v>12871</v>
      </c>
      <c r="T20" s="3264"/>
      <c r="U20" s="31" t="s">
        <v>9769</v>
      </c>
      <c r="V20" s="822"/>
      <c r="W20" s="1911"/>
      <c r="X20" s="1908"/>
      <c r="IQ20"/>
      <c r="IR20"/>
      <c r="IS20"/>
      <c r="IT20"/>
    </row>
    <row r="21" spans="1:256" s="1069" customFormat="1" ht="68.25" customHeight="1" x14ac:dyDescent="0.25">
      <c r="A21" s="1908"/>
      <c r="B21" s="1904"/>
      <c r="C21" s="2026"/>
      <c r="D21" s="389" t="s">
        <v>8755</v>
      </c>
      <c r="E21" s="396" t="s">
        <v>8756</v>
      </c>
      <c r="F21" s="2019" t="s">
        <v>8757</v>
      </c>
      <c r="G21" s="2019" t="s">
        <v>8758</v>
      </c>
      <c r="H21" s="396" t="s">
        <v>9806</v>
      </c>
      <c r="I21" s="2019" t="s">
        <v>12119</v>
      </c>
      <c r="J21" s="2019" t="s">
        <v>12120</v>
      </c>
      <c r="K21" s="2019" t="s">
        <v>12121</v>
      </c>
      <c r="L21" s="3263" t="s">
        <v>12122</v>
      </c>
      <c r="M21" s="3264"/>
      <c r="N21" s="396" t="s">
        <v>12123</v>
      </c>
      <c r="O21" s="3263" t="s">
        <v>12124</v>
      </c>
      <c r="P21" s="3323"/>
      <c r="Q21" s="3323"/>
      <c r="R21" s="3264"/>
      <c r="S21" s="2065" t="s">
        <v>12125</v>
      </c>
      <c r="T21" s="2065" t="s">
        <v>12126</v>
      </c>
      <c r="U21" s="396" t="s">
        <v>9814</v>
      </c>
      <c r="V21" s="822"/>
      <c r="W21" s="1911"/>
      <c r="X21" s="1908"/>
      <c r="IQ21"/>
      <c r="IR21"/>
      <c r="IS21"/>
      <c r="IT21"/>
    </row>
    <row r="22" spans="1:256" ht="27" customHeight="1" x14ac:dyDescent="0.25">
      <c r="A22" s="310"/>
      <c r="B22" s="1797"/>
      <c r="C22" s="207"/>
      <c r="D22" s="389"/>
      <c r="E22" s="389"/>
      <c r="F22" s="389"/>
      <c r="G22" s="389"/>
      <c r="H22" s="389"/>
      <c r="I22" s="389"/>
      <c r="J22" s="389"/>
      <c r="K22" s="396"/>
      <c r="L22" s="389" t="s">
        <v>1860</v>
      </c>
      <c r="M22" s="389" t="s">
        <v>1696</v>
      </c>
      <c r="N22" s="389"/>
      <c r="O22" s="389" t="s">
        <v>1860</v>
      </c>
      <c r="P22" s="389" t="s">
        <v>1696</v>
      </c>
      <c r="Q22" s="389" t="s">
        <v>7</v>
      </c>
      <c r="R22" s="389" t="s">
        <v>8073</v>
      </c>
      <c r="S22" s="389"/>
      <c r="T22" s="389"/>
      <c r="U22" s="389"/>
      <c r="V22" s="1133"/>
      <c r="W22" s="1122"/>
      <c r="X22" s="310"/>
      <c r="IQ22"/>
      <c r="IR22"/>
      <c r="IS22"/>
      <c r="IU22" s="113"/>
      <c r="IV22" s="113"/>
    </row>
    <row r="23" spans="1:256" x14ac:dyDescent="0.25">
      <c r="A23" s="310"/>
      <c r="B23" s="1797"/>
      <c r="C23" s="207"/>
      <c r="D23" s="2065">
        <v>1</v>
      </c>
      <c r="E23" s="1975" t="s">
        <v>12</v>
      </c>
      <c r="F23" s="2623"/>
      <c r="G23" s="2623"/>
      <c r="H23" s="1986"/>
      <c r="I23" s="2096" t="s">
        <v>12</v>
      </c>
      <c r="J23" s="2594"/>
      <c r="K23" s="2661"/>
      <c r="L23" s="2661"/>
      <c r="M23" s="2661"/>
      <c r="N23" s="2034"/>
      <c r="O23" s="2661"/>
      <c r="P23" s="2661"/>
      <c r="Q23" s="2103"/>
      <c r="R23" s="2126"/>
      <c r="S23" s="2592"/>
      <c r="T23" s="2104"/>
      <c r="U23" s="1955">
        <f>MAX(0,J23+M23+K23-N23-P23)</f>
        <v>0</v>
      </c>
      <c r="V23" s="1133"/>
      <c r="W23" s="1122"/>
      <c r="X23" s="310"/>
      <c r="Z23" s="144">
        <f>IF(OR(MID(E23,1,1)="O",MID(E23,1,1)="S"),1,0)</f>
        <v>0</v>
      </c>
      <c r="IQ23"/>
      <c r="IR23"/>
      <c r="IS23"/>
      <c r="IU23" s="113"/>
      <c r="IV23" s="113"/>
    </row>
    <row r="24" spans="1:256" x14ac:dyDescent="0.25">
      <c r="A24" s="310"/>
      <c r="B24" s="1797"/>
      <c r="C24" s="207"/>
      <c r="D24" s="2065">
        <f>D23+1</f>
        <v>2</v>
      </c>
      <c r="E24" s="1975" t="s">
        <v>12</v>
      </c>
      <c r="F24" s="2590"/>
      <c r="G24" s="2590"/>
      <c r="H24" s="1986"/>
      <c r="I24" s="1975" t="s">
        <v>12</v>
      </c>
      <c r="J24" s="2034"/>
      <c r="K24" s="2594"/>
      <c r="L24" s="2594"/>
      <c r="M24" s="2594"/>
      <c r="N24" s="2034"/>
      <c r="O24" s="2594"/>
      <c r="P24" s="2594"/>
      <c r="Q24" s="2103"/>
      <c r="R24" s="2126"/>
      <c r="S24" s="2094"/>
      <c r="T24" s="2104"/>
      <c r="U24" s="1955">
        <f>MAX(0,J24+M24+K24-N24-P24)</f>
        <v>0</v>
      </c>
      <c r="V24" s="1133"/>
      <c r="W24" s="1122"/>
      <c r="X24" s="310"/>
      <c r="IQ24"/>
      <c r="IR24"/>
      <c r="IS24"/>
      <c r="IU24" s="113"/>
      <c r="IV24" s="113"/>
    </row>
    <row r="25" spans="1:256" x14ac:dyDescent="0.25">
      <c r="A25" s="310"/>
      <c r="B25" s="1797"/>
      <c r="C25" s="207"/>
      <c r="D25" s="2065">
        <f>D24+1</f>
        <v>3</v>
      </c>
      <c r="E25" s="1975" t="s">
        <v>12</v>
      </c>
      <c r="F25" s="2093"/>
      <c r="G25" s="2093"/>
      <c r="H25" s="1986"/>
      <c r="I25" s="1975" t="s">
        <v>12</v>
      </c>
      <c r="J25" s="2034"/>
      <c r="K25" s="2131"/>
      <c r="L25" s="2131"/>
      <c r="M25" s="2131"/>
      <c r="N25" s="2034"/>
      <c r="O25" s="2131"/>
      <c r="P25" s="2131"/>
      <c r="Q25" s="2103"/>
      <c r="R25" s="2126"/>
      <c r="S25" s="2094"/>
      <c r="T25" s="2104"/>
      <c r="U25" s="1955">
        <f>MAX(0,J25+M25+K25-N25-P25)</f>
        <v>0</v>
      </c>
      <c r="V25" s="1133"/>
      <c r="W25" s="1122"/>
      <c r="X25" s="310"/>
      <c r="IQ25"/>
      <c r="IR25"/>
      <c r="IS25"/>
      <c r="IU25" s="113"/>
      <c r="IV25" s="113"/>
    </row>
    <row r="26" spans="1:256" x14ac:dyDescent="0.25">
      <c r="A26" s="310"/>
      <c r="B26" s="1797"/>
      <c r="C26" s="208"/>
      <c r="D26" s="2065">
        <f>D25+1</f>
        <v>4</v>
      </c>
      <c r="E26" s="1975" t="s">
        <v>12</v>
      </c>
      <c r="F26" s="2093"/>
      <c r="G26" s="2093"/>
      <c r="H26" s="1986"/>
      <c r="I26" s="1975" t="s">
        <v>12</v>
      </c>
      <c r="J26" s="2034"/>
      <c r="K26" s="2131"/>
      <c r="L26" s="2131"/>
      <c r="M26" s="2131"/>
      <c r="N26" s="2034"/>
      <c r="O26" s="2131"/>
      <c r="P26" s="2131"/>
      <c r="Q26" s="2103"/>
      <c r="R26" s="2126"/>
      <c r="S26" s="2094"/>
      <c r="T26" s="2104"/>
      <c r="U26" s="1955">
        <f>MAX(0,J26+M26+K26-N26-P26)</f>
        <v>0</v>
      </c>
      <c r="V26" s="1133"/>
      <c r="W26" s="1122"/>
      <c r="X26" s="310"/>
      <c r="IQ26"/>
      <c r="IR26"/>
      <c r="IS26"/>
      <c r="IU26" s="113"/>
      <c r="IV26" s="113"/>
    </row>
    <row r="27" spans="1:256" s="2229" customFormat="1" x14ac:dyDescent="0.25">
      <c r="A27" s="310"/>
      <c r="B27" s="1797"/>
      <c r="C27" s="208"/>
      <c r="D27" s="2228">
        <f>D26+1</f>
        <v>5</v>
      </c>
      <c r="E27" s="1975" t="s">
        <v>12</v>
      </c>
      <c r="F27" s="2093"/>
      <c r="G27" s="2093"/>
      <c r="H27" s="1986"/>
      <c r="I27" s="1975" t="s">
        <v>12</v>
      </c>
      <c r="J27" s="2221"/>
      <c r="K27" s="2222"/>
      <c r="L27" s="2222"/>
      <c r="M27" s="2222"/>
      <c r="N27" s="2221"/>
      <c r="O27" s="2222"/>
      <c r="P27" s="2222"/>
      <c r="Q27" s="2103"/>
      <c r="R27" s="2126"/>
      <c r="S27" s="2193"/>
      <c r="T27" s="2104"/>
      <c r="U27" s="2234">
        <f>MAX(0,J27+M27+K27-N27-P27)</f>
        <v>0</v>
      </c>
      <c r="V27" s="1133"/>
      <c r="W27" s="1122"/>
      <c r="X27" s="310"/>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U27" s="113"/>
      <c r="IV27" s="113"/>
    </row>
    <row r="28" spans="1:256" x14ac:dyDescent="0.25">
      <c r="A28" s="310"/>
      <c r="B28" s="1797"/>
      <c r="C28" s="392"/>
      <c r="D28" s="1133"/>
      <c r="E28" s="1133"/>
      <c r="F28" s="1133"/>
      <c r="G28" s="1133"/>
      <c r="H28" s="1133"/>
      <c r="I28" s="1133"/>
      <c r="J28" s="1133"/>
      <c r="K28" s="1133"/>
      <c r="L28" s="1133"/>
      <c r="M28" s="848"/>
      <c r="N28" s="848"/>
      <c r="O28" s="1133"/>
      <c r="P28" s="1133"/>
      <c r="Q28" s="1133"/>
      <c r="R28" s="1133"/>
      <c r="S28" s="1133"/>
      <c r="T28" s="1133"/>
      <c r="U28" s="1133"/>
      <c r="V28" s="848"/>
      <c r="W28" s="1122"/>
      <c r="X28" s="310"/>
      <c r="IQ28"/>
      <c r="IR28"/>
      <c r="IS28"/>
      <c r="IU28" s="113"/>
      <c r="IV28" s="113"/>
    </row>
    <row r="29" spans="1:256" ht="12.75" customHeight="1" x14ac:dyDescent="0.25">
      <c r="A29" s="310"/>
      <c r="B29" s="1797"/>
      <c r="C29" s="392"/>
      <c r="D29" s="3953" t="s">
        <v>749</v>
      </c>
      <c r="E29" s="3953"/>
      <c r="F29" s="3953"/>
      <c r="G29" s="3953"/>
      <c r="H29" s="3953"/>
      <c r="I29" s="3953"/>
      <c r="J29" s="3953"/>
      <c r="K29" s="3953"/>
      <c r="L29" s="3953"/>
      <c r="M29" s="3953"/>
      <c r="N29" s="394">
        <f>SUM(TDS2.ClaimedInOwnHands)</f>
        <v>0</v>
      </c>
      <c r="O29" s="1133"/>
      <c r="P29" s="1133"/>
      <c r="Q29" s="1133"/>
      <c r="R29" s="1133"/>
      <c r="S29" s="1133"/>
      <c r="T29" s="1133"/>
      <c r="U29" s="1133"/>
      <c r="V29" s="848"/>
      <c r="W29" s="1122"/>
      <c r="X29" s="310"/>
      <c r="IQ29"/>
      <c r="IR29"/>
      <c r="IS29"/>
      <c r="IU29" s="113"/>
      <c r="IV29" s="113"/>
    </row>
    <row r="30" spans="1:256" s="117" customFormat="1" x14ac:dyDescent="0.25">
      <c r="A30" s="354"/>
      <c r="B30" s="1801"/>
      <c r="C30" s="1133"/>
      <c r="D30" s="3309"/>
      <c r="E30" s="3309"/>
      <c r="F30" s="2071"/>
      <c r="G30" s="1133"/>
      <c r="H30" s="1133"/>
      <c r="I30" s="1133"/>
      <c r="J30" s="1133"/>
      <c r="K30" s="1133"/>
      <c r="L30" s="1133"/>
      <c r="M30" s="1133"/>
      <c r="N30" s="1133"/>
      <c r="O30" s="1133"/>
      <c r="P30" s="1133"/>
      <c r="Q30" s="1133"/>
      <c r="R30" s="1133"/>
      <c r="S30" s="1133"/>
      <c r="T30" s="1133"/>
      <c r="U30" s="1133"/>
      <c r="V30" s="1133"/>
      <c r="W30" s="1136"/>
      <c r="X30" s="354"/>
      <c r="IQ30"/>
      <c r="IR30"/>
      <c r="IS30"/>
      <c r="IT30"/>
    </row>
    <row r="31" spans="1:256" s="117" customFormat="1" ht="16.5" customHeight="1" x14ac:dyDescent="0.25">
      <c r="A31" s="354"/>
      <c r="B31" s="1801"/>
      <c r="C31" s="1133"/>
      <c r="D31" s="3309"/>
      <c r="E31" s="3309"/>
      <c r="F31" s="2071"/>
      <c r="G31" s="1133"/>
      <c r="H31" s="1133"/>
      <c r="I31" s="1133"/>
      <c r="J31" s="1133"/>
      <c r="K31" s="1133"/>
      <c r="L31" s="1133"/>
      <c r="M31" s="1133"/>
      <c r="N31" s="1133"/>
      <c r="O31" s="1133"/>
      <c r="P31" s="1133"/>
      <c r="Q31" s="1133"/>
      <c r="R31" s="1133"/>
      <c r="S31" s="1133"/>
      <c r="T31" s="1133"/>
      <c r="U31" s="1133"/>
      <c r="V31" s="1133"/>
      <c r="W31" s="1136"/>
      <c r="X31" s="354"/>
      <c r="IQ31"/>
      <c r="IR31"/>
      <c r="IS31"/>
      <c r="IT31"/>
    </row>
    <row r="32" spans="1:256" s="117" customFormat="1" x14ac:dyDescent="0.25">
      <c r="A32" s="354"/>
      <c r="B32" s="1801"/>
      <c r="C32" s="1133"/>
      <c r="D32" s="3943" t="s">
        <v>8911</v>
      </c>
      <c r="E32" s="3944"/>
      <c r="F32" s="3944"/>
      <c r="G32" s="3944"/>
      <c r="H32" s="3944"/>
      <c r="I32" s="3944"/>
      <c r="J32" s="3944"/>
      <c r="K32" s="3945"/>
      <c r="L32" s="1133"/>
      <c r="M32" s="1133"/>
      <c r="N32" s="1133"/>
      <c r="O32" s="1133"/>
      <c r="P32" s="1133"/>
      <c r="Q32" s="1133"/>
      <c r="R32" s="1133"/>
      <c r="S32" s="1133"/>
      <c r="T32" s="1133"/>
      <c r="U32" s="1133"/>
      <c r="V32" s="1133"/>
      <c r="W32" s="1136"/>
      <c r="X32" s="354"/>
      <c r="IR32"/>
      <c r="IS32"/>
      <c r="IT32"/>
    </row>
    <row r="33" spans="1:256" s="117" customFormat="1" x14ac:dyDescent="0.25">
      <c r="A33" s="354"/>
      <c r="B33" s="1801"/>
      <c r="C33" s="1133"/>
      <c r="D33" s="1133"/>
      <c r="E33" s="1133"/>
      <c r="F33" s="1133"/>
      <c r="G33" s="1133"/>
      <c r="H33" s="1133"/>
      <c r="I33" s="1133"/>
      <c r="J33" s="1133"/>
      <c r="K33" s="1133"/>
      <c r="L33" s="1133"/>
      <c r="M33" s="1133"/>
      <c r="N33" s="1133"/>
      <c r="O33" s="1133"/>
      <c r="P33" s="1133"/>
      <c r="Q33" s="1133"/>
      <c r="R33" s="1133"/>
      <c r="S33" s="1133"/>
      <c r="T33" s="1133"/>
      <c r="U33" s="1133"/>
      <c r="V33" s="1133"/>
      <c r="W33" s="1136"/>
      <c r="X33" s="354"/>
      <c r="IR33"/>
      <c r="IS33"/>
      <c r="IT33"/>
    </row>
    <row r="34" spans="1:256" s="117" customFormat="1" x14ac:dyDescent="0.25">
      <c r="A34" s="354"/>
      <c r="B34" s="1801"/>
      <c r="C34" s="405" t="s">
        <v>11840</v>
      </c>
      <c r="D34" s="3954"/>
      <c r="E34" s="3954"/>
      <c r="F34" s="3954"/>
      <c r="G34" s="3954"/>
      <c r="H34" s="3954"/>
      <c r="I34" s="3954"/>
      <c r="J34" s="3954"/>
      <c r="K34" s="3954"/>
      <c r="L34" s="3954"/>
      <c r="M34" s="3954"/>
      <c r="N34" s="3954"/>
      <c r="O34" s="3954"/>
      <c r="P34" s="3954"/>
      <c r="Q34" s="3954"/>
      <c r="R34" s="3954"/>
      <c r="S34" s="3954"/>
      <c r="T34" s="3954"/>
      <c r="U34" s="3954"/>
      <c r="V34" s="3954"/>
      <c r="W34" s="1136"/>
      <c r="X34" s="354"/>
      <c r="IR34"/>
      <c r="IS34"/>
      <c r="IT34"/>
    </row>
    <row r="35" spans="1:256" x14ac:dyDescent="0.25">
      <c r="A35" s="310"/>
      <c r="B35" s="1797"/>
      <c r="C35" s="1070" t="s">
        <v>9730</v>
      </c>
      <c r="D35" s="3097" t="s">
        <v>12767</v>
      </c>
      <c r="E35" s="3097"/>
      <c r="F35" s="3097"/>
      <c r="G35" s="3097"/>
      <c r="H35" s="3097"/>
      <c r="I35" s="3097"/>
      <c r="J35" s="3097"/>
      <c r="K35" s="3097"/>
      <c r="L35" s="3097"/>
      <c r="M35" s="3097"/>
      <c r="N35" s="3097"/>
      <c r="O35" s="3097"/>
      <c r="P35" s="3097"/>
      <c r="Q35" s="3097"/>
      <c r="R35" s="3097"/>
      <c r="S35" s="3097"/>
      <c r="T35" s="3097"/>
      <c r="U35" s="3097"/>
      <c r="V35" s="3097"/>
      <c r="W35" s="1122"/>
      <c r="X35" s="310"/>
      <c r="IR35"/>
      <c r="IS35"/>
      <c r="IU35" s="113"/>
      <c r="IV35" s="113"/>
    </row>
    <row r="36" spans="1:256" ht="63.75" customHeight="1" x14ac:dyDescent="0.25">
      <c r="A36" s="310"/>
      <c r="B36" s="1797"/>
      <c r="C36" s="701"/>
      <c r="D36" s="2019" t="s">
        <v>1079</v>
      </c>
      <c r="E36" s="2019" t="s">
        <v>9733</v>
      </c>
      <c r="F36" s="2019" t="s">
        <v>9585</v>
      </c>
      <c r="G36" s="3023" t="s">
        <v>12128</v>
      </c>
      <c r="H36" s="108" t="s">
        <v>12768</v>
      </c>
      <c r="I36" s="3778" t="s">
        <v>12769</v>
      </c>
      <c r="J36" s="3263" t="s">
        <v>7271</v>
      </c>
      <c r="K36" s="3264"/>
      <c r="L36" s="3263" t="s">
        <v>13055</v>
      </c>
      <c r="M36" s="3323"/>
      <c r="N36" s="3264"/>
      <c r="O36" s="3263" t="s">
        <v>9584</v>
      </c>
      <c r="P36" s="3323"/>
      <c r="Q36" s="3323"/>
      <c r="R36" s="3323"/>
      <c r="S36" s="3264"/>
      <c r="T36" s="3263" t="s">
        <v>9768</v>
      </c>
      <c r="U36" s="3264"/>
      <c r="V36" s="3778" t="s">
        <v>9769</v>
      </c>
      <c r="W36" s="1122"/>
      <c r="X36" s="310"/>
      <c r="IR36"/>
      <c r="IS36"/>
      <c r="IU36" s="113"/>
      <c r="IV36" s="113"/>
    </row>
    <row r="37" spans="1:256" ht="72" customHeight="1" x14ac:dyDescent="0.25">
      <c r="A37" s="310"/>
      <c r="B37" s="1797"/>
      <c r="C37" s="702"/>
      <c r="D37" s="389" t="s">
        <v>8755</v>
      </c>
      <c r="E37" s="396" t="s">
        <v>8756</v>
      </c>
      <c r="F37" s="396" t="s">
        <v>8757</v>
      </c>
      <c r="G37" s="3025"/>
      <c r="H37" s="396" t="s">
        <v>8758</v>
      </c>
      <c r="I37" s="3779"/>
      <c r="J37" s="389" t="s">
        <v>13186</v>
      </c>
      <c r="K37" s="2019" t="s">
        <v>13187</v>
      </c>
      <c r="L37" s="389" t="s">
        <v>13188</v>
      </c>
      <c r="M37" s="3263" t="s">
        <v>13189</v>
      </c>
      <c r="N37" s="3264"/>
      <c r="O37" s="1910" t="s">
        <v>13190</v>
      </c>
      <c r="P37" s="3940" t="s">
        <v>13191</v>
      </c>
      <c r="Q37" s="3941"/>
      <c r="R37" s="3941"/>
      <c r="S37" s="3942"/>
      <c r="T37" s="2065" t="s">
        <v>13192</v>
      </c>
      <c r="U37" s="2065" t="s">
        <v>13193</v>
      </c>
      <c r="V37" s="3779"/>
      <c r="W37" s="1122"/>
      <c r="X37" s="310"/>
      <c r="IR37"/>
      <c r="IS37"/>
      <c r="IU37" s="113"/>
      <c r="IV37" s="113"/>
    </row>
    <row r="38" spans="1:256" x14ac:dyDescent="0.25">
      <c r="A38" s="310"/>
      <c r="B38" s="1797"/>
      <c r="C38" s="702"/>
      <c r="D38" s="389"/>
      <c r="E38" s="389"/>
      <c r="F38" s="389"/>
      <c r="G38" s="389"/>
      <c r="H38" s="389"/>
      <c r="I38" s="389"/>
      <c r="J38" s="389"/>
      <c r="K38" s="389"/>
      <c r="L38" s="389"/>
      <c r="M38" s="2065" t="s">
        <v>1860</v>
      </c>
      <c r="N38" s="2065" t="s">
        <v>1696</v>
      </c>
      <c r="O38" s="396"/>
      <c r="P38" s="389" t="s">
        <v>1860</v>
      </c>
      <c r="Q38" s="389" t="s">
        <v>1696</v>
      </c>
      <c r="R38" s="389" t="s">
        <v>9583</v>
      </c>
      <c r="S38" s="389" t="s">
        <v>8073</v>
      </c>
      <c r="T38" s="1905"/>
      <c r="U38" s="1906"/>
      <c r="V38" s="740"/>
      <c r="W38" s="1122"/>
      <c r="X38" s="310"/>
      <c r="IR38"/>
      <c r="IS38"/>
      <c r="IU38" s="113"/>
      <c r="IV38" s="113"/>
    </row>
    <row r="39" spans="1:256" x14ac:dyDescent="0.25">
      <c r="A39" s="310"/>
      <c r="B39" s="1797"/>
      <c r="C39" s="702"/>
      <c r="D39" s="2065">
        <v>1</v>
      </c>
      <c r="E39" s="1975" t="s">
        <v>12</v>
      </c>
      <c r="F39" s="2599"/>
      <c r="G39" s="2599"/>
      <c r="H39" s="1986"/>
      <c r="I39" s="2428" t="s">
        <v>23</v>
      </c>
      <c r="J39" s="2096" t="s">
        <v>12</v>
      </c>
      <c r="K39" s="2597"/>
      <c r="L39" s="2597"/>
      <c r="M39" s="2597"/>
      <c r="N39" s="2597"/>
      <c r="O39" s="2034"/>
      <c r="P39" s="2597"/>
      <c r="Q39" s="2597"/>
      <c r="R39" s="2103"/>
      <c r="S39" s="2126"/>
      <c r="T39" s="2598"/>
      <c r="U39" s="2104"/>
      <c r="V39" s="1955">
        <f>MAX(0,K39+L39+N39-O39-Q39)</f>
        <v>0</v>
      </c>
      <c r="W39" s="1122"/>
      <c r="X39" s="310"/>
      <c r="Z39" s="144">
        <f>IF(OR(MID(E39,1,1)="O",MID(E39,1,1)="S"),1,0)</f>
        <v>0</v>
      </c>
      <c r="IR39"/>
      <c r="IS39"/>
      <c r="IU39" s="113"/>
      <c r="IV39" s="113"/>
    </row>
    <row r="40" spans="1:256" x14ac:dyDescent="0.25">
      <c r="A40" s="310"/>
      <c r="B40" s="1797"/>
      <c r="C40" s="702"/>
      <c r="D40" s="2065">
        <f>D39+1</f>
        <v>2</v>
      </c>
      <c r="E40" s="1975" t="s">
        <v>12</v>
      </c>
      <c r="F40" s="2093"/>
      <c r="G40" s="2093"/>
      <c r="H40" s="1986"/>
      <c r="I40" s="2039"/>
      <c r="J40" s="1975" t="s">
        <v>12</v>
      </c>
      <c r="K40" s="2034"/>
      <c r="L40" s="2131"/>
      <c r="M40" s="2131"/>
      <c r="N40" s="2131"/>
      <c r="O40" s="2034"/>
      <c r="P40" s="2131"/>
      <c r="Q40" s="2131"/>
      <c r="R40" s="2103"/>
      <c r="S40" s="2126"/>
      <c r="T40" s="1974"/>
      <c r="U40" s="1977"/>
      <c r="V40" s="1955">
        <f>MAX(0,K40+L40+N40-O40-Q40)</f>
        <v>0</v>
      </c>
      <c r="W40" s="1122"/>
      <c r="X40" s="310"/>
      <c r="IR40"/>
      <c r="IS40"/>
      <c r="IU40" s="113"/>
      <c r="IV40" s="113"/>
    </row>
    <row r="41" spans="1:256" x14ac:dyDescent="0.25">
      <c r="A41" s="310"/>
      <c r="B41" s="1797"/>
      <c r="C41" s="702"/>
      <c r="D41" s="2065">
        <f>D40+1</f>
        <v>3</v>
      </c>
      <c r="E41" s="1975" t="s">
        <v>12</v>
      </c>
      <c r="F41" s="2093"/>
      <c r="G41" s="2093"/>
      <c r="H41" s="1986"/>
      <c r="I41" s="2039"/>
      <c r="J41" s="1975" t="s">
        <v>12</v>
      </c>
      <c r="K41" s="2034"/>
      <c r="L41" s="2131"/>
      <c r="M41" s="2131"/>
      <c r="N41" s="2131"/>
      <c r="O41" s="2034"/>
      <c r="P41" s="2131"/>
      <c r="Q41" s="2131"/>
      <c r="R41" s="2103"/>
      <c r="S41" s="2126"/>
      <c r="T41" s="1974"/>
      <c r="U41" s="1977"/>
      <c r="V41" s="1955">
        <f>MAX(0,K41+L41+N41-O41-Q41)</f>
        <v>0</v>
      </c>
      <c r="W41" s="1122"/>
      <c r="X41" s="310"/>
      <c r="IR41"/>
      <c r="IS41"/>
      <c r="IU41" s="113"/>
      <c r="IV41" s="113"/>
    </row>
    <row r="42" spans="1:256" x14ac:dyDescent="0.25">
      <c r="A42" s="310"/>
      <c r="B42" s="1797"/>
      <c r="C42" s="1668"/>
      <c r="D42" s="2065">
        <f>D41+1</f>
        <v>4</v>
      </c>
      <c r="E42" s="1975" t="s">
        <v>12</v>
      </c>
      <c r="F42" s="2093"/>
      <c r="G42" s="2093"/>
      <c r="H42" s="1986"/>
      <c r="I42" s="2039"/>
      <c r="J42" s="1975" t="s">
        <v>12</v>
      </c>
      <c r="K42" s="2034"/>
      <c r="L42" s="2131"/>
      <c r="M42" s="2131"/>
      <c r="N42" s="2131"/>
      <c r="O42" s="2034"/>
      <c r="P42" s="2131"/>
      <c r="Q42" s="2131"/>
      <c r="R42" s="2103"/>
      <c r="S42" s="2126"/>
      <c r="T42" s="1974"/>
      <c r="U42" s="1977"/>
      <c r="V42" s="1955">
        <f>MAX(0,K42+L42+N42-O42-Q42)</f>
        <v>0</v>
      </c>
      <c r="W42" s="1122"/>
      <c r="X42" s="310"/>
      <c r="IR42"/>
      <c r="IS42"/>
      <c r="IU42" s="113"/>
      <c r="IV42" s="113"/>
    </row>
    <row r="43" spans="1:256" ht="12.75" customHeight="1" x14ac:dyDescent="0.25">
      <c r="A43" s="310"/>
      <c r="B43" s="1797"/>
      <c r="C43" s="385"/>
      <c r="D43" s="1133"/>
      <c r="E43" s="1133"/>
      <c r="F43" s="1133"/>
      <c r="G43" s="1133"/>
      <c r="H43" s="1133"/>
      <c r="I43" s="1133"/>
      <c r="J43" s="1133"/>
      <c r="K43" s="1133"/>
      <c r="L43" s="1133"/>
      <c r="M43" s="1133"/>
      <c r="N43" s="1133"/>
      <c r="O43" s="1133"/>
      <c r="P43" s="1133"/>
      <c r="Q43" s="1133"/>
      <c r="R43" s="1133"/>
      <c r="S43" s="1133"/>
      <c r="T43" s="1133"/>
      <c r="U43" s="1133"/>
      <c r="V43" s="848"/>
      <c r="W43" s="1122"/>
      <c r="X43" s="310"/>
      <c r="IR43"/>
      <c r="IS43"/>
      <c r="IU43" s="113"/>
      <c r="IV43" s="113"/>
    </row>
    <row r="44" spans="1:256" ht="12.75" customHeight="1" x14ac:dyDescent="0.25">
      <c r="A44" s="310"/>
      <c r="B44" s="1797"/>
      <c r="C44" s="385"/>
      <c r="D44" s="3953" t="s">
        <v>749</v>
      </c>
      <c r="E44" s="3953"/>
      <c r="F44" s="3953"/>
      <c r="G44" s="3953"/>
      <c r="H44" s="3953"/>
      <c r="I44" s="3953"/>
      <c r="J44" s="3953"/>
      <c r="K44" s="3953"/>
      <c r="L44" s="3953"/>
      <c r="M44" s="3953"/>
      <c r="N44" s="3953"/>
      <c r="O44" s="394">
        <f>SUM(TDS3.ClaimedInOwnHands)</f>
        <v>0</v>
      </c>
      <c r="P44" s="1133"/>
      <c r="Q44" s="1133"/>
      <c r="R44" s="1133"/>
      <c r="S44" s="1133"/>
      <c r="T44" s="1133"/>
      <c r="U44" s="1133"/>
      <c r="V44" s="848"/>
      <c r="W44" s="1122"/>
      <c r="X44" s="310"/>
      <c r="IR44"/>
      <c r="IS44"/>
      <c r="IU44" s="113"/>
      <c r="IV44" s="113"/>
    </row>
    <row r="45" spans="1:256" x14ac:dyDescent="0.25">
      <c r="A45" s="310"/>
      <c r="B45" s="1797"/>
      <c r="C45" s="1133"/>
      <c r="D45" s="1133"/>
      <c r="E45" s="1133"/>
      <c r="F45" s="1133"/>
      <c r="G45" s="1133"/>
      <c r="H45" s="1133"/>
      <c r="I45" s="1133"/>
      <c r="J45" s="1133"/>
      <c r="K45" s="1133"/>
      <c r="L45" s="1133"/>
      <c r="M45" s="1133"/>
      <c r="N45" s="1133"/>
      <c r="O45" s="1133"/>
      <c r="P45" s="1133"/>
      <c r="Q45" s="1133"/>
      <c r="R45" s="1133"/>
      <c r="S45" s="1133"/>
      <c r="T45" s="1133"/>
      <c r="U45" s="1133"/>
      <c r="V45" s="848"/>
      <c r="W45" s="1122"/>
      <c r="X45" s="310"/>
      <c r="IR45"/>
      <c r="IS45"/>
      <c r="IU45" s="113"/>
      <c r="IV45" s="113"/>
    </row>
    <row r="46" spans="1:256" ht="16.5" customHeight="1" x14ac:dyDescent="0.25">
      <c r="A46" s="310"/>
      <c r="B46" s="1797"/>
      <c r="C46" s="1133"/>
      <c r="D46" s="1133"/>
      <c r="E46" s="1133"/>
      <c r="F46" s="1133"/>
      <c r="G46" s="1133"/>
      <c r="H46" s="1133"/>
      <c r="I46" s="1133"/>
      <c r="J46" s="1133"/>
      <c r="K46" s="1133"/>
      <c r="L46" s="1133"/>
      <c r="M46" s="1133"/>
      <c r="N46" s="1133"/>
      <c r="O46" s="1133"/>
      <c r="P46" s="1133"/>
      <c r="Q46" s="1133"/>
      <c r="R46" s="1133"/>
      <c r="S46" s="1133"/>
      <c r="T46" s="1133"/>
      <c r="U46" s="1133"/>
      <c r="V46" s="848"/>
      <c r="W46" s="1122"/>
      <c r="X46" s="310"/>
      <c r="IR46"/>
      <c r="IS46"/>
      <c r="IU46" s="113"/>
      <c r="IV46" s="113"/>
    </row>
    <row r="47" spans="1:256" x14ac:dyDescent="0.25">
      <c r="A47" s="310"/>
      <c r="B47" s="1797"/>
      <c r="C47" s="1133"/>
      <c r="D47" s="3943" t="s">
        <v>8911</v>
      </c>
      <c r="E47" s="3944"/>
      <c r="F47" s="3944"/>
      <c r="G47" s="3944"/>
      <c r="H47" s="3944"/>
      <c r="I47" s="3944"/>
      <c r="J47" s="3944"/>
      <c r="K47" s="3944"/>
      <c r="L47" s="3945"/>
      <c r="M47" s="1133"/>
      <c r="N47" s="1133"/>
      <c r="O47" s="1133"/>
      <c r="P47" s="1133"/>
      <c r="Q47" s="1133"/>
      <c r="R47" s="1133"/>
      <c r="S47" s="1133"/>
      <c r="T47" s="1133"/>
      <c r="U47" s="1133"/>
      <c r="V47" s="848"/>
      <c r="W47" s="1122"/>
      <c r="X47" s="310"/>
      <c r="IR47"/>
      <c r="IS47"/>
      <c r="IU47" s="113"/>
      <c r="IV47" s="113"/>
    </row>
    <row r="48" spans="1:256" x14ac:dyDescent="0.25">
      <c r="A48" s="310"/>
      <c r="B48" s="1797"/>
      <c r="C48" s="1133"/>
      <c r="D48" s="1133"/>
      <c r="E48" s="1133"/>
      <c r="F48" s="1133"/>
      <c r="G48" s="1133"/>
      <c r="H48" s="1133"/>
      <c r="I48" s="1133"/>
      <c r="J48" s="1133"/>
      <c r="K48" s="1133"/>
      <c r="L48" s="1133"/>
      <c r="M48" s="1133"/>
      <c r="N48" s="1133"/>
      <c r="O48" s="1133"/>
      <c r="P48" s="1133"/>
      <c r="Q48" s="1133"/>
      <c r="R48" s="1133"/>
      <c r="S48" s="1133"/>
      <c r="T48" s="1133"/>
      <c r="U48" s="1133"/>
      <c r="V48" s="848"/>
      <c r="W48" s="1122"/>
      <c r="X48" s="310"/>
      <c r="IR48"/>
      <c r="IS48"/>
      <c r="IU48" s="113"/>
      <c r="IV48" s="113"/>
    </row>
    <row r="49" spans="1:256" ht="15" customHeight="1" x14ac:dyDescent="0.25">
      <c r="A49" s="310"/>
      <c r="B49" s="1797"/>
      <c r="C49" s="397" t="s">
        <v>8417</v>
      </c>
      <c r="D49" s="3841" t="s">
        <v>12678</v>
      </c>
      <c r="E49" s="3842"/>
      <c r="F49" s="3842"/>
      <c r="G49" s="3842"/>
      <c r="H49" s="3842"/>
      <c r="I49" s="3842"/>
      <c r="J49" s="3842"/>
      <c r="K49" s="3946"/>
      <c r="L49" s="1065"/>
      <c r="M49" s="1133"/>
      <c r="N49" s="1133"/>
      <c r="O49" s="1133"/>
      <c r="P49" s="1133"/>
      <c r="Q49" s="1133"/>
      <c r="R49" s="1133"/>
      <c r="S49" s="1133"/>
      <c r="T49" s="1133"/>
      <c r="U49" s="1133"/>
      <c r="V49" s="848"/>
      <c r="W49" s="1122"/>
      <c r="X49" s="310"/>
      <c r="IR49"/>
      <c r="IS49"/>
      <c r="IU49" s="113"/>
      <c r="IV49" s="113"/>
    </row>
    <row r="50" spans="1:256" s="117" customFormat="1" ht="15" hidden="1" customHeight="1" x14ac:dyDescent="0.25">
      <c r="A50" s="354"/>
      <c r="B50" s="1801"/>
      <c r="C50" s="392"/>
      <c r="D50" s="392"/>
      <c r="E50" s="984"/>
      <c r="F50" s="392"/>
      <c r="G50" s="392"/>
      <c r="H50" s="392"/>
      <c r="I50" s="392"/>
      <c r="J50" s="392"/>
      <c r="K50" s="398"/>
      <c r="L50" s="1133"/>
      <c r="M50" s="1133"/>
      <c r="N50" s="1133"/>
      <c r="O50" s="1133"/>
      <c r="P50" s="1133"/>
      <c r="Q50" s="1133"/>
      <c r="R50" s="1133"/>
      <c r="S50" s="1133"/>
      <c r="T50" s="1133"/>
      <c r="U50" s="1133"/>
      <c r="V50" s="1133"/>
      <c r="W50" s="1136"/>
      <c r="X50" s="354"/>
      <c r="IR50"/>
      <c r="IS50"/>
      <c r="IT50"/>
    </row>
    <row r="51" spans="1:256" ht="108.75" customHeight="1" x14ac:dyDescent="0.25">
      <c r="A51" s="310"/>
      <c r="B51" s="1797"/>
      <c r="C51" s="68"/>
      <c r="D51" s="2065" t="s">
        <v>11921</v>
      </c>
      <c r="E51" s="31" t="s">
        <v>1276</v>
      </c>
      <c r="F51" s="31" t="s">
        <v>1277</v>
      </c>
      <c r="G51" s="3263" t="s">
        <v>7282</v>
      </c>
      <c r="H51" s="3264"/>
      <c r="I51" s="401" t="s">
        <v>1278</v>
      </c>
      <c r="J51" s="31" t="s">
        <v>7965</v>
      </c>
      <c r="K51" s="31" t="s">
        <v>13280</v>
      </c>
      <c r="L51" s="1133"/>
      <c r="M51" s="1133"/>
      <c r="N51" s="1133"/>
      <c r="O51" s="1133"/>
      <c r="P51" s="1133"/>
      <c r="Q51" s="1133"/>
      <c r="R51" s="1133"/>
      <c r="S51" s="1133"/>
      <c r="T51" s="1133"/>
      <c r="U51" s="1133"/>
      <c r="V51" s="848"/>
      <c r="W51" s="1122"/>
      <c r="X51" s="310"/>
      <c r="IR51"/>
      <c r="IS51"/>
      <c r="IU51" s="113"/>
      <c r="IV51" s="113"/>
    </row>
    <row r="52" spans="1:256" ht="51" x14ac:dyDescent="0.25">
      <c r="A52" s="310"/>
      <c r="B52" s="1797"/>
      <c r="C52" s="207"/>
      <c r="D52" s="399" t="s">
        <v>1279</v>
      </c>
      <c r="E52" s="399" t="s">
        <v>6979</v>
      </c>
      <c r="F52" s="400" t="s">
        <v>1280</v>
      </c>
      <c r="G52" s="401" t="s">
        <v>7283</v>
      </c>
      <c r="H52" s="401" t="s">
        <v>8770</v>
      </c>
      <c r="I52" s="401" t="s">
        <v>1281</v>
      </c>
      <c r="J52" s="400" t="s">
        <v>1282</v>
      </c>
      <c r="K52" s="400" t="s">
        <v>1283</v>
      </c>
      <c r="L52" s="1133"/>
      <c r="M52" s="1133"/>
      <c r="N52" s="1133"/>
      <c r="O52" s="1133"/>
      <c r="P52" s="1133"/>
      <c r="Q52" s="1133"/>
      <c r="R52" s="1133"/>
      <c r="S52" s="1133"/>
      <c r="T52" s="1133"/>
      <c r="U52" s="1133"/>
      <c r="V52" s="848"/>
      <c r="W52" s="1122"/>
      <c r="X52" s="310"/>
      <c r="IR52"/>
      <c r="IS52"/>
      <c r="IU52" s="113"/>
      <c r="IV52" s="113"/>
    </row>
    <row r="53" spans="1:256" x14ac:dyDescent="0.25">
      <c r="A53" s="310"/>
      <c r="B53" s="1797"/>
      <c r="C53" s="207"/>
      <c r="D53" s="402">
        <v>1</v>
      </c>
      <c r="E53" s="1986"/>
      <c r="F53" s="1986"/>
      <c r="G53" s="2096" t="s">
        <v>12</v>
      </c>
      <c r="H53" s="2573"/>
      <c r="I53" s="2573"/>
      <c r="J53" s="2034"/>
      <c r="K53" s="1562">
        <f>MAX(0,H53+I53-J53)</f>
        <v>0</v>
      </c>
      <c r="L53" s="1133"/>
      <c r="M53" s="1133"/>
      <c r="N53" s="1133"/>
      <c r="O53" s="1133"/>
      <c r="P53" s="1133"/>
      <c r="Q53" s="1133"/>
      <c r="R53" s="1133"/>
      <c r="S53" s="1133"/>
      <c r="T53" s="1133"/>
      <c r="U53" s="1133"/>
      <c r="V53" s="848"/>
      <c r="W53" s="1122"/>
      <c r="X53" s="310"/>
      <c r="IR53"/>
      <c r="IS53"/>
      <c r="IU53" s="113"/>
      <c r="IV53" s="113"/>
    </row>
    <row r="54" spans="1:256" x14ac:dyDescent="0.25">
      <c r="A54" s="310"/>
      <c r="B54" s="1797"/>
      <c r="C54" s="207"/>
      <c r="D54" s="402">
        <f>D53+1</f>
        <v>2</v>
      </c>
      <c r="E54" s="1986"/>
      <c r="F54" s="1986"/>
      <c r="G54" s="1975" t="s">
        <v>12</v>
      </c>
      <c r="H54" s="2034"/>
      <c r="I54" s="2034"/>
      <c r="J54" s="2034"/>
      <c r="K54" s="1562">
        <f>MAX(0,H54+I54-J54)</f>
        <v>0</v>
      </c>
      <c r="L54" s="1133"/>
      <c r="M54" s="1133"/>
      <c r="N54" s="1133"/>
      <c r="O54" s="1133"/>
      <c r="P54" s="1133"/>
      <c r="Q54" s="1133"/>
      <c r="R54" s="1133"/>
      <c r="S54" s="1133"/>
      <c r="T54" s="1133"/>
      <c r="U54" s="1133"/>
      <c r="V54" s="848"/>
      <c r="W54" s="1122"/>
      <c r="X54" s="310"/>
      <c r="IR54"/>
      <c r="IS54"/>
      <c r="IU54" s="113"/>
      <c r="IV54" s="113"/>
    </row>
    <row r="55" spans="1:256" x14ac:dyDescent="0.25">
      <c r="A55" s="310"/>
      <c r="B55" s="1797"/>
      <c r="C55" s="207"/>
      <c r="D55" s="402">
        <f>D54+1</f>
        <v>3</v>
      </c>
      <c r="E55" s="1986"/>
      <c r="F55" s="1986"/>
      <c r="G55" s="1975" t="s">
        <v>12</v>
      </c>
      <c r="H55" s="2034"/>
      <c r="I55" s="2034"/>
      <c r="J55" s="2034"/>
      <c r="K55" s="1562">
        <f>MAX(0,H55+I55-J55)</f>
        <v>0</v>
      </c>
      <c r="L55" s="1133"/>
      <c r="M55" s="1133"/>
      <c r="N55" s="1133"/>
      <c r="O55" s="1133"/>
      <c r="P55" s="1133"/>
      <c r="Q55" s="1133"/>
      <c r="R55" s="1133"/>
      <c r="S55" s="1133"/>
      <c r="T55" s="1133"/>
      <c r="U55" s="1133"/>
      <c r="V55" s="848"/>
      <c r="W55" s="1122"/>
      <c r="X55" s="310"/>
      <c r="IR55"/>
      <c r="IS55"/>
      <c r="IU55" s="113"/>
      <c r="IV55" s="113"/>
    </row>
    <row r="56" spans="1:256" x14ac:dyDescent="0.25">
      <c r="A56" s="310"/>
      <c r="B56" s="1797"/>
      <c r="C56" s="208"/>
      <c r="D56" s="402">
        <f>D55+1</f>
        <v>4</v>
      </c>
      <c r="E56" s="1986"/>
      <c r="F56" s="1986"/>
      <c r="G56" s="1975" t="s">
        <v>12</v>
      </c>
      <c r="H56" s="2034"/>
      <c r="I56" s="2034"/>
      <c r="J56" s="4"/>
      <c r="K56" s="394">
        <f>MAX(0,H56+I56-J56)</f>
        <v>0</v>
      </c>
      <c r="L56" s="1133"/>
      <c r="M56" s="1133"/>
      <c r="N56" s="1133"/>
      <c r="O56" s="1133"/>
      <c r="P56" s="1133"/>
      <c r="Q56" s="1133"/>
      <c r="R56" s="1133"/>
      <c r="S56" s="1133"/>
      <c r="T56" s="1133"/>
      <c r="U56" s="1133"/>
      <c r="V56" s="848"/>
      <c r="W56" s="1122"/>
      <c r="X56" s="310"/>
      <c r="IR56"/>
      <c r="IS56"/>
      <c r="IU56" s="113"/>
      <c r="IV56" s="113"/>
    </row>
    <row r="57" spans="1:256" s="2229" customFormat="1" x14ac:dyDescent="0.25">
      <c r="A57" s="310"/>
      <c r="B57" s="1797"/>
      <c r="C57" s="208"/>
      <c r="D57" s="402">
        <f>D56+1</f>
        <v>5</v>
      </c>
      <c r="E57" s="1986"/>
      <c r="F57" s="1986"/>
      <c r="G57" s="1975" t="s">
        <v>12</v>
      </c>
      <c r="H57" s="2221"/>
      <c r="I57" s="2221"/>
      <c r="J57" s="4"/>
      <c r="K57" s="394">
        <f>MAX(0,H57+I57-J57)</f>
        <v>0</v>
      </c>
      <c r="L57" s="1133"/>
      <c r="M57" s="1133"/>
      <c r="N57" s="1133"/>
      <c r="O57" s="1133"/>
      <c r="P57" s="1133"/>
      <c r="Q57" s="1133"/>
      <c r="R57" s="1133"/>
      <c r="S57" s="1133"/>
      <c r="T57" s="1133"/>
      <c r="U57" s="1133"/>
      <c r="V57" s="848"/>
      <c r="W57" s="1122"/>
      <c r="X57" s="310"/>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c r="HV57" s="113"/>
      <c r="HW57" s="113"/>
      <c r="HX57" s="113"/>
      <c r="HY57" s="113"/>
      <c r="HZ57" s="113"/>
      <c r="IA57" s="113"/>
      <c r="IB57" s="113"/>
      <c r="IC57" s="113"/>
      <c r="ID57" s="113"/>
      <c r="IE57" s="113"/>
      <c r="IF57" s="113"/>
      <c r="IG57" s="113"/>
      <c r="IH57" s="113"/>
      <c r="II57" s="113"/>
      <c r="IJ57" s="113"/>
      <c r="IK57" s="113"/>
      <c r="IL57" s="113"/>
      <c r="IM57" s="113"/>
      <c r="IN57" s="113"/>
      <c r="IO57" s="113"/>
      <c r="IP57" s="113"/>
      <c r="IQ57" s="113"/>
      <c r="IU57" s="113"/>
      <c r="IV57" s="113"/>
    </row>
    <row r="58" spans="1:256" ht="12.75" customHeight="1" x14ac:dyDescent="0.25">
      <c r="A58" s="310"/>
      <c r="B58" s="1797"/>
      <c r="C58" s="392"/>
      <c r="D58" s="1133"/>
      <c r="E58" s="1133"/>
      <c r="F58" s="1133"/>
      <c r="G58" s="1133"/>
      <c r="H58" s="1133"/>
      <c r="I58" s="1133"/>
      <c r="J58" s="1133"/>
      <c r="K58" s="1133"/>
      <c r="L58" s="1133"/>
      <c r="M58" s="1133"/>
      <c r="N58" s="1133"/>
      <c r="O58" s="1133"/>
      <c r="P58" s="1133"/>
      <c r="Q58" s="1133"/>
      <c r="R58" s="1133"/>
      <c r="S58" s="1133"/>
      <c r="T58" s="1133"/>
      <c r="U58" s="1133"/>
      <c r="V58" s="848"/>
      <c r="W58" s="1122"/>
      <c r="X58" s="310"/>
      <c r="IR58"/>
      <c r="IS58"/>
      <c r="IU58" s="113"/>
      <c r="IV58" s="113"/>
    </row>
    <row r="59" spans="1:256" ht="12.75" customHeight="1" x14ac:dyDescent="0.25">
      <c r="A59" s="310"/>
      <c r="B59" s="1797"/>
      <c r="C59" s="392"/>
      <c r="D59" s="3947" t="s">
        <v>749</v>
      </c>
      <c r="E59" s="3948"/>
      <c r="F59" s="3948"/>
      <c r="G59" s="3948"/>
      <c r="H59" s="3948"/>
      <c r="I59" s="3949"/>
      <c r="J59" s="1955">
        <f>SUM(TCS.AmtTCSClaimedThisYear)</f>
        <v>0</v>
      </c>
      <c r="K59" s="404"/>
      <c r="L59" s="1133"/>
      <c r="M59" s="1133"/>
      <c r="N59" s="1133"/>
      <c r="O59" s="1133"/>
      <c r="P59" s="1133"/>
      <c r="Q59" s="1133"/>
      <c r="R59" s="1133"/>
      <c r="S59" s="1133"/>
      <c r="T59" s="1133"/>
      <c r="U59" s="1133"/>
      <c r="V59" s="848"/>
      <c r="W59" s="1122"/>
      <c r="X59" s="310"/>
      <c r="IR59"/>
      <c r="IS59"/>
      <c r="IU59" s="113"/>
      <c r="IV59" s="113"/>
    </row>
    <row r="60" spans="1:256" x14ac:dyDescent="0.25">
      <c r="A60" s="310"/>
      <c r="B60" s="1797"/>
      <c r="C60" s="1133"/>
      <c r="D60" s="3309"/>
      <c r="E60" s="3309"/>
      <c r="F60" s="1133"/>
      <c r="G60" s="1133"/>
      <c r="H60" s="1133"/>
      <c r="I60" s="1133"/>
      <c r="J60" s="1133"/>
      <c r="K60" s="1133"/>
      <c r="L60" s="1133"/>
      <c r="M60" s="1133"/>
      <c r="N60" s="1133"/>
      <c r="O60" s="1133"/>
      <c r="P60" s="1133"/>
      <c r="Q60" s="1133"/>
      <c r="R60" s="1133"/>
      <c r="S60" s="1133"/>
      <c r="T60" s="1133"/>
      <c r="U60" s="1133"/>
      <c r="V60" s="848"/>
      <c r="W60" s="1122"/>
      <c r="X60" s="310"/>
      <c r="IR60"/>
      <c r="IS60"/>
      <c r="IU60" s="113"/>
      <c r="IV60" s="113"/>
    </row>
    <row r="61" spans="1:256" ht="17.25" customHeight="1" x14ac:dyDescent="0.25">
      <c r="A61" s="310"/>
      <c r="B61" s="1797"/>
      <c r="C61" s="1133"/>
      <c r="D61" s="3309"/>
      <c r="E61" s="3309"/>
      <c r="F61" s="1133"/>
      <c r="G61" s="1133"/>
      <c r="H61" s="1133"/>
      <c r="I61" s="1133"/>
      <c r="J61" s="1133"/>
      <c r="K61" s="1133"/>
      <c r="L61" s="1133"/>
      <c r="M61" s="1133"/>
      <c r="N61" s="1133"/>
      <c r="O61" s="1133"/>
      <c r="P61" s="1133"/>
      <c r="Q61" s="1133"/>
      <c r="R61" s="1133"/>
      <c r="S61" s="1133"/>
      <c r="T61" s="1133"/>
      <c r="U61" s="1133"/>
      <c r="V61" s="848"/>
      <c r="W61" s="1122"/>
      <c r="X61" s="310"/>
      <c r="IR61"/>
      <c r="IS61"/>
      <c r="IU61" s="113"/>
      <c r="IV61" s="113"/>
    </row>
    <row r="62" spans="1:256" x14ac:dyDescent="0.25">
      <c r="A62" s="310"/>
      <c r="B62" s="1797"/>
      <c r="C62" s="1133"/>
      <c r="D62" s="3943" t="s">
        <v>9734</v>
      </c>
      <c r="E62" s="3944"/>
      <c r="F62" s="3944"/>
      <c r="G62" s="3944"/>
      <c r="H62" s="3944"/>
      <c r="I62" s="3944"/>
      <c r="J62" s="3945"/>
      <c r="K62" s="1133"/>
      <c r="L62" s="1133"/>
      <c r="M62" s="1133"/>
      <c r="N62" s="1133"/>
      <c r="O62" s="1133"/>
      <c r="P62" s="1133"/>
      <c r="Q62" s="1133"/>
      <c r="R62" s="1133"/>
      <c r="S62" s="1133"/>
      <c r="T62" s="1133"/>
      <c r="U62" s="1133"/>
      <c r="V62" s="848"/>
      <c r="W62" s="1122"/>
      <c r="X62" s="310"/>
      <c r="IR62"/>
      <c r="IS62"/>
      <c r="IU62" s="113"/>
      <c r="IV62" s="113"/>
    </row>
    <row r="63" spans="1:256" s="310" customFormat="1" ht="15" customHeight="1" thickBot="1" x14ac:dyDescent="0.3">
      <c r="B63" s="1824"/>
      <c r="C63" s="1841"/>
      <c r="D63" s="1909"/>
      <c r="E63" s="1909"/>
      <c r="F63" s="1909"/>
      <c r="G63" s="1909"/>
      <c r="H63" s="1909"/>
      <c r="I63" s="1909"/>
      <c r="J63" s="1909"/>
      <c r="K63" s="1909"/>
      <c r="L63" s="1909"/>
      <c r="M63" s="1909"/>
      <c r="N63" s="1909"/>
      <c r="O63" s="1909"/>
      <c r="P63" s="1909"/>
      <c r="Q63" s="1909"/>
      <c r="R63" s="1909"/>
      <c r="S63" s="1841"/>
      <c r="T63" s="1841"/>
      <c r="U63" s="1841"/>
      <c r="V63" s="1144"/>
      <c r="W63" s="1156"/>
      <c r="IR63"/>
      <c r="IS63"/>
      <c r="IT63"/>
    </row>
    <row r="64" spans="1:256" x14ac:dyDescent="0.25">
      <c r="A64" s="310"/>
      <c r="B64" s="848"/>
      <c r="C64" s="1133"/>
      <c r="D64" s="1133"/>
      <c r="E64" s="1133"/>
      <c r="F64" s="1133"/>
      <c r="G64" s="1133"/>
      <c r="H64" s="1133"/>
      <c r="I64" s="1133"/>
      <c r="J64" s="1133"/>
      <c r="K64" s="1133"/>
      <c r="L64" s="1133"/>
      <c r="M64" s="1133"/>
      <c r="N64" s="1133"/>
      <c r="O64" s="848"/>
      <c r="P64" s="848"/>
      <c r="Q64" s="848"/>
      <c r="R64" s="848"/>
      <c r="S64" s="848"/>
      <c r="T64" s="848"/>
      <c r="U64" s="848"/>
      <c r="V64" s="310"/>
      <c r="W64" s="310"/>
      <c r="X64" s="310"/>
      <c r="IR64"/>
      <c r="IS64"/>
      <c r="IU64" s="113"/>
      <c r="IV64" s="113"/>
    </row>
    <row r="65" spans="1:21" hidden="1" x14ac:dyDescent="0.25">
      <c r="A65" s="310"/>
      <c r="B65" s="310"/>
      <c r="C65" s="354"/>
      <c r="D65" s="354"/>
      <c r="E65" s="354"/>
      <c r="F65" s="354"/>
      <c r="G65" s="354"/>
      <c r="H65" s="354"/>
      <c r="I65" s="354"/>
      <c r="J65" s="354"/>
      <c r="K65" s="354"/>
      <c r="L65" s="354"/>
      <c r="M65" s="354"/>
      <c r="N65" s="354"/>
      <c r="O65" s="310"/>
      <c r="P65" s="310"/>
      <c r="Q65" s="310"/>
      <c r="R65" s="310"/>
      <c r="S65" s="310"/>
      <c r="T65" s="310"/>
      <c r="U65" s="310"/>
    </row>
    <row r="66" spans="1:21" hidden="1" x14ac:dyDescent="0.25">
      <c r="A66" s="310"/>
    </row>
    <row r="67" spans="1:21" hidden="1" x14ac:dyDescent="0.25">
      <c r="A67" s="310"/>
    </row>
    <row r="68" spans="1:21" hidden="1" x14ac:dyDescent="0.25">
      <c r="A68" s="310"/>
    </row>
    <row r="69" spans="1:21" hidden="1" x14ac:dyDescent="0.25">
      <c r="A69" s="310"/>
    </row>
    <row r="70" spans="1:21" hidden="1" x14ac:dyDescent="0.25">
      <c r="A70" s="310"/>
    </row>
    <row r="71" spans="1:21" hidden="1" x14ac:dyDescent="0.25">
      <c r="A71" s="310"/>
    </row>
    <row r="72" spans="1:21" hidden="1" x14ac:dyDescent="0.25">
      <c r="A72" s="310"/>
    </row>
  </sheetData>
  <sheetProtection algorithmName="SHA-512" hashValue="S9Us4rFttU5k/3kmvpWTSKjIqOZiRJuc+V+OxFt9YSa0C8LLZ5MVo4zOAL7s0HGVIBZiId203RuXyc59v0mQ0w==" saltValue="s6t2oCaAtSe7r2A/X1XC4w==" spinCount="100000" sheet="1" objects="1" scenarios="1"/>
  <mergeCells count="31">
    <mergeCell ref="D47:L47"/>
    <mergeCell ref="D4:H4"/>
    <mergeCell ref="I20:J20"/>
    <mergeCell ref="D14:E15"/>
    <mergeCell ref="D16:K16"/>
    <mergeCell ref="D44:N44"/>
    <mergeCell ref="D29:M29"/>
    <mergeCell ref="M37:N37"/>
    <mergeCell ref="L36:N36"/>
    <mergeCell ref="L21:M21"/>
    <mergeCell ref="K20:M20"/>
    <mergeCell ref="N20:R20"/>
    <mergeCell ref="J36:K36"/>
    <mergeCell ref="D34:V34"/>
    <mergeCell ref="D35:V35"/>
    <mergeCell ref="T36:U36"/>
    <mergeCell ref="D49:K49"/>
    <mergeCell ref="D62:J62"/>
    <mergeCell ref="D60:E61"/>
    <mergeCell ref="D59:I59"/>
    <mergeCell ref="G51:H51"/>
    <mergeCell ref="V36:V37"/>
    <mergeCell ref="I36:I37"/>
    <mergeCell ref="G36:G37"/>
    <mergeCell ref="D19:U19"/>
    <mergeCell ref="O36:S36"/>
    <mergeCell ref="P37:S37"/>
    <mergeCell ref="O21:R21"/>
    <mergeCell ref="D30:E31"/>
    <mergeCell ref="D32:K32"/>
    <mergeCell ref="S20:T20"/>
  </mergeCells>
  <dataValidations count="42">
    <dataValidation type="textLength" operator="equal" allowBlank="1" showErrorMessage="1" errorTitle="TAN" error="TAN  is invalid. First 4 alphabets, next 5 digits, then alphabet" sqref="E28:F28 E8:E12 E53:E58 H23:H27">
      <formula1>10</formula1>
    </dataValidation>
    <dataValidation type="textLength" operator="lessThanOrEqual" allowBlank="1" showErrorMessage="1" errorTitle="EmployerOrDeductorOrCollecterNam" error="EmployerOrDeductorOrCollecterNam  should not exceed 125 characters " sqref="F8:F13 F53:F58">
      <formula1>125</formula1>
    </dataValidation>
    <dataValidation type="textLength" operator="lessThanOrEqual" allowBlank="1" showErrorMessage="1" errorTitle="EmployerOrDeductorOrCollecterNam" error="EmployerOrDeductorOrCollecterName  should not exceed 125 characters " sqref="G43 G28">
      <formula1>125</formula1>
    </dataValidation>
    <dataValidation type="whole" allowBlank="1" showErrorMessage="1" errorTitle="Deducted Year" error="Do not enter future years.Enter 2014 when TDS made during the financial year 2014-15" sqref="G58">
      <formula1>1000</formula1>
      <formula2>2014</formula2>
    </dataValidation>
    <dataValidation type="whole" allowBlank="1" showErrorMessage="1" error="Non negative, no decimal, upto 99,999,999,999,999" sqref="H28:J28 H43 J43 N29 H53:I58 J53:J59">
      <formula1>0</formula1>
      <formula2>99999999999999</formula2>
    </dataValidation>
    <dataValidation type="whole" allowBlank="1" showInputMessage="1" showErrorMessage="1" error="Non negative, no decimal, upto 99,999,999,999,999" sqref="K43 K28">
      <formula1>0</formula1>
      <formula2>99999999999999</formula2>
    </dataValidation>
    <dataValidation operator="equal" allowBlank="1" showErrorMessage="1" errorTitle="TAN" error="TAN  is invalid. First 4 alphabets, next 5 digits, then alphabet" sqref="E13 D29 D59"/>
    <dataValidation type="whole" allowBlank="1" showErrorMessage="1" errorTitle="ClaimOutOfTotTDSOnAmtPaid" error="ClaimOutOfTotTDSOnAmtPaid  Non negative, no decimal, upto 99,999,999,999,999_x000a__x000a_(5) cannot be greater than (4)" sqref="K53:K59">
      <formula1>0</formula1>
      <formula2>99999999999999</formula2>
    </dataValidation>
    <dataValidation type="whole" allowBlank="1" showErrorMessage="1" errorTitle="TotalTDSSal" error="TotalTDSSal  Non negative, no decimal, upto 99,999,999,999,999" sqref="H12:H13">
      <formula1>0</formula1>
      <formula2>99999999999999</formula2>
    </dataValidation>
    <dataValidation type="whole" allowBlank="1" showErrorMessage="1" errorTitle="IncChrgSal" error="IncChrgSal  Non negative, no decimal, upto 99,999,999,999,999" sqref="G12:G13">
      <formula1>0</formula1>
      <formula2>99999999999999</formula2>
    </dataValidation>
    <dataValidation type="list" allowBlank="1" showErrorMessage="1" errorTitle="Deducted Year" error="Please select from the list" sqref="J39:J42 I23:I27">
      <formula1>"(Select),2020,2019,2018,2017,2016,2015,2014,2013,2012,2011,2010,2009,2008"</formula1>
    </dataValidation>
    <dataValidation type="list" allowBlank="1" showErrorMessage="1" errorTitle="Deducted Year" error="Please Select from the list" sqref="G53:G57">
      <formula1>"(Select),2020,2019,2018,2017,2016,2015,2014,2013,2012,2011,2010,2009,2008"</formula1>
    </dataValidation>
    <dataValidation type="whole" allowBlank="1" showErrorMessage="1" error="Non negative, no decimal, upto 99,999,999,999,999" sqref="L28">
      <formula1>0</formula1>
      <formula2>H28+I28</formula2>
    </dataValidation>
    <dataValidation type="whole" allowBlank="1" showErrorMessage="1" error="Non negative, no decimal, upto 99,999,999,999,999" sqref="U23:U27">
      <formula1>0</formula1>
      <formula2>J23+M23</formula2>
    </dataValidation>
    <dataValidation type="whole" allowBlank="1" showErrorMessage="1" error="Non negative, no decimal, upto 14 digits" sqref="I43">
      <formula1>0</formula1>
      <formula2>99999999999999</formula2>
    </dataValidation>
    <dataValidation type="list" allowBlank="1" showInputMessage="1" showErrorMessage="1" errorTitle="Tds credit in the name of" error="Please select from the list" sqref="E23:E27">
      <formula1>"(Select),Self,Other Person"</formula1>
    </dataValidation>
    <dataValidation type="textLength" operator="equal" allowBlank="1" showErrorMessage="1" errorTitle="PAN" error="PAN  is invalid. First 5 alphabets, next 4 digits, then alphabet" sqref="H39:H42 E43:F43">
      <formula1>10</formula1>
    </dataValidation>
    <dataValidation type="list" allowBlank="1" showInputMessage="1" showErrorMessage="1" errorTitle="TDS Credit in the name of " error="Please select from the list" sqref="E39:E42">
      <formula1>"(Select),Self,Other Person"</formula1>
    </dataValidation>
    <dataValidation type="whole" allowBlank="1" showErrorMessage="1" errorTitle="Amount b/f" error="Amount b/f should be Numeric ,Non negative, no decimal, upto 99,999,999,999,999" sqref="J23:J27">
      <formula1>0</formula1>
      <formula2>99999999999999</formula2>
    </dataValidation>
    <dataValidation type="whole" allowBlank="1" showErrorMessage="1" error="Deducted in own hands should be Numeric ,Non negative, no decimal, upto 99,999,999,999,999" sqref="K23:K27">
      <formula1>0</formula1>
      <formula2>99999999999999</formula2>
    </dataValidation>
    <dataValidation type="whole" allowBlank="1" showErrorMessage="1" errorTitle="Deducted Income" error="Deducted Income should be Numeric ,Non negative, no decimal, upto 99,999,999,999,999" sqref="L23:L27">
      <formula1>0</formula1>
      <formula2>99999999999999</formula2>
    </dataValidation>
    <dataValidation type="whole" allowBlank="1" showErrorMessage="1" errorTitle="Deducted TDS" error="Deducted TDS should be Numeric ,Non negative, no decimal, upto 99,999,999,999,999" sqref="M23:M27">
      <formula1>0</formula1>
      <formula2>99999999999999</formula2>
    </dataValidation>
    <dataValidation type="whole" allowBlank="1" showErrorMessage="1" errorTitle="Claimed in own hands" error="Claimed in own hands should be Numeric ,Non negative, no decimal, upto 99,999,999,999,999" sqref="N23:N27">
      <formula1>0</formula1>
      <formula2>99999999999999</formula2>
    </dataValidation>
    <dataValidation type="whole" allowBlank="1" showErrorMessage="1" errorTitle="Claimed Income" error="Claimed income should be Numeric,Non negative, no decimal, upto 99,999,999,999,999" sqref="O23:O27">
      <formula1>0</formula1>
      <formula2>99999999999999</formula2>
    </dataValidation>
    <dataValidation type="whole" allowBlank="1" showInputMessage="1" showErrorMessage="1" errorTitle="Claimed TDS" error="Claimed TDS should be Numeric,Non negative, no decimal, upto 99,999,999,999,999" sqref="P23:P27">
      <formula1>0</formula1>
      <formula2>99999999999999</formula2>
    </dataValidation>
    <dataValidation type="textLength" operator="equal" allowBlank="1" showInputMessage="1" showErrorMessage="1" errorTitle="PAN" error="PAN  is invalid. First 5 alphabets, next 4 digits, then alphabet" sqref="Q23:Q27">
      <formula1>10</formula1>
    </dataValidation>
    <dataValidation type="whole" allowBlank="1" showErrorMessage="1" errorTitle="IncChrgSal" error="IncChrgSa should be Numeric,l  Non negative, no decimal, upto 99,999,999,999,999" sqref="G8:G11">
      <formula1>0</formula1>
      <formula2>99999999999999</formula2>
    </dataValidation>
    <dataValidation type="whole" allowBlank="1" showErrorMessage="1" errorTitle="TotalTDSSal" error="Total TDS Sa should beNumeric,l  Non negative, no decimal, upto 99,999,999,999,999" sqref="H8:H11">
      <formula1>0</formula1>
      <formula2>99999999999999</formula2>
    </dataValidation>
    <dataValidation type="whole" allowBlank="1" showErrorMessage="1" errorTitle="Amount b/f" error="Amount b/f should be Numeric,Non negative, no decimal, upto 99,999,999,999,999" sqref="K39:K42">
      <formula1>0</formula1>
      <formula2>99999999999999</formula2>
    </dataValidation>
    <dataValidation type="whole" allowBlank="1" showErrorMessage="1" errorTitle="Deducted in own hands" error="Deducted in own hands should be Numeric,Non negative, no decimal, upto 99,999,999,999,999" sqref="L39:L42">
      <formula1>0</formula1>
      <formula2>99999999999999</formula2>
    </dataValidation>
    <dataValidation type="whole" allowBlank="1" showErrorMessage="1" errorTitle="Deducted Income" error="Deducted Income should be Numeric,Non negative, no decimal, upto 99,999,999,999,999" sqref="M39:M42">
      <formula1>0</formula1>
      <formula2>99999999999999</formula2>
    </dataValidation>
    <dataValidation type="whole" allowBlank="1" showErrorMessage="1" errorTitle="Deducted TDS" error="Deducted TDS should be Numeric,Non negative, no decimal, upto 99,999,999,999,999" sqref="N39:N42">
      <formula1>0</formula1>
      <formula2>99999999999999</formula2>
    </dataValidation>
    <dataValidation type="whole" allowBlank="1" showErrorMessage="1" errorTitle="Claimed in own hands" error="Claimed in own hands should be Numeric,Non negative, no decimal, upto 99,999,999,999,999" sqref="O39:O42">
      <formula1>0</formula1>
      <formula2>99999999999999</formula2>
    </dataValidation>
    <dataValidation type="whole" allowBlank="1" showErrorMessage="1" errorTitle="Claimed Income" error="Claimed Income should be Numeric,Non negative, no decimal, upto 99,999,999,999,999" sqref="P39:P42">
      <formula1>0</formula1>
      <formula2>99999999999999</formula2>
    </dataValidation>
    <dataValidation type="whole" allowBlank="1" showInputMessage="1" showErrorMessage="1" errorTitle="Claimed TDS " error="Claimed TDS should be Numeric,Non negative, no decimal, upto 99,999,999,999,999" sqref="Q39:Q42">
      <formula1>0</formula1>
      <formula2>99999999999999</formula2>
    </dataValidation>
    <dataValidation type="textLength" operator="equal" allowBlank="1" showInputMessage="1" showErrorMessage="1" errorTitle="PAN" error="PAN is invalid.First 5 Alphabets,then 4 Numeric and 1 alphabet" sqref="R39:R42">
      <formula1>10</formula1>
    </dataValidation>
    <dataValidation type="textLength" operator="equal" allowBlank="1" showInputMessage="1" showErrorMessage="1" errorTitle="PAN Of other Person" error="PAN Of other Person  is invalid. First 5 alphabets, next 4 digits, then alphabet" sqref="F39:F42 F23:F27">
      <formula1>10</formula1>
    </dataValidation>
    <dataValidation type="whole" allowBlank="1" showInputMessage="1" showErrorMessage="1" errorTitle="Gross Amount" error="Gross Amount should be Numeric,Non negative, no decimal, upto 99,999,999,999,999" sqref="T39:T42 S23:S27">
      <formula1>0</formula1>
      <formula2>99999999999999</formula2>
    </dataValidation>
    <dataValidation type="list" operator="equal" allowBlank="1" showInputMessage="1" showErrorMessage="1" errorTitle="PAN" error="PAN  is invalid. First 5 alphabets, next 4 digits, then alphabet" sqref="T23:T27">
      <formula1>Dropdown_HeadOfIncome</formula1>
    </dataValidation>
    <dataValidation type="textLength" operator="equal" allowBlank="1" showInputMessage="1" showErrorMessage="1" errorTitle="Aadhar" error="Please enter valid 12 digits Aadhaar number" sqref="R23:R27 S39:S42 G23:G27 G39:G42">
      <formula1>12</formula1>
    </dataValidation>
    <dataValidation type="textLength" operator="equal" allowBlank="1" showInputMessage="1" showErrorMessage="1" error="Please enteer valid Aadhaar Number" sqref="I39:I42">
      <formula1>12</formula1>
    </dataValidation>
    <dataValidation type="list" operator="equal" allowBlank="1" showInputMessage="1" showErrorMessage="1" errorTitle="PAN" error="PAN  is invalid. First 5 alphabets, next 4 digits, then alphabet" sqref="U39:U42">
      <formula1>Dropdown_HeadOfIncome_Tds3</formula1>
    </dataValidation>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9971" r:id="rId5" name="Button 35">
              <controlPr defaultSize="0" print="0" autoFill="0" autoPict="0" macro="[0]!Cmd_Validate_TDS_Click">
                <anchor>
                  <from>
                    <xdr:col>8</xdr:col>
                    <xdr:colOff>247650</xdr:colOff>
                    <xdr:row>5</xdr:row>
                    <xdr:rowOff>142875</xdr:rowOff>
                  </from>
                  <to>
                    <xdr:col>9</xdr:col>
                    <xdr:colOff>409575</xdr:colOff>
                    <xdr:row>5</xdr:row>
                    <xdr:rowOff>419100</xdr:rowOff>
                  </to>
                </anchor>
              </controlPr>
            </control>
          </mc:Choice>
        </mc:AlternateContent>
        <mc:AlternateContent xmlns:mc="http://schemas.openxmlformats.org/markup-compatibility/2006">
          <mc:Choice Requires="x14">
            <control shapeId="39972" r:id="rId6" name="Button 36">
              <controlPr defaultSize="0" print="0" autoFill="0" autoPict="0" macro="[0]!Cmd_AddRows_TDS1_Click">
                <anchor moveWithCells="1">
                  <from>
                    <xdr:col>3</xdr:col>
                    <xdr:colOff>0</xdr:colOff>
                    <xdr:row>13</xdr:row>
                    <xdr:rowOff>38100</xdr:rowOff>
                  </from>
                  <to>
                    <xdr:col>4</xdr:col>
                    <xdr:colOff>628650</xdr:colOff>
                    <xdr:row>14</xdr:row>
                    <xdr:rowOff>133350</xdr:rowOff>
                  </to>
                </anchor>
              </controlPr>
            </control>
          </mc:Choice>
        </mc:AlternateContent>
        <mc:AlternateContent xmlns:mc="http://schemas.openxmlformats.org/markup-compatibility/2006">
          <mc:Choice Requires="x14">
            <control shapeId="39973" r:id="rId7" name="Button 37">
              <controlPr defaultSize="0" print="0" autoFill="0" autoPict="0" macro="[0]!Cmd_AddRows_TDS2_Click">
                <anchor moveWithCells="1">
                  <from>
                    <xdr:col>3</xdr:col>
                    <xdr:colOff>0</xdr:colOff>
                    <xdr:row>29</xdr:row>
                    <xdr:rowOff>38100</xdr:rowOff>
                  </from>
                  <to>
                    <xdr:col>4</xdr:col>
                    <xdr:colOff>628650</xdr:colOff>
                    <xdr:row>30</xdr:row>
                    <xdr:rowOff>133350</xdr:rowOff>
                  </to>
                </anchor>
              </controlPr>
            </control>
          </mc:Choice>
        </mc:AlternateContent>
        <mc:AlternateContent xmlns:mc="http://schemas.openxmlformats.org/markup-compatibility/2006">
          <mc:Choice Requires="x14">
            <control shapeId="39974" r:id="rId8" name="Button 38">
              <controlPr defaultSize="0" print="0" autoFill="0" autoPict="0" macro="[0]!Cmd_AddRows_TCS_Click">
                <anchor moveWithCells="1">
                  <from>
                    <xdr:col>3</xdr:col>
                    <xdr:colOff>0</xdr:colOff>
                    <xdr:row>59</xdr:row>
                    <xdr:rowOff>38100</xdr:rowOff>
                  </from>
                  <to>
                    <xdr:col>4</xdr:col>
                    <xdr:colOff>628650</xdr:colOff>
                    <xdr:row>60</xdr:row>
                    <xdr:rowOff>133350</xdr:rowOff>
                  </to>
                </anchor>
              </controlPr>
            </control>
          </mc:Choice>
        </mc:AlternateContent>
        <mc:AlternateContent xmlns:mc="http://schemas.openxmlformats.org/markup-compatibility/2006">
          <mc:Choice Requires="x14">
            <control shapeId="39975" r:id="rId9" name="Button 39">
              <controlPr defaultSize="0" print="0" autoFill="0" autoPict="0" macro="[0]!Cmd_AddRows_TDS3_Click">
                <anchor moveWithCells="1">
                  <from>
                    <xdr:col>3</xdr:col>
                    <xdr:colOff>0</xdr:colOff>
                    <xdr:row>44</xdr:row>
                    <xdr:rowOff>38100</xdr:rowOff>
                  </from>
                  <to>
                    <xdr:col>4</xdr:col>
                    <xdr:colOff>628650</xdr:colOff>
                    <xdr:row>45</xdr:row>
                    <xdr:rowOff>133350</xdr:rowOff>
                  </to>
                </anchor>
              </controlPr>
            </control>
          </mc:Choice>
        </mc:AlternateContent>
        <mc:AlternateContent xmlns:mc="http://schemas.openxmlformats.org/markup-compatibility/2006">
          <mc:Choice Requires="x14">
            <control shapeId="39977" r:id="rId10" name="Button 41">
              <controlPr defaultSize="0" print="0" autoFill="0" autoPict="0" macro="[0]!Prev_Sheet">
                <anchor>
                  <from>
                    <xdr:col>8</xdr:col>
                    <xdr:colOff>247650</xdr:colOff>
                    <xdr:row>6</xdr:row>
                    <xdr:rowOff>0</xdr:rowOff>
                  </from>
                  <to>
                    <xdr:col>9</xdr:col>
                    <xdr:colOff>409575</xdr:colOff>
                    <xdr:row>7</xdr:row>
                    <xdr:rowOff>95250</xdr:rowOff>
                  </to>
                </anchor>
              </controlPr>
            </control>
          </mc:Choice>
        </mc:AlternateContent>
        <mc:AlternateContent xmlns:mc="http://schemas.openxmlformats.org/markup-compatibility/2006">
          <mc:Choice Requires="x14">
            <control shapeId="39978" r:id="rId11" name="Button 42">
              <controlPr defaultSize="0" print="0" autoFill="0" autoPict="0" macro="[0]!Img_Home_Click">
                <anchor>
                  <from>
                    <xdr:col>8</xdr:col>
                    <xdr:colOff>247650</xdr:colOff>
                    <xdr:row>3</xdr:row>
                    <xdr:rowOff>66675</xdr:rowOff>
                  </from>
                  <to>
                    <xdr:col>9</xdr:col>
                    <xdr:colOff>409575</xdr:colOff>
                    <xdr:row>5</xdr:row>
                    <xdr:rowOff>133350</xdr:rowOff>
                  </to>
                </anchor>
              </controlPr>
            </control>
          </mc:Choice>
        </mc:AlternateContent>
        <mc:AlternateContent xmlns:mc="http://schemas.openxmlformats.org/markup-compatibility/2006">
          <mc:Choice Requires="x14">
            <control shapeId="39980" r:id="rId12" name="Button 44">
              <controlPr defaultSize="0" print="0" autoFill="0" autoPict="0" macro="[0]!Instruction_Sheet">
                <anchor>
                  <from>
                    <xdr:col>8</xdr:col>
                    <xdr:colOff>247650</xdr:colOff>
                    <xdr:row>10</xdr:row>
                    <xdr:rowOff>133350</xdr:rowOff>
                  </from>
                  <to>
                    <xdr:col>9</xdr:col>
                    <xdr:colOff>409575</xdr:colOff>
                    <xdr:row>12</xdr:row>
                    <xdr:rowOff>19050</xdr:rowOff>
                  </to>
                </anchor>
              </controlPr>
            </control>
          </mc:Choice>
        </mc:AlternateContent>
        <mc:AlternateContent xmlns:mc="http://schemas.openxmlformats.org/markup-compatibility/2006">
          <mc:Choice Requires="x14">
            <control shapeId="39981" r:id="rId13" name="Button 45">
              <controlPr defaultSize="0" print="0" autoFill="0" autoPict="0" macro="[0]!WorksheetsPrint">
                <anchor>
                  <from>
                    <xdr:col>8</xdr:col>
                    <xdr:colOff>247650</xdr:colOff>
                    <xdr:row>9</xdr:row>
                    <xdr:rowOff>19050</xdr:rowOff>
                  </from>
                  <to>
                    <xdr:col>9</xdr:col>
                    <xdr:colOff>409575</xdr:colOff>
                    <xdr:row>10</xdr:row>
                    <xdr:rowOff>104775</xdr:rowOff>
                  </to>
                </anchor>
              </controlPr>
            </control>
          </mc:Choice>
        </mc:AlternateContent>
        <mc:AlternateContent xmlns:mc="http://schemas.openxmlformats.org/markup-compatibility/2006">
          <mc:Choice Requires="x14">
            <control shapeId="39982" r:id="rId14" name="Button 46">
              <controlPr defaultSize="0" print="0" autoFill="0" autoPict="0" macro="[0]!GenerateJSON.GenerateJSON">
                <anchor>
                  <from>
                    <xdr:col>8</xdr:col>
                    <xdr:colOff>247650</xdr:colOff>
                    <xdr:row>7</xdr:row>
                    <xdr:rowOff>104775</xdr:rowOff>
                  </from>
                  <to>
                    <xdr:col>9</xdr:col>
                    <xdr:colOff>409575</xdr:colOff>
                    <xdr:row>9</xdr:row>
                    <xdr:rowOff>0</xdr:rowOff>
                  </to>
                </anchor>
              </controlPr>
            </control>
          </mc:Choice>
        </mc:AlternateContent>
        <mc:AlternateContent xmlns:mc="http://schemas.openxmlformats.org/markup-compatibility/2006">
          <mc:Choice Requires="x14">
            <control shapeId="39983" r:id="rId15" name="Button 47">
              <controlPr defaultSize="0" print="0" autoFill="0" autoPict="0" macro="[0]!Next_Sheet">
                <anchor>
                  <from>
                    <xdr:col>8</xdr:col>
                    <xdr:colOff>247650</xdr:colOff>
                    <xdr:row>5</xdr:row>
                    <xdr:rowOff>438150</xdr:rowOff>
                  </from>
                  <to>
                    <xdr:col>9</xdr:col>
                    <xdr:colOff>409575</xdr:colOff>
                    <xdr:row>5</xdr:row>
                    <xdr:rowOff>714375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FC133"/>
  <sheetViews>
    <sheetView showGridLines="0" showRowColHeaders="0" topLeftCell="A97" zoomScaleNormal="100" workbookViewId="0">
      <selection activeCell="I115" sqref="I115"/>
    </sheetView>
  </sheetViews>
  <sheetFormatPr defaultColWidth="0" defaultRowHeight="0" customHeight="1" zeroHeight="1" x14ac:dyDescent="0.25"/>
  <cols>
    <col min="1" max="1" width="3.85546875" style="113" customWidth="1"/>
    <col min="2" max="2" width="4.28515625" style="113" customWidth="1"/>
    <col min="3" max="3" width="4.5703125" style="113" customWidth="1"/>
    <col min="4" max="4" width="4" style="113" customWidth="1"/>
    <col min="5" max="5" width="2.85546875" style="113" customWidth="1"/>
    <col min="6" max="6" width="3.140625" style="113" customWidth="1"/>
    <col min="7" max="7" width="15.7109375" style="113" customWidth="1"/>
    <col min="8" max="8" width="40.5703125" style="113" customWidth="1"/>
    <col min="9" max="9" width="24.28515625" style="113" customWidth="1"/>
    <col min="10" max="10" width="32" style="113" customWidth="1"/>
    <col min="11" max="11" width="14.28515625" style="113" customWidth="1"/>
    <col min="12" max="12" width="24.140625" style="113" customWidth="1"/>
    <col min="13" max="13" width="4.140625" style="117" customWidth="1"/>
    <col min="14" max="14" width="34" style="113" customWidth="1"/>
    <col min="15" max="17" width="2.140625" style="113" hidden="1"/>
    <col min="18" max="40" width="10.85546875" style="113" hidden="1"/>
    <col min="41" max="48" width="10.85546875" hidden="1"/>
    <col min="49" max="16383" width="2.140625" hidden="1"/>
    <col min="16384" max="16384" width="2.5703125" hidden="1"/>
  </cols>
  <sheetData>
    <row r="1" spans="2:43" ht="15.75" thickBot="1" x14ac:dyDescent="0.3">
      <c r="AO1" s="113"/>
      <c r="AP1" s="113"/>
      <c r="AQ1" s="113"/>
    </row>
    <row r="2" spans="2:43" ht="18" customHeight="1" x14ac:dyDescent="0.25">
      <c r="B2" s="1794"/>
      <c r="C2" s="1795"/>
      <c r="D2" s="1795"/>
      <c r="E2" s="1795"/>
      <c r="F2" s="1795"/>
      <c r="G2" s="1795"/>
      <c r="H2" s="1795"/>
      <c r="I2" s="1795"/>
      <c r="J2" s="1795"/>
      <c r="K2" s="1795"/>
      <c r="L2" s="1795"/>
      <c r="M2" s="1843"/>
      <c r="AO2" s="113"/>
      <c r="AP2" s="113"/>
      <c r="AQ2" s="113"/>
    </row>
    <row r="3" spans="2:43" ht="34.5" customHeight="1" x14ac:dyDescent="0.25">
      <c r="B3" s="1797"/>
      <c r="C3" s="3353" t="s">
        <v>672</v>
      </c>
      <c r="D3" s="4006"/>
      <c r="E3" s="4006"/>
      <c r="F3" s="4006"/>
      <c r="G3" s="3354"/>
      <c r="H3" s="3110" t="s">
        <v>8214</v>
      </c>
      <c r="I3" s="3111"/>
      <c r="J3" s="3111"/>
      <c r="K3" s="3111"/>
      <c r="L3" s="3112"/>
      <c r="M3" s="1836"/>
      <c r="AO3" s="113"/>
      <c r="AP3" s="113"/>
      <c r="AQ3" s="113"/>
    </row>
    <row r="4" spans="2:43" ht="13.5" customHeight="1" x14ac:dyDescent="0.25">
      <c r="B4" s="1797"/>
      <c r="C4" s="3012" t="s">
        <v>673</v>
      </c>
      <c r="D4" s="187">
        <v>1</v>
      </c>
      <c r="E4" s="4005" t="s">
        <v>9761</v>
      </c>
      <c r="F4" s="4005"/>
      <c r="G4" s="4005"/>
      <c r="H4" s="4005"/>
      <c r="I4" s="1642"/>
      <c r="J4" s="1642"/>
      <c r="K4" s="267">
        <v>1</v>
      </c>
      <c r="L4" s="1374">
        <v>0</v>
      </c>
      <c r="M4" s="1836"/>
      <c r="AO4" s="113"/>
      <c r="AP4" s="113"/>
      <c r="AQ4" s="113"/>
    </row>
    <row r="5" spans="2:43" ht="13.5" customHeight="1" x14ac:dyDescent="0.25">
      <c r="B5" s="1797"/>
      <c r="C5" s="3156"/>
      <c r="D5" s="286">
        <v>2</v>
      </c>
      <c r="E5" s="3001" t="s">
        <v>12704</v>
      </c>
      <c r="F5" s="3001"/>
      <c r="G5" s="3001"/>
      <c r="H5" s="3001"/>
      <c r="I5" s="3001"/>
      <c r="J5" s="3001"/>
      <c r="K5" s="175">
        <v>2</v>
      </c>
      <c r="L5" s="1381">
        <f>MAX(0,HP.TotalIncomeChargeableUnHP)</f>
        <v>0</v>
      </c>
      <c r="M5" s="1836"/>
      <c r="AO5" s="113"/>
      <c r="AP5" s="113"/>
      <c r="AQ5" s="113"/>
    </row>
    <row r="6" spans="2:43" ht="13.5" customHeight="1" x14ac:dyDescent="0.25">
      <c r="B6" s="1797"/>
      <c r="C6" s="3156"/>
      <c r="D6" s="287">
        <v>3</v>
      </c>
      <c r="E6" s="3112" t="s">
        <v>674</v>
      </c>
      <c r="F6" s="3041"/>
      <c r="G6" s="3041"/>
      <c r="H6" s="3041"/>
      <c r="I6" s="3041"/>
      <c r="J6" s="3110"/>
      <c r="K6" s="288"/>
      <c r="L6" s="289"/>
      <c r="M6" s="1836"/>
      <c r="AO6" s="113"/>
      <c r="AP6" s="113"/>
      <c r="AQ6" s="113"/>
    </row>
    <row r="7" spans="2:43" ht="37.5" customHeight="1" x14ac:dyDescent="0.25">
      <c r="B7" s="1797"/>
      <c r="C7" s="3156"/>
      <c r="D7" s="290"/>
      <c r="E7" s="176" t="s">
        <v>287</v>
      </c>
      <c r="F7" s="3001" t="s">
        <v>8291</v>
      </c>
      <c r="G7" s="3001"/>
      <c r="H7" s="3001"/>
      <c r="I7" s="254" t="s">
        <v>675</v>
      </c>
      <c r="J7" s="1450">
        <f>MAX(0,sheet12.NetPLBusOthThanSpec7A7B7C)</f>
        <v>0</v>
      </c>
      <c r="K7" s="291"/>
      <c r="L7" s="292"/>
      <c r="M7" s="1836"/>
      <c r="AO7" s="113"/>
      <c r="AP7" s="113"/>
      <c r="AQ7" s="113"/>
    </row>
    <row r="8" spans="2:43" ht="25.5" customHeight="1" x14ac:dyDescent="0.25">
      <c r="B8" s="1797"/>
      <c r="C8" s="3156"/>
      <c r="D8" s="290"/>
      <c r="E8" s="176" t="s">
        <v>290</v>
      </c>
      <c r="F8" s="3001" t="s">
        <v>12003</v>
      </c>
      <c r="G8" s="3001"/>
      <c r="H8" s="3001"/>
      <c r="I8" s="254" t="s">
        <v>676</v>
      </c>
      <c r="J8" s="1450">
        <f>MAX(0,sheet12.IncOfCurYrAfterSetOffa)</f>
        <v>0</v>
      </c>
      <c r="K8" s="291"/>
      <c r="L8" s="292"/>
      <c r="M8" s="1836"/>
      <c r="AO8" s="113"/>
      <c r="AP8" s="113"/>
      <c r="AQ8" s="113"/>
    </row>
    <row r="9" spans="2:43" ht="25.5" customHeight="1" x14ac:dyDescent="0.25">
      <c r="B9" s="1797"/>
      <c r="C9" s="3156"/>
      <c r="D9" s="290"/>
      <c r="E9" s="176" t="s">
        <v>293</v>
      </c>
      <c r="F9" s="3001" t="s">
        <v>12881</v>
      </c>
      <c r="G9" s="3001"/>
      <c r="H9" s="3001"/>
      <c r="I9" s="254" t="s">
        <v>677</v>
      </c>
      <c r="J9" s="1450">
        <f>MAX(0,sheet12.IncOfCurYrAfterSetOffb)</f>
        <v>0</v>
      </c>
      <c r="K9" s="291"/>
      <c r="L9" s="292"/>
      <c r="M9" s="1836"/>
      <c r="AO9" s="113"/>
      <c r="AP9" s="113"/>
      <c r="AQ9" s="113"/>
    </row>
    <row r="10" spans="2:43" ht="12.75" customHeight="1" x14ac:dyDescent="0.25">
      <c r="B10" s="1797"/>
      <c r="C10" s="3156"/>
      <c r="D10" s="290"/>
      <c r="E10" s="188" t="s">
        <v>296</v>
      </c>
      <c r="F10" s="3126" t="s">
        <v>9684</v>
      </c>
      <c r="G10" s="3127"/>
      <c r="H10" s="3128"/>
      <c r="I10" s="269" t="s">
        <v>441</v>
      </c>
      <c r="J10" s="1450">
        <f>MAX(0,sheet10.Inc115BBF+sheet10.Inc115BBG)</f>
        <v>0</v>
      </c>
      <c r="K10" s="291"/>
      <c r="L10" s="292"/>
      <c r="M10" s="1836"/>
      <c r="AO10" s="113"/>
      <c r="AP10" s="113"/>
      <c r="AQ10" s="113"/>
    </row>
    <row r="11" spans="2:43" ht="12.75" customHeight="1" x14ac:dyDescent="0.25">
      <c r="B11" s="1797"/>
      <c r="C11" s="3156"/>
      <c r="D11" s="290"/>
      <c r="E11" s="188" t="s">
        <v>299</v>
      </c>
      <c r="F11" s="3021" t="s">
        <v>9618</v>
      </c>
      <c r="G11" s="3021"/>
      <c r="H11" s="3021"/>
      <c r="I11" s="175"/>
      <c r="J11" s="19"/>
      <c r="K11" s="162" t="s">
        <v>8168</v>
      </c>
      <c r="L11" s="729">
        <f>IF(SUM(J7:J10)&lt;0,0,SUM(J7:J10))</f>
        <v>0</v>
      </c>
      <c r="M11" s="1836"/>
      <c r="AO11" s="113"/>
      <c r="AP11" s="113"/>
      <c r="AQ11" s="113"/>
    </row>
    <row r="12" spans="2:43" ht="12.75" customHeight="1" x14ac:dyDescent="0.25">
      <c r="B12" s="1797"/>
      <c r="C12" s="1334"/>
      <c r="D12" s="1327">
        <v>4</v>
      </c>
      <c r="E12" s="4007" t="s">
        <v>678</v>
      </c>
      <c r="F12" s="3041"/>
      <c r="G12" s="3041"/>
      <c r="H12" s="3041"/>
      <c r="I12" s="3041"/>
      <c r="J12" s="3110"/>
      <c r="K12" s="3955"/>
      <c r="L12" s="3956"/>
      <c r="M12" s="1836"/>
      <c r="AO12" s="113"/>
      <c r="AP12" s="113"/>
      <c r="AQ12" s="113"/>
    </row>
    <row r="13" spans="2:43" ht="12" customHeight="1" x14ac:dyDescent="0.25">
      <c r="B13" s="1797"/>
      <c r="C13" s="1324"/>
      <c r="D13" s="1328"/>
      <c r="E13" s="150" t="s">
        <v>27</v>
      </c>
      <c r="F13" s="3112" t="s">
        <v>679</v>
      </c>
      <c r="G13" s="3041"/>
      <c r="H13" s="3041"/>
      <c r="I13" s="3041"/>
      <c r="J13" s="3110"/>
      <c r="K13" s="3957"/>
      <c r="L13" s="3958"/>
      <c r="M13" s="1836"/>
      <c r="AO13" s="113"/>
      <c r="AP13" s="113"/>
      <c r="AQ13" s="113"/>
    </row>
    <row r="14" spans="2:43" ht="22.5" customHeight="1" x14ac:dyDescent="0.25">
      <c r="B14" s="1797"/>
      <c r="C14" s="1324"/>
      <c r="D14" s="1329"/>
      <c r="E14" s="293"/>
      <c r="F14" s="176" t="s">
        <v>680</v>
      </c>
      <c r="G14" s="3001" t="s">
        <v>9619</v>
      </c>
      <c r="H14" s="3001"/>
      <c r="I14" s="254" t="s">
        <v>307</v>
      </c>
      <c r="J14" s="1450">
        <f>MAX(0,IHLA.Eii7_CurrYrCapGain)</f>
        <v>0</v>
      </c>
      <c r="K14" s="3957"/>
      <c r="L14" s="3958"/>
      <c r="M14" s="1836"/>
      <c r="AO14" s="113"/>
      <c r="AP14" s="113"/>
      <c r="AQ14" s="113"/>
    </row>
    <row r="15" spans="2:43" ht="22.5" customHeight="1" x14ac:dyDescent="0.25">
      <c r="B15" s="1797"/>
      <c r="C15" s="1324"/>
      <c r="D15" s="1329"/>
      <c r="E15" s="293"/>
      <c r="F15" s="176" t="s">
        <v>681</v>
      </c>
      <c r="G15" s="3001" t="s">
        <v>9620</v>
      </c>
      <c r="H15" s="3001"/>
      <c r="I15" s="254" t="s">
        <v>339</v>
      </c>
      <c r="J15" s="1450">
        <f>MAX(0,IHLA.Eiii7_CurrYrCapGain)</f>
        <v>0</v>
      </c>
      <c r="K15" s="3957"/>
      <c r="L15" s="3958"/>
      <c r="M15" s="1836"/>
      <c r="AO15" s="113"/>
      <c r="AP15" s="113"/>
      <c r="AQ15" s="113"/>
    </row>
    <row r="16" spans="2:43" ht="25.5" customHeight="1" x14ac:dyDescent="0.25">
      <c r="B16" s="1797"/>
      <c r="C16" s="1324"/>
      <c r="D16" s="1329"/>
      <c r="E16" s="293"/>
      <c r="F16" s="176" t="s">
        <v>682</v>
      </c>
      <c r="G16" s="3001" t="s">
        <v>9621</v>
      </c>
      <c r="H16" s="3001"/>
      <c r="I16" s="254" t="s">
        <v>318</v>
      </c>
      <c r="J16" s="1450">
        <f>MAX(0,IHLA.Eiv7_CurrYrCapGain)</f>
        <v>0</v>
      </c>
      <c r="K16" s="3957"/>
      <c r="L16" s="3958"/>
      <c r="M16" s="1836"/>
      <c r="N16" s="294"/>
      <c r="AO16" s="113"/>
      <c r="AP16" s="113"/>
      <c r="AQ16" s="113"/>
    </row>
    <row r="17" spans="2:43" ht="25.5" customHeight="1" x14ac:dyDescent="0.25">
      <c r="B17" s="1797"/>
      <c r="C17" s="1324"/>
      <c r="D17" s="1329"/>
      <c r="E17" s="293"/>
      <c r="F17" s="176" t="s">
        <v>920</v>
      </c>
      <c r="G17" s="3001" t="s">
        <v>9622</v>
      </c>
      <c r="H17" s="3001"/>
      <c r="I17" s="254" t="s">
        <v>370</v>
      </c>
      <c r="J17" s="1450">
        <f>MAX(0,IHLA.Ev7_DTAArates)</f>
        <v>0</v>
      </c>
      <c r="K17" s="3957"/>
      <c r="L17" s="3958"/>
      <c r="M17" s="1836"/>
      <c r="N17" s="294"/>
      <c r="AO17" s="113"/>
      <c r="AP17" s="113"/>
      <c r="AQ17" s="113"/>
    </row>
    <row r="18" spans="2:43" ht="15.6" customHeight="1" x14ac:dyDescent="0.25">
      <c r="B18" s="1797"/>
      <c r="C18" s="1324"/>
      <c r="D18" s="1329"/>
      <c r="E18" s="295"/>
      <c r="F18" s="176" t="s">
        <v>8408</v>
      </c>
      <c r="G18" s="3001" t="s">
        <v>12880</v>
      </c>
      <c r="H18" s="3001"/>
      <c r="I18" s="254" t="s">
        <v>372</v>
      </c>
      <c r="J18" s="1450">
        <f>SUM(J14:J17)</f>
        <v>0</v>
      </c>
      <c r="K18" s="3957"/>
      <c r="L18" s="3958"/>
      <c r="M18" s="1836"/>
      <c r="AO18" s="113"/>
      <c r="AP18" s="113"/>
      <c r="AQ18" s="113"/>
    </row>
    <row r="19" spans="2:43" ht="12.75" customHeight="1" x14ac:dyDescent="0.25">
      <c r="B19" s="1797"/>
      <c r="C19" s="1324"/>
      <c r="D19" s="1330"/>
      <c r="E19" s="260" t="s">
        <v>28</v>
      </c>
      <c r="F19" s="3112" t="s">
        <v>683</v>
      </c>
      <c r="G19" s="3041"/>
      <c r="H19" s="3041"/>
      <c r="I19" s="3041"/>
      <c r="J19" s="3110"/>
      <c r="K19" s="3957"/>
      <c r="L19" s="3958"/>
      <c r="M19" s="1836"/>
      <c r="AO19" s="113"/>
      <c r="AP19" s="113"/>
      <c r="AQ19" s="113"/>
    </row>
    <row r="20" spans="2:43" ht="15" customHeight="1" x14ac:dyDescent="0.25">
      <c r="B20" s="1797"/>
      <c r="C20" s="1324"/>
      <c r="D20" s="1329"/>
      <c r="E20" s="175"/>
      <c r="F20" s="296" t="s">
        <v>287</v>
      </c>
      <c r="G20" s="3004" t="s">
        <v>12876</v>
      </c>
      <c r="H20" s="3008"/>
      <c r="I20" s="254" t="s">
        <v>289</v>
      </c>
      <c r="J20" s="1450">
        <f>MAX(0,IHLA.Ev7_CurrYrCapGain)</f>
        <v>0</v>
      </c>
      <c r="K20" s="297"/>
      <c r="L20" s="298"/>
      <c r="M20" s="1836"/>
      <c r="AO20" s="113"/>
      <c r="AP20" s="113"/>
      <c r="AQ20" s="113"/>
    </row>
    <row r="21" spans="2:43" ht="21" customHeight="1" x14ac:dyDescent="0.25">
      <c r="B21" s="1797"/>
      <c r="C21" s="1324"/>
      <c r="D21" s="1329"/>
      <c r="E21" s="194"/>
      <c r="F21" s="296" t="s">
        <v>290</v>
      </c>
      <c r="G21" s="3004" t="s">
        <v>12877</v>
      </c>
      <c r="H21" s="3008"/>
      <c r="I21" s="254" t="s">
        <v>292</v>
      </c>
      <c r="J21" s="1450">
        <f>MAX(0,IHLA.Evi7_CurrYrCapGain)</f>
        <v>0</v>
      </c>
      <c r="K21" s="297"/>
      <c r="L21" s="298"/>
      <c r="M21" s="1836"/>
      <c r="AO21" s="113"/>
      <c r="AP21" s="113"/>
      <c r="AQ21" s="113"/>
    </row>
    <row r="22" spans="2:43" ht="27" customHeight="1" x14ac:dyDescent="0.25">
      <c r="B22" s="1797"/>
      <c r="C22" s="1324"/>
      <c r="D22" s="1329"/>
      <c r="E22" s="194"/>
      <c r="F22" s="296" t="s">
        <v>682</v>
      </c>
      <c r="G22" s="3004" t="s">
        <v>12878</v>
      </c>
      <c r="H22" s="3008"/>
      <c r="I22" s="254" t="s">
        <v>295</v>
      </c>
      <c r="J22" s="1450">
        <f>MAX(0,IHLA.E_LTCGv7_DTAArates)</f>
        <v>0</v>
      </c>
      <c r="K22" s="297"/>
      <c r="L22" s="298"/>
      <c r="M22" s="1836"/>
      <c r="AO22" s="113"/>
      <c r="AP22" s="113"/>
      <c r="AQ22" s="113"/>
    </row>
    <row r="23" spans="2:43" ht="15" customHeight="1" x14ac:dyDescent="0.25">
      <c r="B23" s="1797"/>
      <c r="C23" s="1324"/>
      <c r="D23" s="1329"/>
      <c r="E23" s="267"/>
      <c r="F23" s="296" t="s">
        <v>920</v>
      </c>
      <c r="G23" s="3004" t="s">
        <v>12879</v>
      </c>
      <c r="H23" s="3008"/>
      <c r="I23" s="254" t="s">
        <v>298</v>
      </c>
      <c r="J23" s="1450">
        <f>SUM(J20:J22)</f>
        <v>0</v>
      </c>
      <c r="K23" s="299"/>
      <c r="L23" s="300"/>
      <c r="M23" s="1836"/>
      <c r="AO23" s="113"/>
      <c r="AP23" s="113"/>
      <c r="AQ23" s="113"/>
    </row>
    <row r="24" spans="2:43" ht="12.75" customHeight="1" x14ac:dyDescent="0.25">
      <c r="B24" s="1797"/>
      <c r="C24" s="1324"/>
      <c r="D24" s="1330"/>
      <c r="E24" s="163" t="s">
        <v>29</v>
      </c>
      <c r="F24" s="3117" t="s">
        <v>9763</v>
      </c>
      <c r="G24" s="3117"/>
      <c r="H24" s="3117"/>
      <c r="I24" s="3117"/>
      <c r="J24" s="3117"/>
      <c r="K24" s="194" t="s">
        <v>399</v>
      </c>
      <c r="L24" s="1415">
        <f>MAX(0,Sheet8b.TotalShortTerm+Sheet8b.LongTerm)</f>
        <v>0</v>
      </c>
      <c r="M24" s="1836"/>
      <c r="AO24" s="113"/>
      <c r="AP24" s="113"/>
      <c r="AQ24" s="113"/>
    </row>
    <row r="25" spans="2:43" ht="12.75" customHeight="1" x14ac:dyDescent="0.25">
      <c r="B25" s="1797"/>
      <c r="C25" s="1324"/>
      <c r="D25" s="1327">
        <v>5</v>
      </c>
      <c r="E25" s="3112" t="s">
        <v>684</v>
      </c>
      <c r="F25" s="3041"/>
      <c r="G25" s="3041"/>
      <c r="H25" s="3041"/>
      <c r="I25" s="162"/>
      <c r="J25" s="301"/>
      <c r="K25" s="3955"/>
      <c r="L25" s="3956"/>
      <c r="M25" s="1836"/>
      <c r="AO25" s="113"/>
      <c r="AP25" s="113"/>
      <c r="AQ25" s="113"/>
    </row>
    <row r="26" spans="2:43" ht="33" customHeight="1" x14ac:dyDescent="0.25">
      <c r="B26" s="1797"/>
      <c r="C26" s="1324"/>
      <c r="D26" s="1330"/>
      <c r="E26" s="176" t="s">
        <v>27</v>
      </c>
      <c r="F26" s="3001" t="s">
        <v>9623</v>
      </c>
      <c r="G26" s="3001"/>
      <c r="H26" s="3001"/>
      <c r="I26" s="254" t="s">
        <v>527</v>
      </c>
      <c r="J26" s="1450">
        <f>MAX(0,os.BalanceNoRaceHorse)</f>
        <v>0</v>
      </c>
      <c r="K26" s="3957"/>
      <c r="L26" s="3958"/>
      <c r="M26" s="1836"/>
      <c r="AO26" s="113"/>
      <c r="AP26" s="113"/>
      <c r="AQ26" s="113"/>
    </row>
    <row r="27" spans="2:43" ht="17.25" customHeight="1" x14ac:dyDescent="0.25">
      <c r="B27" s="1797"/>
      <c r="C27" s="1324"/>
      <c r="D27" s="1330"/>
      <c r="E27" s="176" t="s">
        <v>28</v>
      </c>
      <c r="F27" s="3001" t="s">
        <v>9624</v>
      </c>
      <c r="G27" s="3001"/>
      <c r="H27" s="3001"/>
      <c r="I27" s="254" t="s">
        <v>528</v>
      </c>
      <c r="J27" s="1450">
        <f>os.IncomeChargeableSpecialRates</f>
        <v>0</v>
      </c>
      <c r="K27" s="3957"/>
      <c r="L27" s="3958"/>
      <c r="M27" s="1836"/>
      <c r="AO27" s="113"/>
      <c r="AP27" s="113"/>
      <c r="AQ27" s="113"/>
    </row>
    <row r="28" spans="2:43" ht="25.5" customHeight="1" x14ac:dyDescent="0.25">
      <c r="B28" s="1797"/>
      <c r="C28" s="1324"/>
      <c r="D28" s="1330"/>
      <c r="E28" s="176" t="s">
        <v>29</v>
      </c>
      <c r="F28" s="3001" t="s">
        <v>9625</v>
      </c>
      <c r="G28" s="3001"/>
      <c r="H28" s="3001"/>
      <c r="I28" s="254" t="s">
        <v>530</v>
      </c>
      <c r="J28" s="1450">
        <f>MAX(0,os.BalanceOwnRaceHorse)</f>
        <v>0</v>
      </c>
      <c r="K28" s="299"/>
      <c r="L28" s="300"/>
      <c r="M28" s="1836"/>
      <c r="AO28" s="113"/>
      <c r="AP28" s="113"/>
      <c r="AQ28" s="113"/>
    </row>
    <row r="29" spans="2:43" ht="12.75" customHeight="1" x14ac:dyDescent="0.25">
      <c r="B29" s="1797"/>
      <c r="C29" s="1324"/>
      <c r="D29" s="1331"/>
      <c r="E29" s="176" t="s">
        <v>36</v>
      </c>
      <c r="F29" s="3004" t="s">
        <v>9762</v>
      </c>
      <c r="G29" s="3005"/>
      <c r="H29" s="3005"/>
      <c r="I29" s="3005"/>
      <c r="J29" s="3008"/>
      <c r="K29" s="267" t="s">
        <v>532</v>
      </c>
      <c r="L29" s="1374">
        <f>MAX(0,SUM(J26:J28))</f>
        <v>0</v>
      </c>
      <c r="M29" s="1836"/>
      <c r="AO29" s="113"/>
      <c r="AP29" s="113"/>
      <c r="AQ29" s="113"/>
    </row>
    <row r="30" spans="2:43" ht="15" customHeight="1" x14ac:dyDescent="0.25">
      <c r="B30" s="1797"/>
      <c r="C30" s="1324"/>
      <c r="D30" s="338">
        <v>6</v>
      </c>
      <c r="E30" s="3009" t="s">
        <v>9626</v>
      </c>
      <c r="F30" s="3010"/>
      <c r="G30" s="3010"/>
      <c r="H30" s="3010"/>
      <c r="I30" s="3010"/>
      <c r="J30" s="3011"/>
      <c r="K30" s="162">
        <v>6</v>
      </c>
      <c r="L30" s="729">
        <f>Sheet8b.TotIncFromOS+Sheet8b.TotalCapGains+Sheet8b.TotProfBusGain+Sheet8b.IncomeFromHP+Sheet8b.Salaries</f>
        <v>0</v>
      </c>
      <c r="M30" s="1836"/>
      <c r="AO30" s="113"/>
      <c r="AP30" s="113"/>
      <c r="AQ30" s="113"/>
    </row>
    <row r="31" spans="2:43" ht="12.75" customHeight="1" x14ac:dyDescent="0.25">
      <c r="B31" s="1797"/>
      <c r="C31" s="1324"/>
      <c r="D31" s="340">
        <v>7</v>
      </c>
      <c r="E31" s="3001" t="s">
        <v>9627</v>
      </c>
      <c r="F31" s="3001"/>
      <c r="G31" s="3001"/>
      <c r="H31" s="3001"/>
      <c r="I31" s="3001"/>
      <c r="J31" s="3001"/>
      <c r="K31" s="162">
        <v>7</v>
      </c>
      <c r="L31" s="729">
        <f>SUM(sheet16.TotHPlossCurYrSetoff,sheet16.TotBusLossSetoff,sheet16.TotOthSrcLossNoRaceHorseSetoff)</f>
        <v>0</v>
      </c>
      <c r="M31" s="1836"/>
      <c r="AO31" s="113"/>
      <c r="AP31" s="113"/>
      <c r="AQ31" s="113"/>
    </row>
    <row r="32" spans="2:43" ht="13.5" customHeight="1" x14ac:dyDescent="0.25">
      <c r="B32" s="1797"/>
      <c r="C32" s="1324"/>
      <c r="D32" s="340">
        <v>8</v>
      </c>
      <c r="E32" s="3001" t="s">
        <v>12705</v>
      </c>
      <c r="F32" s="3001"/>
      <c r="G32" s="3001"/>
      <c r="H32" s="3001"/>
      <c r="I32" s="3001"/>
      <c r="J32" s="3001"/>
      <c r="K32" s="162">
        <v>8</v>
      </c>
      <c r="L32" s="729">
        <f>MAX(0,Sheet8b.TotalTI-Sheet8b.CurrentYearLoss)</f>
        <v>0</v>
      </c>
      <c r="M32" s="1836"/>
      <c r="AO32" s="113"/>
      <c r="AP32" s="113"/>
      <c r="AQ32" s="113"/>
    </row>
    <row r="33" spans="1:43" ht="12.75" customHeight="1" x14ac:dyDescent="0.25">
      <c r="B33" s="1797"/>
      <c r="C33" s="1324"/>
      <c r="D33" s="340">
        <v>9</v>
      </c>
      <c r="E33" s="3001" t="s">
        <v>9628</v>
      </c>
      <c r="F33" s="3001"/>
      <c r="G33" s="3001"/>
      <c r="H33" s="3001"/>
      <c r="I33" s="3001"/>
      <c r="J33" s="3001"/>
      <c r="K33" s="162">
        <v>9</v>
      </c>
      <c r="L33" s="729">
        <f>SUM(sheet16.TotBFLossSetoff,sheet16.TotUnabsorbedDeprSetoff,sheet16.TotAllUs35cl4Setoff)</f>
        <v>0</v>
      </c>
      <c r="M33" s="1836"/>
      <c r="AO33" s="113"/>
      <c r="AP33" s="113"/>
      <c r="AQ33" s="113"/>
    </row>
    <row r="34" spans="1:43" ht="12.75" customHeight="1" x14ac:dyDescent="0.25">
      <c r="B34" s="1797"/>
      <c r="C34" s="1324"/>
      <c r="D34" s="340">
        <v>10</v>
      </c>
      <c r="E34" s="3001" t="s">
        <v>12706</v>
      </c>
      <c r="F34" s="3001"/>
      <c r="G34" s="3001"/>
      <c r="H34" s="3001"/>
      <c r="I34" s="3001"/>
      <c r="J34" s="3001"/>
      <c r="K34" s="162">
        <v>10</v>
      </c>
      <c r="L34" s="729">
        <f>MAX(0,Sheet8b.BalanceAfterSetoffLosses-Sheet8b.BroughtFwdLossesSetoff)</f>
        <v>0</v>
      </c>
      <c r="M34" s="1836"/>
      <c r="AO34" s="113"/>
      <c r="AP34" s="113"/>
      <c r="AQ34" s="113"/>
    </row>
    <row r="35" spans="1:43" ht="14.65" customHeight="1" x14ac:dyDescent="0.25">
      <c r="B35" s="1797"/>
      <c r="C35" s="1324"/>
      <c r="D35" s="340">
        <v>11</v>
      </c>
      <c r="E35" s="3001" t="s">
        <v>9629</v>
      </c>
      <c r="F35" s="3001"/>
      <c r="G35" s="3001"/>
      <c r="H35" s="3001"/>
      <c r="I35" s="3001"/>
      <c r="J35" s="3001"/>
      <c r="K35" s="162">
        <v>11</v>
      </c>
      <c r="L35" s="729">
        <f>SUM(SI.SplRateInc)</f>
        <v>0</v>
      </c>
      <c r="M35" s="1836"/>
      <c r="R35" s="144">
        <f>IF(((Sheet9.Section90+Sheet9.Section91)-Sheet9.GrossTaxLiability)&gt;0,((Sheet9.Section90+Sheet9.Section91)-Sheet9.GrossTaxLiability),0)</f>
        <v>0</v>
      </c>
      <c r="AO35" s="113"/>
      <c r="AP35" s="113"/>
      <c r="AQ35" s="113"/>
    </row>
    <row r="36" spans="1:43" ht="14.25" customHeight="1" x14ac:dyDescent="0.25">
      <c r="A36" s="117"/>
      <c r="B36" s="1801"/>
      <c r="C36" s="1324"/>
      <c r="D36" s="1332">
        <v>12</v>
      </c>
      <c r="E36" s="3329" t="s">
        <v>9630</v>
      </c>
      <c r="F36" s="3330"/>
      <c r="G36" s="3330"/>
      <c r="H36" s="3330"/>
      <c r="I36" s="3330"/>
      <c r="J36" s="3330"/>
      <c r="K36" s="3330"/>
      <c r="L36" s="3969"/>
      <c r="M36" s="1836"/>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row>
    <row r="37" spans="1:43" ht="25.5" customHeight="1" x14ac:dyDescent="0.25">
      <c r="B37" s="1797"/>
      <c r="C37" s="1324"/>
      <c r="D37" s="1333"/>
      <c r="E37" s="176" t="s">
        <v>27</v>
      </c>
      <c r="F37" s="3001" t="s">
        <v>12707</v>
      </c>
      <c r="G37" s="3001"/>
      <c r="H37" s="3001"/>
      <c r="I37" s="254" t="s">
        <v>27</v>
      </c>
      <c r="J37" s="729">
        <f>MAX(0,MIN(Sheet8b.GrossTotalIncome-Sheet8b.IncChargeableTaxSplRates,scvia.TotPartBchapterVIA_Calc+scvia.TotPartCAandDchapterVIA_Calc))</f>
        <v>0</v>
      </c>
      <c r="K37" s="323"/>
      <c r="L37" s="324"/>
      <c r="M37" s="1836"/>
      <c r="AO37" s="113"/>
      <c r="AP37" s="113"/>
      <c r="AQ37" s="113"/>
    </row>
    <row r="38" spans="1:43" ht="24.75" customHeight="1" x14ac:dyDescent="0.25">
      <c r="B38" s="1797"/>
      <c r="C38" s="1324"/>
      <c r="D38" s="1330"/>
      <c r="E38" s="176" t="s">
        <v>28</v>
      </c>
      <c r="F38" s="3001" t="s">
        <v>13002</v>
      </c>
      <c r="G38" s="3001"/>
      <c r="H38" s="3001"/>
      <c r="I38" s="254" t="s">
        <v>28</v>
      </c>
      <c r="J38" s="729">
        <f>MAX(0,MIN(busipofincl.IncOfCurYrAfterSetOffBFLosses2,scvia.TotPartCchapterVIA_Calc))</f>
        <v>0</v>
      </c>
      <c r="K38" s="325"/>
      <c r="L38" s="326"/>
      <c r="M38" s="1836"/>
      <c r="R38" s="302"/>
      <c r="S38" s="303"/>
      <c r="AO38" s="113"/>
      <c r="AP38" s="113"/>
      <c r="AQ38" s="113"/>
    </row>
    <row r="39" spans="1:43" ht="13.5" customHeight="1" x14ac:dyDescent="0.25">
      <c r="B39" s="1797"/>
      <c r="C39" s="1324"/>
      <c r="D39" s="1331"/>
      <c r="E39" s="176" t="s">
        <v>29</v>
      </c>
      <c r="F39" s="3117" t="s">
        <v>9754</v>
      </c>
      <c r="G39" s="3117"/>
      <c r="H39" s="3117"/>
      <c r="I39" s="162"/>
      <c r="J39" s="19"/>
      <c r="K39" s="254" t="s">
        <v>627</v>
      </c>
      <c r="L39" s="1391">
        <f>MAX(0,MIN(Sheet8b.PartBchapterVIA+Sheet8b.PartCchapterVIA,Sheet8b.GrossTotalIncome-Sheet8b.IncChargeableTaxSplRates))</f>
        <v>0</v>
      </c>
      <c r="M39" s="1836"/>
      <c r="R39" s="304"/>
      <c r="S39" s="305" t="s">
        <v>1610</v>
      </c>
      <c r="AO39" s="113"/>
      <c r="AP39" s="113"/>
      <c r="AQ39" s="113"/>
    </row>
    <row r="40" spans="1:43" ht="13.5" customHeight="1" x14ac:dyDescent="0.25">
      <c r="B40" s="1797"/>
      <c r="C40" s="1324"/>
      <c r="D40" s="340">
        <v>13</v>
      </c>
      <c r="E40" s="3117" t="s">
        <v>8415</v>
      </c>
      <c r="F40" s="3117"/>
      <c r="G40" s="3117"/>
      <c r="H40" s="3117"/>
      <c r="I40" s="3117"/>
      <c r="J40" s="3009"/>
      <c r="K40" s="1383">
        <v>13</v>
      </c>
      <c r="L40" s="1391">
        <f>MAX(0,MIN((Sheet8b.GrossTotalIncome-Sheet8b.IncChargeableTaxSplRates-Sheet8b.DeductionsUnderScheduleVIA),MIN(busipofincl.IncOfCurYrAfterSetOffBFLosses2-sheet11.Section44AD-sheet11.Section44ADA-sheet11.Section44AE-Sheet8b.PartCchapterVIA,AA10.TotalDedUs10Sub+SEZA10.TotalDedUs10Sub)))</f>
        <v>0</v>
      </c>
      <c r="M40" s="1836"/>
      <c r="R40" s="304"/>
      <c r="S40" s="305"/>
      <c r="AO40" s="113"/>
      <c r="AP40" s="113"/>
      <c r="AQ40" s="113"/>
    </row>
    <row r="41" spans="1:43" ht="14.25" customHeight="1" x14ac:dyDescent="0.25">
      <c r="B41" s="1797"/>
      <c r="C41" s="1324"/>
      <c r="D41" s="340">
        <v>14</v>
      </c>
      <c r="E41" s="3117" t="s">
        <v>9746</v>
      </c>
      <c r="F41" s="3117"/>
      <c r="G41" s="3117"/>
      <c r="H41" s="3117"/>
      <c r="I41" s="3117"/>
      <c r="J41" s="3117"/>
      <c r="K41" s="254">
        <v>14</v>
      </c>
      <c r="L41" s="729">
        <f>ROUND(MAX(0,Sheet8b.GrossTotalIncome-Sheet8b.DeductionsUnder10Aor10AA-Sheet8b.DeductionsUnderScheduleVIA),-1)</f>
        <v>0</v>
      </c>
      <c r="M41" s="1836"/>
      <c r="R41" s="304"/>
      <c r="S41" s="305"/>
      <c r="AO41" s="113"/>
      <c r="AP41" s="113"/>
      <c r="AQ41" s="113"/>
    </row>
    <row r="42" spans="1:43" ht="15" customHeight="1" x14ac:dyDescent="0.25">
      <c r="B42" s="1797"/>
      <c r="C42" s="1324"/>
      <c r="D42" s="340">
        <v>15</v>
      </c>
      <c r="E42" s="3117" t="s">
        <v>686</v>
      </c>
      <c r="F42" s="3117"/>
      <c r="G42" s="3117"/>
      <c r="H42" s="3117"/>
      <c r="I42" s="3117"/>
      <c r="J42" s="3117"/>
      <c r="K42" s="254">
        <v>15</v>
      </c>
      <c r="L42" s="729">
        <f>SUM(SI.SplRateIncCalc)</f>
        <v>0</v>
      </c>
      <c r="M42" s="1836"/>
      <c r="R42" s="304" t="s">
        <v>1611</v>
      </c>
      <c r="S42" s="305">
        <f>Sheet8b.TotalIncome-Sheet8b.IncChargeTaxSplRate111A112</f>
        <v>0</v>
      </c>
      <c r="AO42" s="113"/>
      <c r="AP42" s="113"/>
      <c r="AQ42" s="113"/>
    </row>
    <row r="43" spans="1:43" ht="14.25" customHeight="1" x14ac:dyDescent="0.25">
      <c r="B43" s="1797"/>
      <c r="C43" s="1324"/>
      <c r="D43" s="340">
        <v>16</v>
      </c>
      <c r="E43" s="3117" t="s">
        <v>13056</v>
      </c>
      <c r="F43" s="3117"/>
      <c r="G43" s="3117"/>
      <c r="H43" s="3117"/>
      <c r="I43" s="3117"/>
      <c r="J43" s="3117"/>
      <c r="K43" s="254">
        <v>16</v>
      </c>
      <c r="L43" s="729">
        <f>IF(Sheet20.NetAgriculturalIncome&gt;5000,Sheet20.NetAgriculturalIncome,0)</f>
        <v>0</v>
      </c>
      <c r="M43" s="1836"/>
      <c r="R43" s="304"/>
      <c r="S43" s="305"/>
      <c r="AO43" s="113"/>
      <c r="AP43" s="113"/>
      <c r="AQ43" s="113"/>
    </row>
    <row r="44" spans="1:43" ht="14.25" customHeight="1" x14ac:dyDescent="0.25">
      <c r="B44" s="1797"/>
      <c r="C44" s="1324"/>
      <c r="D44" s="340">
        <v>17</v>
      </c>
      <c r="E44" s="3117" t="s">
        <v>687</v>
      </c>
      <c r="F44" s="3117"/>
      <c r="G44" s="3117"/>
      <c r="H44" s="3117"/>
      <c r="I44" s="3117"/>
      <c r="J44" s="3117"/>
      <c r="K44" s="254">
        <v>17</v>
      </c>
      <c r="L44" s="729">
        <f>IF((MAX(0,Sheet8b.TotalIncome-Sheet8b.IncChargeTaxSplRate111A112))&gt;ExemptionUnder_TI,(MAX(0,Sheet8b.TotalIncome-Sheet8b.IncChargeTaxSplRate111A112)+Sheet8b.NetAgricultureIncomeOrOtherIncomeForRate),0)</f>
        <v>0</v>
      </c>
      <c r="M44" s="1836"/>
      <c r="O44" s="113">
        <f>IF((MAX(0,Sheet8b.TotalIncome-Sheet8b.IncChargeTaxSplRate111A112))&gt;0,(MAX(0,Sheet8b.TotalIncome-Sheet8b.IncChargeTaxSplRate111A112)+Sheet8b.NetAgricultureIncomeOrOtherIncomeForRate),0)</f>
        <v>0</v>
      </c>
      <c r="R44" s="304" t="s">
        <v>1612</v>
      </c>
      <c r="S44" s="305">
        <f>IF(AND(MID(sheet1.Status,1,1)="I",age&gt;59,age&lt;80,OR(MID(sheet1.ResidentialStatus1,1,3)="RES",MID(sheet1.ResidentialStatus1,1,3)="NOR")),300000,IF(AND(MID(sheet1.Status,1,1)="I",age&gt;=80,OR(MID(sheet1.ResidentialStatus1,1,3)="RES",MID(sheet1.ResidentialStatus1,1,3)="NOR")),500000,IF(OR(MID(sheet1.Status,1,1)="I",MID(sheet1.Status,1,1)="H"),250000,0)))</f>
        <v>0</v>
      </c>
      <c r="AO44" s="113"/>
      <c r="AP44" s="113"/>
      <c r="AQ44" s="113"/>
    </row>
    <row r="45" spans="1:43" ht="15.75" customHeight="1" x14ac:dyDescent="0.25">
      <c r="B45" s="1797"/>
      <c r="C45" s="1324"/>
      <c r="D45" s="340">
        <v>18</v>
      </c>
      <c r="E45" s="3117" t="s">
        <v>13183</v>
      </c>
      <c r="F45" s="3117"/>
      <c r="G45" s="3117"/>
      <c r="H45" s="3117"/>
      <c r="I45" s="3117"/>
      <c r="J45" s="3117"/>
      <c r="K45" s="254">
        <v>18</v>
      </c>
      <c r="L45" s="729">
        <f>SUM(CFL!G20:U20)</f>
        <v>0</v>
      </c>
      <c r="M45" s="1836"/>
      <c r="R45" s="306"/>
      <c r="S45" s="264"/>
      <c r="AO45" s="113"/>
      <c r="AP45" s="113"/>
      <c r="AQ45" s="113"/>
    </row>
    <row r="46" spans="1:43" ht="15.75" customHeight="1" x14ac:dyDescent="0.25">
      <c r="B46" s="1797"/>
      <c r="C46" s="1325"/>
      <c r="D46" s="340">
        <v>19</v>
      </c>
      <c r="E46" s="3117" t="s">
        <v>9631</v>
      </c>
      <c r="F46" s="3117"/>
      <c r="G46" s="3117"/>
      <c r="H46" s="3117"/>
      <c r="I46" s="3117"/>
      <c r="J46" s="3117"/>
      <c r="K46" s="254">
        <v>19</v>
      </c>
      <c r="L46" s="729">
        <f>AMT.AdjustedUnderSec115JC</f>
        <v>0</v>
      </c>
      <c r="M46" s="1836"/>
      <c r="R46" s="310"/>
      <c r="S46" s="310"/>
      <c r="AO46" s="113"/>
      <c r="AP46" s="113"/>
      <c r="AQ46" s="113"/>
    </row>
    <row r="47" spans="1:43" ht="15" x14ac:dyDescent="0.25">
      <c r="B47" s="1797"/>
      <c r="C47" s="1133"/>
      <c r="D47" s="1133"/>
      <c r="E47" s="1133"/>
      <c r="F47" s="1133"/>
      <c r="G47" s="1133"/>
      <c r="H47" s="1133"/>
      <c r="I47" s="1133"/>
      <c r="J47" s="1133"/>
      <c r="K47" s="1133"/>
      <c r="L47" s="1133"/>
      <c r="M47" s="1836"/>
      <c r="AO47" s="113"/>
      <c r="AP47" s="113"/>
      <c r="AQ47" s="113"/>
    </row>
    <row r="48" spans="1:43" ht="12.75" customHeight="1" x14ac:dyDescent="0.25">
      <c r="B48" s="1797"/>
      <c r="C48" s="3959" t="s">
        <v>688</v>
      </c>
      <c r="D48" s="3959"/>
      <c r="E48" s="3959"/>
      <c r="F48" s="3959"/>
      <c r="G48" s="3959"/>
      <c r="H48" s="2063" t="s">
        <v>689</v>
      </c>
      <c r="I48" s="307"/>
      <c r="J48" s="308"/>
      <c r="K48" s="307"/>
      <c r="L48" s="2064"/>
      <c r="M48" s="1836"/>
      <c r="R48" s="113">
        <f>(10000000*IF(sheet1.Foreign_Exchange="Yes",0.09,0.185))*110%</f>
        <v>2035000.0000000002</v>
      </c>
      <c r="AO48" s="113"/>
      <c r="AP48" s="113"/>
      <c r="AQ48" s="113"/>
    </row>
    <row r="49" spans="1:43" ht="15" customHeight="1" x14ac:dyDescent="0.25">
      <c r="B49" s="1797"/>
      <c r="C49" s="3012" t="s">
        <v>690</v>
      </c>
      <c r="D49" s="3960">
        <v>1</v>
      </c>
      <c r="E49" s="176" t="s">
        <v>27</v>
      </c>
      <c r="F49" s="3009" t="s">
        <v>691</v>
      </c>
      <c r="G49" s="3010"/>
      <c r="H49" s="3010"/>
      <c r="I49" s="3010"/>
      <c r="J49" s="3011"/>
      <c r="K49" s="254" t="s">
        <v>328</v>
      </c>
      <c r="L49" s="729">
        <f>AMT.TaxPayableUnderSec115JC</f>
        <v>0</v>
      </c>
      <c r="M49" s="1836"/>
      <c r="R49" s="302"/>
      <c r="S49" s="309" t="s">
        <v>1675</v>
      </c>
      <c r="T49" s="309"/>
      <c r="U49" s="303"/>
      <c r="W49" s="302"/>
      <c r="X49" s="309" t="s">
        <v>1675</v>
      </c>
      <c r="Y49" s="309"/>
      <c r="Z49" s="303"/>
      <c r="AB49" s="302"/>
      <c r="AC49" s="309" t="s">
        <v>1675</v>
      </c>
      <c r="AD49" s="309"/>
      <c r="AE49" s="303"/>
      <c r="AG49" s="302"/>
      <c r="AH49" s="309" t="s">
        <v>1675</v>
      </c>
      <c r="AI49" s="309"/>
      <c r="AJ49" s="303"/>
      <c r="AO49" s="113"/>
      <c r="AP49" s="113"/>
      <c r="AQ49" s="113"/>
    </row>
    <row r="50" spans="1:43" ht="14.25" customHeight="1" x14ac:dyDescent="0.25">
      <c r="B50" s="1797"/>
      <c r="C50" s="3156"/>
      <c r="D50" s="3960"/>
      <c r="E50" s="176" t="s">
        <v>28</v>
      </c>
      <c r="F50" s="3009" t="s">
        <v>9632</v>
      </c>
      <c r="G50" s="3010"/>
      <c r="H50" s="3010"/>
      <c r="I50" s="3010"/>
      <c r="J50" s="3011"/>
      <c r="K50" s="254" t="s">
        <v>330</v>
      </c>
      <c r="L50" s="729">
        <f>surchargeOnAboveCrore_temp</f>
        <v>0</v>
      </c>
      <c r="M50" s="1836"/>
      <c r="R50" s="304"/>
      <c r="S50" s="848" t="s">
        <v>1620</v>
      </c>
      <c r="T50" s="310"/>
      <c r="U50" s="305"/>
      <c r="W50" s="304"/>
      <c r="X50" s="310" t="s">
        <v>8208</v>
      </c>
      <c r="Y50" s="310"/>
      <c r="Z50" s="305"/>
      <c r="AB50" s="304"/>
      <c r="AC50" s="848" t="s">
        <v>12097</v>
      </c>
      <c r="AD50" s="310"/>
      <c r="AE50" s="305"/>
      <c r="AG50" s="304"/>
      <c r="AH50" s="848" t="s">
        <v>12100</v>
      </c>
      <c r="AI50" s="310"/>
      <c r="AJ50" s="305"/>
      <c r="AO50" s="113"/>
      <c r="AP50" s="113"/>
      <c r="AQ50" s="113"/>
    </row>
    <row r="51" spans="1:43" ht="14.25" customHeight="1" x14ac:dyDescent="0.25">
      <c r="B51" s="1797"/>
      <c r="C51" s="3156"/>
      <c r="D51" s="3960"/>
      <c r="E51" s="176" t="s">
        <v>29</v>
      </c>
      <c r="F51" s="3009" t="s">
        <v>9575</v>
      </c>
      <c r="G51" s="3010"/>
      <c r="H51" s="3010"/>
      <c r="I51" s="3010"/>
      <c r="J51" s="3011"/>
      <c r="K51" s="254" t="s">
        <v>303</v>
      </c>
      <c r="L51" s="729">
        <f>ROUND(0.04*(sheet9.TaxDeemedTISec115JC+sheet9.deemeds),0)</f>
        <v>0</v>
      </c>
      <c r="M51" s="1836"/>
      <c r="R51" s="304" t="s">
        <v>1623</v>
      </c>
      <c r="S51" s="310">
        <f>sheet9.TaxDeemedTISec115JC</f>
        <v>0</v>
      </c>
      <c r="T51" s="310"/>
      <c r="U51" s="305"/>
      <c r="W51" s="304" t="s">
        <v>1623</v>
      </c>
      <c r="X51" s="310">
        <f>sheet9.TaxDeemedTISec115JC</f>
        <v>0</v>
      </c>
      <c r="Y51" s="310"/>
      <c r="Z51" s="305"/>
      <c r="AB51" s="304" t="s">
        <v>1623</v>
      </c>
      <c r="AC51" s="310">
        <f>sheet9.TaxDeemedTISec115JC</f>
        <v>0</v>
      </c>
      <c r="AD51" s="310"/>
      <c r="AE51" s="305"/>
      <c r="AG51" s="304" t="s">
        <v>1623</v>
      </c>
      <c r="AH51" s="310">
        <f>sheet9.TaxDeemedTISec115JC</f>
        <v>0</v>
      </c>
      <c r="AI51" s="310"/>
      <c r="AJ51" s="305"/>
      <c r="AO51" s="113"/>
      <c r="AP51" s="113"/>
      <c r="AQ51" s="113"/>
    </row>
    <row r="52" spans="1:43" ht="14.25" customHeight="1" x14ac:dyDescent="0.25">
      <c r="B52" s="1797"/>
      <c r="C52" s="3156"/>
      <c r="D52" s="3961"/>
      <c r="E52" s="176" t="s">
        <v>36</v>
      </c>
      <c r="F52" s="3009" t="s">
        <v>694</v>
      </c>
      <c r="G52" s="3010"/>
      <c r="H52" s="3010"/>
      <c r="I52" s="3010"/>
      <c r="J52" s="3011"/>
      <c r="K52" s="254" t="s">
        <v>332</v>
      </c>
      <c r="L52" s="729">
        <f>sheet9.deemeds + sheet9.TaxDeemedTISec115JC+sheet9.EducationCess_DI</f>
        <v>0</v>
      </c>
      <c r="M52" s="1836"/>
      <c r="R52" s="304" t="s">
        <v>8212</v>
      </c>
      <c r="S52" s="310">
        <f>AMT.BTax_1cr*1.1</f>
        <v>0</v>
      </c>
      <c r="T52" s="310"/>
      <c r="U52" s="305" t="s">
        <v>1629</v>
      </c>
      <c r="W52" s="304" t="s">
        <v>1621</v>
      </c>
      <c r="X52" s="310">
        <f>AMT.BTax_50L</f>
        <v>0</v>
      </c>
      <c r="Y52" s="310"/>
      <c r="Z52" s="305" t="s">
        <v>1629</v>
      </c>
      <c r="AB52" s="838" t="s">
        <v>12098</v>
      </c>
      <c r="AC52" s="310">
        <f>AMT.BTax_2cr*1.15</f>
        <v>0</v>
      </c>
      <c r="AD52" s="310"/>
      <c r="AE52" s="305" t="s">
        <v>1629</v>
      </c>
      <c r="AG52" s="304" t="s">
        <v>8212</v>
      </c>
      <c r="AH52" s="310">
        <f>AMT.BTax_5cr*1.25</f>
        <v>0</v>
      </c>
      <c r="AI52" s="310"/>
      <c r="AJ52" s="305" t="s">
        <v>1629</v>
      </c>
      <c r="AO52" s="113"/>
      <c r="AP52" s="113"/>
      <c r="AQ52" s="113"/>
    </row>
    <row r="53" spans="1:43" ht="15.75" customHeight="1" x14ac:dyDescent="0.25">
      <c r="B53" s="1797"/>
      <c r="C53" s="3156"/>
      <c r="D53" s="311">
        <v>2</v>
      </c>
      <c r="E53" s="3795" t="s">
        <v>695</v>
      </c>
      <c r="F53" s="3795"/>
      <c r="G53" s="3795"/>
      <c r="H53" s="3795"/>
      <c r="I53" s="3795"/>
      <c r="J53" s="3795"/>
      <c r="K53" s="2013"/>
      <c r="L53" s="312"/>
      <c r="M53" s="1836"/>
      <c r="R53" s="304" t="s">
        <v>1622</v>
      </c>
      <c r="S53" s="310">
        <f>IF(VALUE(last_digit_AMT)&gt;4,(AMT.AdjustedUnderSec115JC+(10-last_digit_AMT)),AMT.AdjustedUnderSec115JC-last_digit_AMT)</f>
        <v>0</v>
      </c>
      <c r="T53" s="310"/>
      <c r="U53" s="305" t="str">
        <f>RIGHT(AMT.AdjustedUnderSec115JC,1)</f>
        <v>0</v>
      </c>
      <c r="W53" s="304" t="s">
        <v>1622</v>
      </c>
      <c r="X53" s="310">
        <f>IF(VALUE(last_digit_AMT)&gt;4,(AMT.AdjustedUnderSec115JC+(10-last_digit_AMT)),AMT.AdjustedUnderSec115JC-last_digit_AMT)</f>
        <v>0</v>
      </c>
      <c r="Y53" s="310"/>
      <c r="Z53" s="305" t="str">
        <f>RIGHT(AMT.AdjustedUnderSec115JC,1)</f>
        <v>0</v>
      </c>
      <c r="AB53" s="304" t="s">
        <v>1622</v>
      </c>
      <c r="AC53" s="310">
        <f>IF(VALUE(last_digit_AMT)&gt;4,(AMT.AdjustedUnderSec115JC+(10-last_digit_AMT)),AMT.AdjustedUnderSec115JC-last_digit_AMT)</f>
        <v>0</v>
      </c>
      <c r="AD53" s="310"/>
      <c r="AE53" s="305" t="str">
        <f>RIGHT(AMT.AdjustedUnderSec115JC,1)</f>
        <v>0</v>
      </c>
      <c r="AG53" s="304" t="s">
        <v>1622</v>
      </c>
      <c r="AH53" s="310">
        <f>IF(VALUE(last_digit_AMT)&gt;4,(AMT.AdjustedUnderSec115JC+(10-last_digit_AMT)),AMT.AdjustedUnderSec115JC-last_digit_AMT)</f>
        <v>0</v>
      </c>
      <c r="AI53" s="310"/>
      <c r="AJ53" s="305" t="str">
        <f>RIGHT(AMT.AdjustedUnderSec115JC,1)</f>
        <v>0</v>
      </c>
      <c r="AO53" s="113"/>
      <c r="AP53" s="113"/>
      <c r="AQ53" s="113"/>
    </row>
    <row r="54" spans="1:43" ht="13.5" customHeight="1" x14ac:dyDescent="0.25">
      <c r="B54" s="1797"/>
      <c r="C54" s="3156"/>
      <c r="D54" s="313"/>
      <c r="E54" s="314" t="s">
        <v>27</v>
      </c>
      <c r="F54" s="3962" t="s">
        <v>696</v>
      </c>
      <c r="G54" s="3962"/>
      <c r="H54" s="3962"/>
      <c r="I54" s="2077" t="s">
        <v>697</v>
      </c>
      <c r="J54" s="2417">
        <v>0</v>
      </c>
      <c r="K54" s="3034"/>
      <c r="L54" s="3035"/>
      <c r="M54" s="1836"/>
      <c r="R54" s="304"/>
      <c r="S54" s="310"/>
      <c r="T54" s="310"/>
      <c r="U54" s="305"/>
      <c r="W54" s="304"/>
      <c r="X54" s="310"/>
      <c r="Y54" s="310"/>
      <c r="Z54" s="305"/>
      <c r="AB54" s="304"/>
      <c r="AC54" s="310"/>
      <c r="AD54" s="310"/>
      <c r="AE54" s="305"/>
      <c r="AG54" s="304"/>
      <c r="AH54" s="310"/>
      <c r="AI54" s="310"/>
      <c r="AJ54" s="305"/>
      <c r="AO54" s="113"/>
      <c r="AP54" s="113"/>
      <c r="AQ54" s="113"/>
    </row>
    <row r="55" spans="1:43" ht="14.25" customHeight="1" x14ac:dyDescent="0.25">
      <c r="B55" s="1797"/>
      <c r="C55" s="3156"/>
      <c r="D55" s="313"/>
      <c r="E55" s="296" t="s">
        <v>28</v>
      </c>
      <c r="F55" s="3001" t="s">
        <v>8416</v>
      </c>
      <c r="G55" s="3001"/>
      <c r="H55" s="3001"/>
      <c r="I55" s="254" t="s">
        <v>699</v>
      </c>
      <c r="J55" s="2417">
        <v>0</v>
      </c>
      <c r="K55" s="3034"/>
      <c r="L55" s="3035"/>
      <c r="M55" s="1836"/>
      <c r="R55" s="304" t="s">
        <v>1624</v>
      </c>
      <c r="S55" s="310">
        <f>IF(S53&gt;10000000,S51*0.15,0)</f>
        <v>0</v>
      </c>
      <c r="T55" s="310"/>
      <c r="U55" s="305"/>
      <c r="W55" s="304" t="s">
        <v>1624</v>
      </c>
      <c r="X55" s="310">
        <f>IF(X53&gt;5000000,X51*0.1,0)</f>
        <v>0</v>
      </c>
      <c r="Y55" s="310"/>
      <c r="Z55" s="305"/>
      <c r="AB55" s="304" t="s">
        <v>1624</v>
      </c>
      <c r="AC55" s="310">
        <f>IF(AC53&gt;20000000,AC51*0.25,0)</f>
        <v>0</v>
      </c>
      <c r="AD55" s="310"/>
      <c r="AE55" s="305"/>
      <c r="AG55" s="304" t="s">
        <v>1624</v>
      </c>
      <c r="AH55" s="310">
        <f>IF(AH53&gt;50000000,AH51*0.37,0)</f>
        <v>0</v>
      </c>
      <c r="AI55" s="310"/>
      <c r="AJ55" s="305"/>
      <c r="AO55" s="113"/>
      <c r="AP55" s="113"/>
      <c r="AQ55" s="113"/>
    </row>
    <row r="56" spans="1:43" ht="26.25" customHeight="1" x14ac:dyDescent="0.25">
      <c r="B56" s="1797"/>
      <c r="C56" s="3156"/>
      <c r="D56" s="313"/>
      <c r="E56" s="296" t="s">
        <v>29</v>
      </c>
      <c r="F56" s="3001" t="s">
        <v>700</v>
      </c>
      <c r="G56" s="3001"/>
      <c r="H56" s="3001"/>
      <c r="I56" s="254" t="s">
        <v>322</v>
      </c>
      <c r="J56" s="2417">
        <v>0</v>
      </c>
      <c r="K56" s="2015"/>
      <c r="L56" s="316"/>
      <c r="M56" s="1836"/>
      <c r="R56" s="304"/>
      <c r="S56" s="310"/>
      <c r="T56" s="310"/>
      <c r="U56" s="305"/>
      <c r="W56" s="304"/>
      <c r="X56" s="310"/>
      <c r="Y56" s="310"/>
      <c r="Z56" s="305"/>
      <c r="AB56" s="304"/>
      <c r="AC56" s="310"/>
      <c r="AD56" s="310"/>
      <c r="AE56" s="305"/>
      <c r="AG56" s="304"/>
      <c r="AH56" s="310"/>
      <c r="AI56" s="310"/>
      <c r="AJ56" s="305"/>
      <c r="AO56" s="113"/>
      <c r="AP56" s="113"/>
      <c r="AQ56" s="113"/>
    </row>
    <row r="57" spans="1:43" ht="13.5" customHeight="1" x14ac:dyDescent="0.25">
      <c r="B57" s="1797"/>
      <c r="C57" s="3156"/>
      <c r="D57" s="313"/>
      <c r="E57" s="176" t="s">
        <v>36</v>
      </c>
      <c r="F57" s="3001" t="s">
        <v>701</v>
      </c>
      <c r="G57" s="3001"/>
      <c r="H57" s="3001"/>
      <c r="I57" s="3001"/>
      <c r="J57" s="3001"/>
      <c r="K57" s="176" t="s">
        <v>702</v>
      </c>
      <c r="L57" s="729">
        <f>MAX(SUM(J54,J55)-sheet9.RebateOnAgriInc,0)</f>
        <v>0</v>
      </c>
      <c r="M57" s="1836"/>
      <c r="R57" s="304" t="s">
        <v>1625</v>
      </c>
      <c r="S57" s="310"/>
      <c r="T57" s="310"/>
      <c r="U57" s="305"/>
      <c r="W57" s="304" t="s">
        <v>1625</v>
      </c>
      <c r="X57" s="310"/>
      <c r="Y57" s="310"/>
      <c r="Z57" s="305"/>
      <c r="AB57" s="304" t="s">
        <v>1625</v>
      </c>
      <c r="AC57" s="310"/>
      <c r="AD57" s="310"/>
      <c r="AE57" s="305"/>
      <c r="AG57" s="304" t="s">
        <v>1625</v>
      </c>
      <c r="AH57" s="310"/>
      <c r="AI57" s="310"/>
      <c r="AJ57" s="305"/>
      <c r="AO57" s="113"/>
      <c r="AP57" s="113"/>
      <c r="AQ57" s="113"/>
    </row>
    <row r="58" spans="1:43" ht="12.75" hidden="1" customHeight="1" x14ac:dyDescent="0.25">
      <c r="B58" s="1797"/>
      <c r="C58" s="3156"/>
      <c r="D58" s="317">
        <v>2</v>
      </c>
      <c r="E58" s="3117" t="s">
        <v>703</v>
      </c>
      <c r="F58" s="3117"/>
      <c r="G58" s="3117"/>
      <c r="H58" s="3117"/>
      <c r="I58" s="3117"/>
      <c r="J58" s="3117"/>
      <c r="K58" s="176">
        <v>2</v>
      </c>
      <c r="L58" s="1560"/>
      <c r="M58" s="1836"/>
      <c r="R58" s="304"/>
      <c r="S58" s="310"/>
      <c r="T58" s="310"/>
      <c r="U58" s="305"/>
      <c r="W58" s="304"/>
      <c r="X58" s="310"/>
      <c r="Y58" s="310"/>
      <c r="Z58" s="305"/>
      <c r="AB58" s="304"/>
      <c r="AC58" s="310"/>
      <c r="AD58" s="310"/>
      <c r="AE58" s="305"/>
      <c r="AG58" s="304"/>
      <c r="AH58" s="310"/>
      <c r="AI58" s="310"/>
      <c r="AJ58" s="305"/>
      <c r="AO58" s="113"/>
      <c r="AP58" s="113"/>
      <c r="AQ58" s="113"/>
    </row>
    <row r="59" spans="1:43" ht="12.75" hidden="1" customHeight="1" x14ac:dyDescent="0.25">
      <c r="B59" s="1797"/>
      <c r="C59" s="3156"/>
      <c r="D59" s="318">
        <v>3</v>
      </c>
      <c r="E59" s="3117" t="s">
        <v>704</v>
      </c>
      <c r="F59" s="3117"/>
      <c r="G59" s="3117"/>
      <c r="H59" s="3117"/>
      <c r="I59" s="3117"/>
      <c r="J59" s="3117"/>
      <c r="K59" s="176">
        <v>3</v>
      </c>
      <c r="L59" s="729">
        <v>0</v>
      </c>
      <c r="M59" s="1836"/>
      <c r="R59" s="304"/>
      <c r="S59" s="310"/>
      <c r="T59" s="310"/>
      <c r="U59" s="305"/>
      <c r="W59" s="304"/>
      <c r="X59" s="310"/>
      <c r="Y59" s="310"/>
      <c r="Z59" s="305"/>
      <c r="AB59" s="304"/>
      <c r="AC59" s="310"/>
      <c r="AD59" s="310"/>
      <c r="AE59" s="305"/>
      <c r="AG59" s="304"/>
      <c r="AH59" s="310"/>
      <c r="AI59" s="310"/>
      <c r="AJ59" s="305"/>
      <c r="AO59" s="113"/>
      <c r="AP59" s="113"/>
      <c r="AQ59" s="113"/>
    </row>
    <row r="60" spans="1:43" ht="15" hidden="1" customHeight="1" x14ac:dyDescent="0.25">
      <c r="B60" s="1797"/>
      <c r="C60" s="3156"/>
      <c r="D60" s="319">
        <v>4</v>
      </c>
      <c r="E60" s="3852" t="s">
        <v>705</v>
      </c>
      <c r="F60" s="3852"/>
      <c r="G60" s="3852"/>
      <c r="H60" s="3852"/>
      <c r="I60" s="3041"/>
      <c r="J60" s="3041"/>
      <c r="K60" s="2021">
        <v>4</v>
      </c>
      <c r="L60" s="1560"/>
      <c r="M60" s="1836"/>
      <c r="R60" s="304"/>
      <c r="S60" s="310"/>
      <c r="T60" s="310"/>
      <c r="U60" s="305"/>
      <c r="W60" s="304"/>
      <c r="X60" s="310"/>
      <c r="Y60" s="310"/>
      <c r="Z60" s="305"/>
      <c r="AB60" s="304"/>
      <c r="AC60" s="310"/>
      <c r="AD60" s="310"/>
      <c r="AE60" s="305"/>
      <c r="AG60" s="304"/>
      <c r="AH60" s="310"/>
      <c r="AI60" s="310"/>
      <c r="AJ60" s="305"/>
      <c r="AO60" s="113"/>
      <c r="AP60" s="113"/>
      <c r="AQ60" s="113"/>
    </row>
    <row r="61" spans="1:43" ht="13.5" customHeight="1" x14ac:dyDescent="0.25">
      <c r="B61" s="1797"/>
      <c r="C61" s="3156"/>
      <c r="D61" s="320"/>
      <c r="E61" s="176" t="s">
        <v>38</v>
      </c>
      <c r="F61" s="3001" t="s">
        <v>8292</v>
      </c>
      <c r="G61" s="3001"/>
      <c r="H61" s="3001"/>
      <c r="I61" s="3001"/>
      <c r="J61" s="3001"/>
      <c r="K61" s="176" t="s">
        <v>707</v>
      </c>
      <c r="L61" s="729">
        <f>IF(MID(sheet1.Status,1,1)&lt;&gt;"H",IF(MID(sheet1.ResidentialStatus1,1,3)&lt;&gt;"NRI",IF((Sheet8b.TotalIncome+DTAA_INCOME_CG+DTAA_Inc_OS)&lt;=500000,MIN(sheet9.TaxPayableOnTotInc-SI_112A_Tax-'SPI - SI - IF'!I62-SI_Section115AD,12500),0),0),0)</f>
        <v>0</v>
      </c>
      <c r="M61" s="1836"/>
      <c r="R61" s="304"/>
      <c r="S61" s="310"/>
      <c r="T61" s="310"/>
      <c r="U61" s="305"/>
      <c r="W61" s="304"/>
      <c r="X61" s="310"/>
      <c r="Y61" s="310"/>
      <c r="Z61" s="305"/>
      <c r="AB61" s="304"/>
      <c r="AC61" s="310"/>
      <c r="AD61" s="310"/>
      <c r="AE61" s="305"/>
      <c r="AG61" s="304"/>
      <c r="AH61" s="310"/>
      <c r="AI61" s="310"/>
      <c r="AJ61" s="305"/>
      <c r="AO61" s="113"/>
      <c r="AP61" s="113"/>
      <c r="AQ61" s="113"/>
    </row>
    <row r="62" spans="1:43" ht="15" customHeight="1" x14ac:dyDescent="0.25">
      <c r="B62" s="1797"/>
      <c r="C62" s="3156"/>
      <c r="D62" s="320"/>
      <c r="E62" s="176" t="s">
        <v>40</v>
      </c>
      <c r="F62" s="3021" t="s">
        <v>708</v>
      </c>
      <c r="G62" s="3021"/>
      <c r="H62" s="3021"/>
      <c r="I62" s="3021"/>
      <c r="J62" s="3021"/>
      <c r="K62" s="188" t="s">
        <v>709</v>
      </c>
      <c r="L62" s="1381">
        <f>MAX(0,sheet9.TaxPayableOnTotInc-Sheet9.RebateUs88E)</f>
        <v>0</v>
      </c>
      <c r="M62" s="1836"/>
      <c r="R62" s="304" t="s">
        <v>1626</v>
      </c>
      <c r="S62" s="310">
        <f>S53-10000000</f>
        <v>-10000000</v>
      </c>
      <c r="T62" s="310"/>
      <c r="U62" s="305"/>
      <c r="W62" s="304" t="s">
        <v>1626</v>
      </c>
      <c r="X62" s="310">
        <f>X53-5000000</f>
        <v>-5000000</v>
      </c>
      <c r="Y62" s="310"/>
      <c r="Z62" s="305"/>
      <c r="AB62" s="304" t="s">
        <v>1626</v>
      </c>
      <c r="AC62" s="310">
        <f>AC53-20000000</f>
        <v>-20000000</v>
      </c>
      <c r="AD62" s="310"/>
      <c r="AE62" s="305"/>
      <c r="AG62" s="304" t="s">
        <v>1626</v>
      </c>
      <c r="AH62" s="310">
        <f>AH53-50000000</f>
        <v>-50000000</v>
      </c>
      <c r="AI62" s="310"/>
      <c r="AJ62" s="305"/>
      <c r="AO62" s="113"/>
      <c r="AP62" s="113"/>
      <c r="AQ62" s="113"/>
    </row>
    <row r="63" spans="1:43" ht="15" customHeight="1" x14ac:dyDescent="0.25">
      <c r="B63" s="1797"/>
      <c r="C63" s="3156"/>
      <c r="D63" s="320"/>
      <c r="E63" s="161" t="s">
        <v>539</v>
      </c>
      <c r="F63" s="3004" t="s">
        <v>1856</v>
      </c>
      <c r="G63" s="3005"/>
      <c r="H63" s="3005"/>
      <c r="I63" s="3005"/>
      <c r="J63" s="3005"/>
      <c r="K63" s="1958"/>
      <c r="L63" s="1959"/>
      <c r="M63" s="1836"/>
      <c r="R63" s="304"/>
      <c r="S63" s="310"/>
      <c r="T63" s="310"/>
      <c r="U63" s="305"/>
      <c r="W63" s="304"/>
      <c r="X63" s="310"/>
      <c r="Y63" s="310"/>
      <c r="Z63" s="305"/>
      <c r="AB63" s="304"/>
      <c r="AC63" s="310"/>
      <c r="AD63" s="310"/>
      <c r="AE63" s="305"/>
      <c r="AG63" s="304"/>
      <c r="AH63" s="310"/>
      <c r="AI63" s="310"/>
      <c r="AJ63" s="305"/>
      <c r="AO63" s="113"/>
      <c r="AP63" s="113"/>
      <c r="AQ63" s="113"/>
    </row>
    <row r="64" spans="1:43" s="2392" customFormat="1" ht="15" customHeight="1" x14ac:dyDescent="0.25">
      <c r="A64" s="113"/>
      <c r="B64" s="1797"/>
      <c r="C64" s="3156"/>
      <c r="D64" s="320"/>
      <c r="E64" s="161" t="s">
        <v>309</v>
      </c>
      <c r="F64" s="2394" t="s">
        <v>12973</v>
      </c>
      <c r="G64" s="2393"/>
      <c r="H64" s="2393"/>
      <c r="I64" s="2393"/>
      <c r="J64" s="2391"/>
      <c r="K64" s="323"/>
      <c r="L64" s="324"/>
      <c r="M64" s="1836"/>
      <c r="N64" s="113"/>
      <c r="O64" s="113"/>
      <c r="P64" s="113"/>
      <c r="Q64" s="113"/>
      <c r="R64" s="304"/>
      <c r="S64" s="310"/>
      <c r="T64" s="310"/>
      <c r="U64" s="305"/>
      <c r="V64" s="113"/>
      <c r="W64" s="304"/>
      <c r="X64" s="310"/>
      <c r="Y64" s="310"/>
      <c r="Z64" s="305"/>
      <c r="AA64" s="113"/>
      <c r="AB64" s="304"/>
      <c r="AC64" s="310"/>
      <c r="AD64" s="310"/>
      <c r="AE64" s="305"/>
      <c r="AF64" s="113"/>
      <c r="AG64" s="304"/>
      <c r="AH64" s="310"/>
      <c r="AI64" s="310"/>
      <c r="AJ64" s="305"/>
      <c r="AK64" s="113"/>
      <c r="AL64" s="113"/>
      <c r="AM64" s="113"/>
      <c r="AN64" s="113"/>
      <c r="AO64" s="113"/>
      <c r="AP64" s="113"/>
      <c r="AQ64" s="113"/>
    </row>
    <row r="65" spans="1:43" s="2392" customFormat="1" ht="15" customHeight="1" x14ac:dyDescent="0.25">
      <c r="A65" s="113"/>
      <c r="B65" s="1797"/>
      <c r="C65" s="3156"/>
      <c r="D65" s="320"/>
      <c r="E65" s="161" t="s">
        <v>287</v>
      </c>
      <c r="F65" s="2394" t="s">
        <v>12004</v>
      </c>
      <c r="G65" s="2393"/>
      <c r="H65" s="2393"/>
      <c r="I65" s="254" t="s">
        <v>7653</v>
      </c>
      <c r="J65" s="2396">
        <f>Sheet9.Surcharge_i</f>
        <v>0</v>
      </c>
      <c r="K65" s="323"/>
      <c r="L65" s="324"/>
      <c r="M65" s="1836"/>
      <c r="N65" s="113"/>
      <c r="O65" s="113"/>
      <c r="P65" s="113"/>
      <c r="Q65" s="113"/>
      <c r="R65" s="304"/>
      <c r="S65" s="310"/>
      <c r="T65" s="310"/>
      <c r="U65" s="305"/>
      <c r="V65" s="113"/>
      <c r="W65" s="304"/>
      <c r="X65" s="310"/>
      <c r="Y65" s="310"/>
      <c r="Z65" s="305"/>
      <c r="AA65" s="113"/>
      <c r="AB65" s="304"/>
      <c r="AC65" s="310"/>
      <c r="AD65" s="310"/>
      <c r="AE65" s="305"/>
      <c r="AF65" s="113"/>
      <c r="AG65" s="304"/>
      <c r="AH65" s="310"/>
      <c r="AI65" s="310"/>
      <c r="AJ65" s="305"/>
      <c r="AK65" s="113"/>
      <c r="AL65" s="113"/>
      <c r="AM65" s="113"/>
      <c r="AN65" s="113"/>
      <c r="AO65" s="113"/>
      <c r="AP65" s="113"/>
      <c r="AQ65" s="113"/>
    </row>
    <row r="66" spans="1:43" s="2392" customFormat="1" ht="38.25" customHeight="1" x14ac:dyDescent="0.25">
      <c r="A66" s="113"/>
      <c r="B66" s="1797"/>
      <c r="C66" s="3156"/>
      <c r="D66" s="320"/>
      <c r="E66" s="161" t="s">
        <v>290</v>
      </c>
      <c r="F66" s="3009" t="s">
        <v>12982</v>
      </c>
      <c r="G66" s="3010"/>
      <c r="H66" s="3010"/>
      <c r="I66" s="254" t="s">
        <v>8286</v>
      </c>
      <c r="J66" s="3971">
        <f>Sheet9.Surcharge_ii+MR_ND</f>
        <v>0</v>
      </c>
      <c r="K66" s="323"/>
      <c r="L66" s="324"/>
      <c r="M66" s="1836"/>
      <c r="N66" s="113"/>
      <c r="O66" s="113"/>
      <c r="P66" s="113"/>
      <c r="Q66" s="113"/>
      <c r="R66" s="304"/>
      <c r="S66" s="310"/>
      <c r="T66" s="310"/>
      <c r="U66" s="305"/>
      <c r="V66" s="113"/>
      <c r="W66" s="304"/>
      <c r="X66" s="310"/>
      <c r="Y66" s="310"/>
      <c r="Z66" s="305"/>
      <c r="AA66" s="113"/>
      <c r="AB66" s="304"/>
      <c r="AC66" s="310"/>
      <c r="AD66" s="310"/>
      <c r="AE66" s="305"/>
      <c r="AF66" s="113"/>
      <c r="AG66" s="304"/>
      <c r="AH66" s="310"/>
      <c r="AI66" s="310"/>
      <c r="AJ66" s="305"/>
      <c r="AK66" s="113"/>
      <c r="AL66" s="113"/>
      <c r="AM66" s="113"/>
      <c r="AN66" s="113"/>
      <c r="AO66" s="113"/>
      <c r="AP66" s="113"/>
      <c r="AQ66" s="113"/>
    </row>
    <row r="67" spans="1:43" s="2392" customFormat="1" ht="15" customHeight="1" x14ac:dyDescent="0.25">
      <c r="A67" s="113"/>
      <c r="B67" s="1797"/>
      <c r="C67" s="3156"/>
      <c r="D67" s="320"/>
      <c r="E67" s="161" t="s">
        <v>293</v>
      </c>
      <c r="F67" s="2394" t="s">
        <v>12696</v>
      </c>
      <c r="G67" s="2393"/>
      <c r="H67" s="2393"/>
      <c r="I67" s="254" t="s">
        <v>8285</v>
      </c>
      <c r="J67" s="3972"/>
      <c r="K67" s="323"/>
      <c r="L67" s="324"/>
      <c r="M67" s="1836"/>
      <c r="N67" s="113"/>
      <c r="O67" s="113"/>
      <c r="P67" s="113"/>
      <c r="Q67" s="113"/>
      <c r="R67" s="304"/>
      <c r="S67" s="310"/>
      <c r="T67" s="310"/>
      <c r="U67" s="305"/>
      <c r="V67" s="113"/>
      <c r="W67" s="304"/>
      <c r="X67" s="310"/>
      <c r="Y67" s="310"/>
      <c r="Z67" s="305"/>
      <c r="AA67" s="113"/>
      <c r="AB67" s="304"/>
      <c r="AC67" s="310"/>
      <c r="AD67" s="310"/>
      <c r="AE67" s="305"/>
      <c r="AF67" s="113"/>
      <c r="AG67" s="304"/>
      <c r="AH67" s="310"/>
      <c r="AI67" s="310"/>
      <c r="AJ67" s="305"/>
      <c r="AK67" s="113"/>
      <c r="AL67" s="113"/>
      <c r="AM67" s="113"/>
      <c r="AN67" s="113"/>
      <c r="AO67" s="113"/>
      <c r="AP67" s="113"/>
      <c r="AQ67" s="113"/>
    </row>
    <row r="68" spans="1:43" s="2392" customFormat="1" ht="15" customHeight="1" x14ac:dyDescent="0.25">
      <c r="A68" s="113"/>
      <c r="B68" s="1797"/>
      <c r="C68" s="3156"/>
      <c r="D68" s="320"/>
      <c r="E68" s="161" t="s">
        <v>312</v>
      </c>
      <c r="F68" s="3126" t="s">
        <v>12974</v>
      </c>
      <c r="G68" s="3127"/>
      <c r="H68" s="3127"/>
      <c r="I68" s="3127"/>
      <c r="J68" s="3128"/>
      <c r="K68" s="323"/>
      <c r="L68" s="324"/>
      <c r="M68" s="1836"/>
      <c r="N68" s="113"/>
      <c r="O68" s="113"/>
      <c r="P68" s="113"/>
      <c r="Q68" s="113"/>
      <c r="R68" s="304"/>
      <c r="S68" s="310"/>
      <c r="T68" s="310"/>
      <c r="U68" s="305"/>
      <c r="V68" s="113"/>
      <c r="W68" s="304"/>
      <c r="X68" s="310"/>
      <c r="Y68" s="310"/>
      <c r="Z68" s="305"/>
      <c r="AA68" s="113"/>
      <c r="AB68" s="304"/>
      <c r="AC68" s="310"/>
      <c r="AD68" s="310"/>
      <c r="AE68" s="305"/>
      <c r="AF68" s="113"/>
      <c r="AG68" s="304"/>
      <c r="AH68" s="310"/>
      <c r="AI68" s="310"/>
      <c r="AJ68" s="305"/>
      <c r="AK68" s="113"/>
      <c r="AL68" s="113"/>
      <c r="AM68" s="113"/>
      <c r="AN68" s="113"/>
      <c r="AO68" s="113"/>
      <c r="AP68" s="113"/>
      <c r="AQ68" s="113"/>
    </row>
    <row r="69" spans="1:43" ht="16.5" customHeight="1" x14ac:dyDescent="0.25">
      <c r="B69" s="1797"/>
      <c r="C69" s="3156"/>
      <c r="D69" s="320"/>
      <c r="E69" s="176" t="s">
        <v>287</v>
      </c>
      <c r="F69" s="1953" t="s">
        <v>12004</v>
      </c>
      <c r="G69" s="321"/>
      <c r="H69" s="321"/>
      <c r="I69" s="253" t="s">
        <v>12975</v>
      </c>
      <c r="J69" s="1960">
        <v>0</v>
      </c>
      <c r="K69" s="323"/>
      <c r="L69" s="324"/>
      <c r="M69" s="1836"/>
      <c r="R69" s="304"/>
      <c r="S69" s="310"/>
      <c r="T69" s="310"/>
      <c r="U69" s="305"/>
      <c r="W69" s="304"/>
      <c r="X69" s="310"/>
      <c r="Y69" s="310"/>
      <c r="Z69" s="305"/>
      <c r="AB69" s="304"/>
      <c r="AC69" s="310"/>
      <c r="AD69" s="310"/>
      <c r="AE69" s="305"/>
      <c r="AG69" s="304"/>
      <c r="AH69" s="310"/>
      <c r="AI69" s="310"/>
      <c r="AJ69" s="305"/>
      <c r="AO69" s="113"/>
      <c r="AP69" s="113"/>
      <c r="AQ69" s="113"/>
    </row>
    <row r="70" spans="1:43" ht="37.5" customHeight="1" x14ac:dyDescent="0.25">
      <c r="B70" s="1797"/>
      <c r="C70" s="3156"/>
      <c r="D70" s="320"/>
      <c r="E70" s="176" t="s">
        <v>290</v>
      </c>
      <c r="F70" s="3004" t="s">
        <v>12982</v>
      </c>
      <c r="G70" s="3005"/>
      <c r="H70" s="3008"/>
      <c r="I70" s="234" t="s">
        <v>12976</v>
      </c>
      <c r="J70" s="3973">
        <v>0</v>
      </c>
      <c r="K70" s="323"/>
      <c r="L70" s="324"/>
      <c r="M70" s="1836"/>
      <c r="R70" s="304"/>
      <c r="S70" s="310"/>
      <c r="T70" s="310"/>
      <c r="U70" s="305"/>
      <c r="W70" s="304"/>
      <c r="X70" s="310"/>
      <c r="Y70" s="310"/>
      <c r="Z70" s="305"/>
      <c r="AB70" s="304"/>
      <c r="AC70" s="310"/>
      <c r="AD70" s="310"/>
      <c r="AE70" s="305"/>
      <c r="AG70" s="304"/>
      <c r="AH70" s="310"/>
      <c r="AI70" s="310"/>
      <c r="AJ70" s="305"/>
      <c r="AO70" s="113"/>
      <c r="AP70" s="113"/>
      <c r="AQ70" s="113"/>
    </row>
    <row r="71" spans="1:43" s="1956" customFormat="1" ht="15" customHeight="1" x14ac:dyDescent="0.25">
      <c r="A71" s="113"/>
      <c r="B71" s="1797"/>
      <c r="C71" s="3156"/>
      <c r="D71" s="320"/>
      <c r="E71" s="176" t="s">
        <v>293</v>
      </c>
      <c r="F71" s="3004" t="s">
        <v>12696</v>
      </c>
      <c r="G71" s="3005"/>
      <c r="H71" s="3008"/>
      <c r="I71" s="234" t="s">
        <v>12977</v>
      </c>
      <c r="J71" s="3974"/>
      <c r="K71" s="325"/>
      <c r="L71" s="326"/>
      <c r="M71" s="1836"/>
      <c r="N71" s="113"/>
      <c r="O71" s="113"/>
      <c r="P71" s="113"/>
      <c r="Q71" s="113"/>
      <c r="R71" s="304"/>
      <c r="S71" s="310"/>
      <c r="T71" s="310"/>
      <c r="U71" s="305"/>
      <c r="V71" s="113"/>
      <c r="W71" s="304"/>
      <c r="X71" s="310"/>
      <c r="Y71" s="310"/>
      <c r="Z71" s="305"/>
      <c r="AA71" s="113"/>
      <c r="AB71" s="304"/>
      <c r="AC71" s="310"/>
      <c r="AD71" s="310"/>
      <c r="AE71" s="305"/>
      <c r="AF71" s="113"/>
      <c r="AG71" s="304"/>
      <c r="AH71" s="310"/>
      <c r="AI71" s="310"/>
      <c r="AJ71" s="305"/>
      <c r="AK71" s="113"/>
      <c r="AL71" s="113"/>
      <c r="AM71" s="113"/>
      <c r="AN71" s="113"/>
      <c r="AO71" s="113"/>
      <c r="AP71" s="113"/>
      <c r="AQ71" s="113"/>
    </row>
    <row r="72" spans="1:43" ht="12" customHeight="1" x14ac:dyDescent="0.25">
      <c r="B72" s="1797"/>
      <c r="C72" s="3156"/>
      <c r="D72" s="320"/>
      <c r="E72" s="161" t="s">
        <v>296</v>
      </c>
      <c r="F72" s="3004" t="s">
        <v>12978</v>
      </c>
      <c r="G72" s="3005"/>
      <c r="H72" s="3005"/>
      <c r="I72" s="3005"/>
      <c r="J72" s="3008"/>
      <c r="K72" s="1394" t="s">
        <v>12979</v>
      </c>
      <c r="L72" s="1643">
        <f>MAX(0,Sheet9.Surcharge_i+Sheet9.Surcharge_ii)</f>
        <v>0</v>
      </c>
      <c r="M72" s="1836"/>
      <c r="R72" s="304"/>
      <c r="S72" s="310"/>
      <c r="T72" s="310"/>
      <c r="U72" s="305"/>
      <c r="W72" s="304"/>
      <c r="X72" s="310"/>
      <c r="Y72" s="310"/>
      <c r="Z72" s="305"/>
      <c r="AB72" s="304"/>
      <c r="AC72" s="310"/>
      <c r="AD72" s="310"/>
      <c r="AE72" s="305"/>
      <c r="AG72" s="304"/>
      <c r="AH72" s="310"/>
      <c r="AI72" s="310"/>
      <c r="AJ72" s="305"/>
      <c r="AO72" s="113"/>
      <c r="AP72" s="113"/>
      <c r="AQ72" s="113"/>
    </row>
    <row r="73" spans="1:43" ht="15" customHeight="1" x14ac:dyDescent="0.25">
      <c r="B73" s="1797"/>
      <c r="C73" s="3156"/>
      <c r="D73" s="320"/>
      <c r="E73" s="176" t="s">
        <v>541</v>
      </c>
      <c r="F73" s="3970" t="s">
        <v>12698</v>
      </c>
      <c r="G73" s="3970"/>
      <c r="H73" s="3970"/>
      <c r="I73" s="3970"/>
      <c r="J73" s="3970"/>
      <c r="K73" s="296" t="s">
        <v>712</v>
      </c>
      <c r="L73" s="2419">
        <v>0</v>
      </c>
      <c r="M73" s="1836"/>
      <c r="R73" s="304" t="s">
        <v>1627</v>
      </c>
      <c r="S73" s="310">
        <f>MAX((S51+S55-(S52+S62)),0)</f>
        <v>10000000</v>
      </c>
      <c r="T73" s="310"/>
      <c r="U73" s="305"/>
      <c r="W73" s="304" t="s">
        <v>1627</v>
      </c>
      <c r="X73" s="310">
        <f>MAX((X51+X55-(X52+X62)),0)</f>
        <v>5000000</v>
      </c>
      <c r="Y73" s="310"/>
      <c r="Z73" s="305"/>
      <c r="AB73" s="304" t="s">
        <v>1627</v>
      </c>
      <c r="AC73" s="310">
        <f>MAX((AC51+AC55-(AC52+AC62)),0)</f>
        <v>20000000</v>
      </c>
      <c r="AD73" s="310"/>
      <c r="AE73" s="305"/>
      <c r="AG73" s="304" t="s">
        <v>1627</v>
      </c>
      <c r="AH73" s="310">
        <f>MAX((AH51+AH55-(AH52+AH62)),0)</f>
        <v>50000000</v>
      </c>
      <c r="AI73" s="310"/>
      <c r="AJ73" s="305"/>
      <c r="AO73" s="113"/>
      <c r="AP73" s="113"/>
      <c r="AQ73" s="113"/>
    </row>
    <row r="74" spans="1:43" ht="15.75" customHeight="1" x14ac:dyDescent="0.25">
      <c r="B74" s="1797"/>
      <c r="C74" s="3156"/>
      <c r="D74" s="327"/>
      <c r="E74" s="176" t="s">
        <v>287</v>
      </c>
      <c r="F74" s="3001" t="s">
        <v>12699</v>
      </c>
      <c r="G74" s="3001"/>
      <c r="H74" s="3001"/>
      <c r="I74" s="3001"/>
      <c r="J74" s="3001"/>
      <c r="K74" s="296" t="s">
        <v>714</v>
      </c>
      <c r="L74" s="729">
        <f>Sheet9.BalTaxPayable+Sheet9.SurchargeOnTaxPayable+Sheet9.EducationCess</f>
        <v>0</v>
      </c>
      <c r="M74" s="1836"/>
      <c r="R74" s="304"/>
      <c r="S74" s="310"/>
      <c r="T74" s="310"/>
      <c r="U74" s="305"/>
      <c r="W74" s="304"/>
      <c r="X74" s="310"/>
      <c r="Y74" s="310"/>
      <c r="Z74" s="305"/>
      <c r="AB74" s="304"/>
      <c r="AC74" s="310"/>
      <c r="AD74" s="310"/>
      <c r="AE74" s="305"/>
      <c r="AG74" s="304"/>
      <c r="AH74" s="310"/>
      <c r="AI74" s="310"/>
      <c r="AJ74" s="305"/>
      <c r="AO74" s="113"/>
      <c r="AP74" s="113"/>
      <c r="AQ74" s="113"/>
    </row>
    <row r="75" spans="1:43" s="2295" customFormat="1" ht="15.75" customHeight="1" x14ac:dyDescent="0.25">
      <c r="A75" s="113"/>
      <c r="B75" s="1797"/>
      <c r="C75" s="3156"/>
      <c r="D75" s="320">
        <v>3</v>
      </c>
      <c r="E75" s="3001" t="s">
        <v>13140</v>
      </c>
      <c r="F75" s="3001"/>
      <c r="G75" s="3001"/>
      <c r="H75" s="3001"/>
      <c r="I75" s="3001"/>
      <c r="J75" s="3001"/>
      <c r="K75" s="296">
        <v>3</v>
      </c>
      <c r="L75" s="729">
        <f>MAX(Sheet9.GrossTaxLiability,sheet9.TotalTax_DI)</f>
        <v>0</v>
      </c>
      <c r="M75" s="1836"/>
      <c r="N75" s="113"/>
      <c r="O75" s="113"/>
      <c r="P75" s="113"/>
      <c r="Q75" s="113"/>
      <c r="R75" s="304"/>
      <c r="S75" s="310"/>
      <c r="T75" s="310"/>
      <c r="U75" s="305"/>
      <c r="V75" s="113"/>
      <c r="W75" s="304"/>
      <c r="X75" s="310"/>
      <c r="Y75" s="310"/>
      <c r="Z75" s="305"/>
      <c r="AA75" s="113"/>
      <c r="AB75" s="304"/>
      <c r="AC75" s="310"/>
      <c r="AD75" s="310"/>
      <c r="AE75" s="305"/>
      <c r="AF75" s="113"/>
      <c r="AG75" s="304"/>
      <c r="AH75" s="310"/>
      <c r="AI75" s="310"/>
      <c r="AJ75" s="305"/>
      <c r="AK75" s="113"/>
      <c r="AL75" s="113"/>
      <c r="AM75" s="113"/>
      <c r="AN75" s="113"/>
      <c r="AO75" s="113"/>
      <c r="AP75" s="113"/>
      <c r="AQ75" s="113"/>
    </row>
    <row r="76" spans="1:43" ht="25.5" customHeight="1" x14ac:dyDescent="0.25">
      <c r="B76" s="1797"/>
      <c r="C76" s="3156"/>
      <c r="D76" s="319" t="s">
        <v>768</v>
      </c>
      <c r="E76" s="3001" t="s">
        <v>12872</v>
      </c>
      <c r="F76" s="3001"/>
      <c r="G76" s="3001"/>
      <c r="H76" s="3001"/>
      <c r="I76" s="3001"/>
      <c r="J76" s="3001"/>
      <c r="K76" s="296" t="s">
        <v>768</v>
      </c>
      <c r="L76" s="729">
        <f>MAX(0,sheet9.GrossTaxPayable_3-sheet9.GrossTaxPayable_3b)</f>
        <v>0</v>
      </c>
      <c r="M76" s="1836"/>
      <c r="R76" s="306" t="s">
        <v>1628</v>
      </c>
      <c r="S76" s="328">
        <f>MAX(0,IF((taxOnTotInc+tempSurcharge)&gt;(taxOnCutOffInc+extraInc),ROUND(tempSurcharge-marginal_Relief,0),ROUND(tempSurcharge,0)))</f>
        <v>0</v>
      </c>
      <c r="T76" s="328"/>
      <c r="U76" s="264"/>
      <c r="W76" s="306" t="s">
        <v>8211</v>
      </c>
      <c r="X76" s="328">
        <f>MAX(0,IF((X51+X55)&gt;(X52+X62),ROUND(X55-X73,0),ROUND(X55,0)))</f>
        <v>0</v>
      </c>
      <c r="Y76" s="328"/>
      <c r="Z76" s="264"/>
      <c r="AB76" s="1767" t="s">
        <v>12099</v>
      </c>
      <c r="AC76" s="328">
        <f>MAX(0,IF((AC51+AC55)&gt;(AC52+AC62),ROUND(AC55-AC73,0),ROUND(AC55,0)))</f>
        <v>0</v>
      </c>
      <c r="AD76" s="328"/>
      <c r="AE76" s="264"/>
      <c r="AG76" s="306" t="s">
        <v>1628</v>
      </c>
      <c r="AH76" s="328">
        <f>MAX(0,IF((AH51+AH55)&gt;(AH52+AH62),ROUND(AH55-AH73,0),ROUND(AH55,0)))</f>
        <v>0</v>
      </c>
      <c r="AI76" s="328"/>
      <c r="AJ76" s="264"/>
      <c r="AO76" s="113"/>
      <c r="AP76" s="113"/>
      <c r="AQ76" s="113"/>
    </row>
    <row r="77" spans="1:43" s="2295" customFormat="1" ht="27.6" customHeight="1" x14ac:dyDescent="0.25">
      <c r="A77" s="113"/>
      <c r="B77" s="1797"/>
      <c r="C77" s="3156"/>
      <c r="D77" s="319" t="s">
        <v>769</v>
      </c>
      <c r="E77" s="3001" t="s">
        <v>12873</v>
      </c>
      <c r="F77" s="3001"/>
      <c r="G77" s="3001"/>
      <c r="H77" s="3001"/>
      <c r="I77" s="3001"/>
      <c r="J77" s="3001"/>
      <c r="K77" s="296" t="s">
        <v>769</v>
      </c>
      <c r="L77" s="729">
        <f>IF(Sheet9.GrossTaxLiability&gt;sheet9.TotalTax_DI,AC88,AC95)</f>
        <v>0</v>
      </c>
      <c r="M77" s="1836"/>
      <c r="N77" s="113"/>
      <c r="O77" s="113"/>
      <c r="P77" s="113"/>
      <c r="Q77" s="113"/>
      <c r="R77" s="310"/>
      <c r="S77" s="310"/>
      <c r="T77" s="310"/>
      <c r="U77" s="310"/>
      <c r="V77" s="113"/>
      <c r="W77" s="310"/>
      <c r="X77" s="310"/>
      <c r="Y77" s="310"/>
      <c r="Z77" s="310"/>
      <c r="AA77" s="113"/>
      <c r="AB77" s="848"/>
      <c r="AC77" s="310"/>
      <c r="AD77" s="310"/>
      <c r="AE77" s="310"/>
      <c r="AF77" s="113"/>
      <c r="AG77" s="310"/>
      <c r="AH77" s="310"/>
      <c r="AI77" s="310"/>
      <c r="AJ77" s="310"/>
      <c r="AK77" s="113"/>
      <c r="AL77" s="113"/>
      <c r="AM77" s="113"/>
      <c r="AN77" s="113"/>
      <c r="AO77" s="113"/>
      <c r="AP77" s="113"/>
      <c r="AQ77" s="113"/>
    </row>
    <row r="78" spans="1:43" s="2506" customFormat="1" ht="15.75" thickBot="1" x14ac:dyDescent="0.3">
      <c r="A78" s="113"/>
      <c r="B78" s="1797"/>
      <c r="C78" s="3156"/>
      <c r="D78" s="319" t="s">
        <v>378</v>
      </c>
      <c r="E78" s="3001" t="s">
        <v>13141</v>
      </c>
      <c r="F78" s="3001"/>
      <c r="G78" s="3001"/>
      <c r="H78" s="3001"/>
      <c r="I78" s="3001"/>
      <c r="J78" s="3001"/>
      <c r="K78" s="296" t="s">
        <v>378</v>
      </c>
      <c r="L78" s="729">
        <f>ESOP.TaxCurrAY</f>
        <v>0</v>
      </c>
      <c r="M78" s="1836"/>
      <c r="N78" s="113"/>
      <c r="O78" s="113"/>
      <c r="P78" s="113"/>
      <c r="Q78" s="113"/>
      <c r="R78" s="310"/>
      <c r="S78" s="310"/>
      <c r="T78" s="310"/>
      <c r="U78" s="310"/>
      <c r="V78" s="113"/>
      <c r="W78" s="310"/>
      <c r="X78" s="310"/>
      <c r="Y78" s="310"/>
      <c r="Z78" s="310"/>
      <c r="AA78" s="113"/>
      <c r="AB78" s="848"/>
      <c r="AC78" s="310"/>
      <c r="AD78" s="310"/>
      <c r="AE78" s="310"/>
      <c r="AF78" s="113"/>
      <c r="AG78" s="310"/>
      <c r="AH78" s="310"/>
      <c r="AI78" s="310"/>
      <c r="AJ78" s="310"/>
      <c r="AK78" s="113"/>
      <c r="AL78" s="113"/>
      <c r="AM78" s="113"/>
      <c r="AN78" s="113"/>
      <c r="AO78" s="113"/>
      <c r="AP78" s="113"/>
      <c r="AQ78" s="113"/>
    </row>
    <row r="79" spans="1:43" ht="21.75" customHeight="1" thickBot="1" x14ac:dyDescent="0.3">
      <c r="B79" s="1797"/>
      <c r="C79" s="3156"/>
      <c r="D79" s="319">
        <v>4</v>
      </c>
      <c r="E79" s="3001" t="s">
        <v>716</v>
      </c>
      <c r="F79" s="3001"/>
      <c r="G79" s="3001"/>
      <c r="H79" s="3001"/>
      <c r="I79" s="3001"/>
      <c r="J79" s="3001"/>
      <c r="K79" s="296">
        <v>4</v>
      </c>
      <c r="L79" s="729">
        <f>IF(Sheet9.GrossTaxLiability &lt;= sheet9.TotalTax_DI,0,AMTC.TaxSection115JD)</f>
        <v>0</v>
      </c>
      <c r="M79" s="1836"/>
      <c r="V79" s="2395">
        <f>IF(RoundDown_Value_frm_AMT&gt;50000000,AH76,IF(RoundDown_Value_frm_AMT&gt;20000000,AC76,IF(RoundDown_Value_frm_AMT&gt;10000000,S76,X76)))</f>
        <v>0</v>
      </c>
      <c r="W79" s="2390" t="b">
        <f>IF(RoundDown_Value_frm_AMT&gt;50000000,AH73,IF(RoundDown_Value_frm_AMT&gt;20000000,AC73,IF(RoundDown_Value_frm_AMT&gt;10000000,marginal_Relief,IF(X53&gt;5000000,X73))))</f>
        <v>0</v>
      </c>
      <c r="X79" s="113" t="b">
        <f>IF(Sheet9.GrossTaxLiability&gt;sheet9.TotalTax_DI,MR_N,MR_D)</f>
        <v>0</v>
      </c>
      <c r="AC79" s="1105">
        <f>Sheet8b.AggregateIncome</f>
        <v>0</v>
      </c>
      <c r="AD79" s="309"/>
      <c r="AE79" s="309"/>
      <c r="AF79" s="309"/>
      <c r="AG79" s="309"/>
      <c r="AH79" s="303"/>
      <c r="AO79" s="113"/>
      <c r="AP79" s="113"/>
      <c r="AQ79" s="113"/>
    </row>
    <row r="80" spans="1:43" ht="14.25" customHeight="1" x14ac:dyDescent="0.25">
      <c r="B80" s="1797"/>
      <c r="C80" s="3156"/>
      <c r="D80" s="319">
        <v>5</v>
      </c>
      <c r="E80" s="3001" t="s">
        <v>13142</v>
      </c>
      <c r="F80" s="3001"/>
      <c r="G80" s="3001"/>
      <c r="H80" s="3001"/>
      <c r="I80" s="3001"/>
      <c r="J80" s="3001"/>
      <c r="K80" s="296">
        <v>5</v>
      </c>
      <c r="L80" s="729">
        <f>IF((sheet9.GrossTaxPayable+sheet9.GrossTaxPayable_3c)&gt;sheet9.CreditUS115JD,sheet9.GrossTaxPayable+sheet9.GrossTaxPayable_3c-sheet9.CreditUS115JD,0)</f>
        <v>0</v>
      </c>
      <c r="M80" s="1836"/>
      <c r="AC80" s="304">
        <f>MIN(SAL.TotESOP,MIN(Sheet8b.AggregateIncome,salary.IncOfCurYrAfterSetOffBFLosses))</f>
        <v>0</v>
      </c>
      <c r="AD80" s="310"/>
      <c r="AE80" s="310"/>
      <c r="AF80" s="310"/>
      <c r="AG80" s="310"/>
      <c r="AH80" s="305"/>
      <c r="AO80" s="113"/>
      <c r="AP80" s="113"/>
      <c r="AQ80" s="113"/>
    </row>
    <row r="81" spans="1:43" ht="12" customHeight="1" x14ac:dyDescent="0.25">
      <c r="B81" s="1797"/>
      <c r="C81" s="3156"/>
      <c r="D81" s="311">
        <v>6</v>
      </c>
      <c r="E81" s="3796" t="s">
        <v>718</v>
      </c>
      <c r="F81" s="3852"/>
      <c r="G81" s="3852"/>
      <c r="H81" s="3852"/>
      <c r="I81" s="3041"/>
      <c r="J81" s="3041"/>
      <c r="K81" s="2013"/>
      <c r="L81" s="312"/>
      <c r="M81" s="1836"/>
      <c r="AC81" s="304">
        <f>MAX(0,ESOP_a-ESOP_d)</f>
        <v>0</v>
      </c>
      <c r="AD81" s="310"/>
      <c r="AE81" s="310"/>
      <c r="AF81" s="310"/>
      <c r="AG81" s="310"/>
      <c r="AH81" s="305"/>
      <c r="AO81" s="113"/>
      <c r="AP81" s="113"/>
      <c r="AQ81" s="113"/>
    </row>
    <row r="82" spans="1:43" ht="13.5" customHeight="1" x14ac:dyDescent="0.25">
      <c r="B82" s="1797"/>
      <c r="C82" s="3156"/>
      <c r="D82" s="313"/>
      <c r="E82" s="329" t="s">
        <v>27</v>
      </c>
      <c r="F82" s="3694" t="s">
        <v>11834</v>
      </c>
      <c r="G82" s="3694"/>
      <c r="H82" s="3694"/>
      <c r="I82" s="2022" t="s">
        <v>405</v>
      </c>
      <c r="J82" s="2034">
        <v>0</v>
      </c>
      <c r="K82" s="2014"/>
      <c r="L82" s="316"/>
      <c r="M82" s="1836"/>
      <c r="O82" s="113">
        <f>IF(Sheet9.TaxAtNormalRatesOnAggrInc&lt;=0,0,ROUND(((Sheet8b.Salaries+os_FamilyPension-os_Deduction57iia)/(Sheet8b.AggregateIncome))*Sheet9.TaxAtNormalRatesOnAggrInc,0))</f>
        <v>0</v>
      </c>
      <c r="S82" s="113" t="s">
        <v>1663</v>
      </c>
      <c r="Y82" s="113" t="s">
        <v>1607</v>
      </c>
      <c r="AC82" s="838" t="s">
        <v>12883</v>
      </c>
      <c r="AD82" s="310"/>
      <c r="AE82" s="310"/>
      <c r="AF82" s="310"/>
      <c r="AG82" s="310"/>
      <c r="AH82" s="305"/>
      <c r="AO82" s="113"/>
      <c r="AP82" s="113"/>
      <c r="AQ82" s="121"/>
    </row>
    <row r="83" spans="1:43" s="2458" customFormat="1" ht="13.5" hidden="1" customHeight="1" x14ac:dyDescent="0.25">
      <c r="A83" s="113"/>
      <c r="B83" s="1797"/>
      <c r="C83" s="3156"/>
      <c r="D83" s="2460"/>
      <c r="E83" s="329" t="s">
        <v>28</v>
      </c>
      <c r="F83" s="3047" t="s">
        <v>13057</v>
      </c>
      <c r="G83" s="3335"/>
      <c r="H83" s="3336"/>
      <c r="I83" s="162" t="s">
        <v>407</v>
      </c>
      <c r="J83" s="2456">
        <v>0</v>
      </c>
      <c r="K83" s="2455"/>
      <c r="L83" s="316"/>
      <c r="M83" s="1836"/>
      <c r="N83" s="113"/>
      <c r="O83" s="113"/>
      <c r="P83" s="113"/>
      <c r="Q83" s="113"/>
      <c r="R83" s="113"/>
      <c r="S83" s="113"/>
      <c r="T83" s="113"/>
      <c r="U83" s="113"/>
      <c r="V83" s="113"/>
      <c r="W83" s="113"/>
      <c r="X83" s="113"/>
      <c r="Y83" s="113"/>
      <c r="Z83" s="113"/>
      <c r="AA83" s="113"/>
      <c r="AB83" s="113"/>
      <c r="AC83" s="838"/>
      <c r="AD83" s="310"/>
      <c r="AE83" s="310"/>
      <c r="AF83" s="310"/>
      <c r="AG83" s="310"/>
      <c r="AH83" s="305"/>
      <c r="AI83" s="113"/>
      <c r="AJ83" s="113"/>
      <c r="AK83" s="113"/>
      <c r="AL83" s="113"/>
      <c r="AM83" s="113"/>
      <c r="AN83" s="113"/>
      <c r="AO83" s="113"/>
      <c r="AP83" s="113"/>
      <c r="AQ83" s="121"/>
    </row>
    <row r="84" spans="1:43" ht="12.75" customHeight="1" x14ac:dyDescent="0.25">
      <c r="B84" s="1797"/>
      <c r="C84" s="3156"/>
      <c r="D84" s="313"/>
      <c r="E84" s="185" t="s">
        <v>28</v>
      </c>
      <c r="F84" s="3001" t="s">
        <v>720</v>
      </c>
      <c r="G84" s="3001"/>
      <c r="H84" s="3001"/>
      <c r="I84" s="162" t="s">
        <v>407</v>
      </c>
      <c r="J84" s="729">
        <f>TR_TaxReliefOutsideIndiaDTAA</f>
        <v>0</v>
      </c>
      <c r="K84" s="2014"/>
      <c r="L84" s="316"/>
      <c r="M84" s="1836"/>
      <c r="AC84" s="304">
        <f>ROUND(IF(ESOP_a=0,0,Sheet9.TaxAtNormalRatesOnAggrInc*ESOP_d/ESOP_a),0)</f>
        <v>0</v>
      </c>
      <c r="AD84" s="848" t="s">
        <v>12885</v>
      </c>
      <c r="AE84" s="310"/>
      <c r="AF84" s="310"/>
      <c r="AG84" s="310"/>
      <c r="AH84" s="305"/>
      <c r="AO84" s="113"/>
      <c r="AP84" s="113"/>
      <c r="AQ84" s="121"/>
    </row>
    <row r="85" spans="1:43" ht="12" customHeight="1" x14ac:dyDescent="0.25">
      <c r="B85" s="1797"/>
      <c r="C85" s="3156"/>
      <c r="D85" s="313"/>
      <c r="E85" s="185" t="s">
        <v>29</v>
      </c>
      <c r="F85" s="3001" t="s">
        <v>721</v>
      </c>
      <c r="G85" s="3001"/>
      <c r="H85" s="3001"/>
      <c r="I85" s="162" t="s">
        <v>409</v>
      </c>
      <c r="J85" s="729">
        <f>TR_TaxReliefOutsideIndiaNotDTAA</f>
        <v>0</v>
      </c>
      <c r="K85" s="2015"/>
      <c r="L85" s="330"/>
      <c r="M85" s="1836"/>
      <c r="X85" s="113" t="s">
        <v>1608</v>
      </c>
      <c r="Y85" s="113">
        <f>Sheet8b.AggregateIncome</f>
        <v>0</v>
      </c>
      <c r="AC85" s="304">
        <f>ROUND(IF((Sheet9.TaxAtNormalRatesOnAggrInc+sheet9.TaxAtSpecialRates-SI_115BBE)=0,0,(Sheet9.Surcharge_ii*AC84)/(Sheet9.TaxAtNormalRatesOnAggrInc+sheet9.TaxAtSpecialRates-SI_115BBE)),0)</f>
        <v>0</v>
      </c>
      <c r="AD85" s="848" t="s">
        <v>12886</v>
      </c>
      <c r="AE85" s="310"/>
      <c r="AF85" s="310"/>
      <c r="AG85" s="310"/>
      <c r="AH85" s="305"/>
      <c r="AO85" s="113"/>
      <c r="AP85" s="113"/>
      <c r="AQ85" s="113"/>
    </row>
    <row r="86" spans="1:43" ht="12" customHeight="1" x14ac:dyDescent="0.25">
      <c r="B86" s="1797"/>
      <c r="C86" s="3156"/>
      <c r="D86" s="331"/>
      <c r="E86" s="176" t="s">
        <v>36</v>
      </c>
      <c r="F86" s="3001" t="s">
        <v>13184</v>
      </c>
      <c r="G86" s="3001"/>
      <c r="H86" s="3001"/>
      <c r="I86" s="3001"/>
      <c r="J86" s="3001"/>
      <c r="K86" s="176" t="s">
        <v>537</v>
      </c>
      <c r="L86" s="729">
        <f>SUM(J82:J85)</f>
        <v>0</v>
      </c>
      <c r="M86" s="1836"/>
      <c r="R86" s="113" t="s">
        <v>1664</v>
      </c>
      <c r="S86" s="113">
        <f>Sheet9.BalTaxPayable</f>
        <v>0</v>
      </c>
      <c r="AC86" s="304">
        <f>ROUND(IF(Sheet9.TaxAtNormalRatesOnAggrInc=0,0,(sheet9.RebateOnAgriInc*AC84)/Sheet9.TaxAtNormalRatesOnAggrInc),0)</f>
        <v>0</v>
      </c>
      <c r="AD86" s="848" t="s">
        <v>12887</v>
      </c>
      <c r="AE86" s="310"/>
      <c r="AF86" s="310"/>
      <c r="AG86" s="310"/>
      <c r="AH86" s="305"/>
      <c r="AO86" s="113"/>
      <c r="AP86" s="113"/>
      <c r="AQ86" s="113"/>
    </row>
    <row r="87" spans="1:43" ht="12.75" customHeight="1" x14ac:dyDescent="0.25">
      <c r="B87" s="1797"/>
      <c r="C87" s="3156"/>
      <c r="D87" s="332">
        <v>7</v>
      </c>
      <c r="E87" s="3001" t="s">
        <v>13185</v>
      </c>
      <c r="F87" s="3001"/>
      <c r="G87" s="3001"/>
      <c r="H87" s="3001"/>
      <c r="I87" s="3001"/>
      <c r="J87" s="3001"/>
      <c r="K87" s="176">
        <v>7</v>
      </c>
      <c r="L87" s="3">
        <f>MAX(sheet9.TaxPayAfterCreditUs115JD-Sheet9.TotTaxRelief,0)</f>
        <v>0</v>
      </c>
      <c r="M87" s="1836"/>
      <c r="R87" s="113" t="s">
        <v>1665</v>
      </c>
      <c r="S87" s="113">
        <f>MAX(0,Sheet8b.TotalIncome)</f>
        <v>0</v>
      </c>
      <c r="AC87" s="304">
        <f>ROUND((AC84+AC85-AC86)*0.04,0)</f>
        <v>0</v>
      </c>
      <c r="AD87" s="848" t="s">
        <v>12888</v>
      </c>
      <c r="AE87" s="310"/>
      <c r="AF87" s="310"/>
      <c r="AG87" s="310"/>
      <c r="AH87" s="305"/>
      <c r="AO87" s="113"/>
      <c r="AP87" s="113"/>
      <c r="AQ87" s="113"/>
    </row>
    <row r="88" spans="1:43" ht="14.25" customHeight="1" x14ac:dyDescent="0.25">
      <c r="B88" s="1797"/>
      <c r="C88" s="3156"/>
      <c r="D88" s="311">
        <v>8</v>
      </c>
      <c r="E88" s="3336" t="s">
        <v>8273</v>
      </c>
      <c r="F88" s="3694"/>
      <c r="G88" s="3694"/>
      <c r="H88" s="3694"/>
      <c r="I88" s="2999"/>
      <c r="J88" s="2999"/>
      <c r="K88" s="3032"/>
      <c r="L88" s="3033"/>
      <c r="M88" s="1836"/>
      <c r="X88" s="113" t="s">
        <v>1609</v>
      </c>
      <c r="Y88" s="113">
        <f>Y85</f>
        <v>0</v>
      </c>
      <c r="AC88" s="304">
        <f>ROUND(AC84+AC85-AC86+AC87,0)</f>
        <v>0</v>
      </c>
      <c r="AD88" s="848" t="s">
        <v>12889</v>
      </c>
      <c r="AE88" s="310"/>
      <c r="AF88" s="310"/>
      <c r="AG88" s="310"/>
      <c r="AH88" s="305"/>
      <c r="AO88" s="113"/>
      <c r="AP88" s="113"/>
      <c r="AQ88" s="113"/>
    </row>
    <row r="89" spans="1:43" ht="15.75" customHeight="1" x14ac:dyDescent="0.25">
      <c r="B89" s="1797"/>
      <c r="C89" s="3156"/>
      <c r="D89" s="313"/>
      <c r="E89" s="333" t="s">
        <v>27</v>
      </c>
      <c r="F89" s="3967" t="s">
        <v>8274</v>
      </c>
      <c r="G89" s="3967"/>
      <c r="H89" s="3967"/>
      <c r="I89" s="108" t="s">
        <v>723</v>
      </c>
      <c r="J89" s="1561">
        <v>0</v>
      </c>
      <c r="K89" s="3034"/>
      <c r="L89" s="3035"/>
      <c r="M89" s="1836"/>
      <c r="R89" s="113" t="s">
        <v>1666</v>
      </c>
      <c r="S89" s="113">
        <f>MAX(0,Sheet8b.TotalIncome)</f>
        <v>0</v>
      </c>
      <c r="AC89" s="304"/>
      <c r="AD89" s="310"/>
      <c r="AE89" s="310"/>
      <c r="AF89" s="310"/>
      <c r="AG89" s="310"/>
      <c r="AH89" s="305"/>
      <c r="AO89" s="113"/>
      <c r="AP89" s="113"/>
      <c r="AQ89" s="113"/>
    </row>
    <row r="90" spans="1:43" ht="16.5" customHeight="1" x14ac:dyDescent="0.25">
      <c r="B90" s="1797"/>
      <c r="C90" s="3156"/>
      <c r="D90" s="313"/>
      <c r="E90" s="334" t="s">
        <v>28</v>
      </c>
      <c r="F90" s="3962" t="s">
        <v>8275</v>
      </c>
      <c r="G90" s="3962"/>
      <c r="H90" s="3962"/>
      <c r="I90" s="31" t="s">
        <v>724</v>
      </c>
      <c r="J90" s="1561">
        <v>0</v>
      </c>
      <c r="K90" s="3034"/>
      <c r="L90" s="3035"/>
      <c r="M90" s="1836"/>
      <c r="AC90" s="2301"/>
      <c r="AD90" s="309"/>
      <c r="AE90" s="309"/>
      <c r="AF90" s="309"/>
      <c r="AG90" s="309"/>
      <c r="AH90" s="303"/>
      <c r="AO90" s="113"/>
      <c r="AP90" s="113"/>
      <c r="AQ90" s="113"/>
    </row>
    <row r="91" spans="1:43" ht="14.25" customHeight="1" x14ac:dyDescent="0.25">
      <c r="B91" s="1797"/>
      <c r="C91" s="3156"/>
      <c r="D91" s="313"/>
      <c r="E91" s="334" t="s">
        <v>29</v>
      </c>
      <c r="F91" s="3962" t="s">
        <v>8276</v>
      </c>
      <c r="G91" s="3962"/>
      <c r="H91" s="3962"/>
      <c r="I91" s="31" t="s">
        <v>725</v>
      </c>
      <c r="J91" s="1561">
        <v>0</v>
      </c>
      <c r="K91" s="3034"/>
      <c r="L91" s="3035"/>
      <c r="M91" s="1836"/>
      <c r="R91" s="113" t="s">
        <v>1668</v>
      </c>
      <c r="S91" s="113">
        <f>Sheet8b.IncChargeableTaxSplRates</f>
        <v>0</v>
      </c>
      <c r="Y91" s="113" t="e">
        <f>IF(AND(MID(sheet1.PAN,4,1)="P",MID(sheet1.Status,1,1)="I",age&gt;59,age&lt;80,OR(MID(sheet1.ResidentialStatus1,1,3)="RES",MID(sheet1.ResidentialStatus1,1,3="NOR"))),IF(AND('Part B - TI TTI'!Y88&gt;=0,'Part B - TI TTI'!Y88&lt;=250000),0,IF(AND('Part B - TI TTI'!Y88&gt;=250001,'Part B - TI TTI'!Y88&lt;=500000),ROUND(('Part B - TI TTI'!Y88-250000)*0.1,0),IF(AND('Part B - TI TTI'!Y88&gt;=500001,'Part B - TI TTI'!Y88&lt;=1000000),ROUND(('Part B - TI TTI'!Y88-50000)*0.2+25000,0),IF('Part B - TI TTI'!Y88&gt;=1000001,ROUND(('Part B - TI TTI'!Y88-1000000)*0.3+125000,0))))))</f>
        <v>#VALUE!</v>
      </c>
      <c r="AC91" s="838" t="s">
        <v>12884</v>
      </c>
      <c r="AD91" s="310"/>
      <c r="AE91" s="310"/>
      <c r="AF91" s="310"/>
      <c r="AG91" s="310"/>
      <c r="AH91" s="305"/>
      <c r="AO91" s="113"/>
      <c r="AP91" s="113"/>
      <c r="AQ91" s="113"/>
    </row>
    <row r="92" spans="1:43" ht="14.25" customHeight="1" x14ac:dyDescent="0.25">
      <c r="B92" s="1797"/>
      <c r="C92" s="3156"/>
      <c r="D92" s="313"/>
      <c r="E92" s="335" t="s">
        <v>36</v>
      </c>
      <c r="F92" s="3313" t="s">
        <v>8277</v>
      </c>
      <c r="G92" s="3286"/>
      <c r="H92" s="3288"/>
      <c r="I92" s="36" t="s">
        <v>726</v>
      </c>
      <c r="J92" s="1561">
        <v>0</v>
      </c>
      <c r="K92" s="2015"/>
      <c r="L92" s="2016"/>
      <c r="M92" s="1836"/>
      <c r="AC92" s="304">
        <f>IF(Sheet8b.Deemed115JC=0,0,(sheet9.TaxDeemedTISec115JC*ESOP_d)/Sheet8b.Deemed115JC)</f>
        <v>0</v>
      </c>
      <c r="AD92" s="848" t="s">
        <v>12885</v>
      </c>
      <c r="AE92" s="310"/>
      <c r="AF92" s="310"/>
      <c r="AG92" s="310"/>
      <c r="AH92" s="305"/>
      <c r="AO92" s="113"/>
      <c r="AP92" s="113"/>
      <c r="AQ92" s="113"/>
    </row>
    <row r="93" spans="1:43" ht="15.75" customHeight="1" x14ac:dyDescent="0.25">
      <c r="B93" s="1797"/>
      <c r="C93" s="3156"/>
      <c r="D93" s="331"/>
      <c r="E93" s="268" t="s">
        <v>38</v>
      </c>
      <c r="F93" s="3021" t="s">
        <v>8293</v>
      </c>
      <c r="G93" s="3021"/>
      <c r="H93" s="3021"/>
      <c r="I93" s="3021"/>
      <c r="J93" s="3021"/>
      <c r="K93" s="274" t="s">
        <v>8169</v>
      </c>
      <c r="L93" s="1374">
        <f>SUM(J89:J92)</f>
        <v>0</v>
      </c>
      <c r="M93" s="1836"/>
      <c r="AC93" s="304">
        <f>IF(sheet9.TaxDeemedTISec115JC=0,0,(sheet9.deemeds*AC92)/sheet9.TaxDeemedTISec115JC)</f>
        <v>0</v>
      </c>
      <c r="AD93" s="848" t="s">
        <v>12886</v>
      </c>
      <c r="AE93" s="310"/>
      <c r="AF93" s="310"/>
      <c r="AG93" s="310"/>
      <c r="AH93" s="305"/>
      <c r="AO93" s="113"/>
      <c r="AP93" s="113"/>
      <c r="AQ93" s="113"/>
    </row>
    <row r="94" spans="1:43" ht="15.75" customHeight="1" x14ac:dyDescent="0.25">
      <c r="B94" s="1797"/>
      <c r="C94" s="3257"/>
      <c r="D94" s="336">
        <v>9</v>
      </c>
      <c r="E94" s="3001" t="s">
        <v>8170</v>
      </c>
      <c r="F94" s="3001"/>
      <c r="G94" s="3001"/>
      <c r="H94" s="3001"/>
      <c r="I94" s="3001"/>
      <c r="J94" s="3001"/>
      <c r="K94" s="725">
        <v>9</v>
      </c>
      <c r="L94" s="729">
        <f>ROUND(Sheet9.NetTaxLiability+Sheet9.TotalIntrstPay,0)</f>
        <v>0</v>
      </c>
      <c r="M94" s="1836"/>
      <c r="R94" s="113" t="s">
        <v>1667</v>
      </c>
      <c r="S94" s="113">
        <f>sheet9.TaxAtSpecialRates</f>
        <v>0</v>
      </c>
      <c r="AC94" s="304">
        <f>ROUND((AC92+AC93)*0.04,0)</f>
        <v>0</v>
      </c>
      <c r="AD94" s="848" t="s">
        <v>12888</v>
      </c>
      <c r="AE94" s="310"/>
      <c r="AF94" s="310"/>
      <c r="AG94" s="310"/>
      <c r="AH94" s="305"/>
      <c r="AO94" s="113"/>
      <c r="AP94" s="113"/>
      <c r="AQ94" s="113"/>
    </row>
    <row r="95" spans="1:43" ht="12" customHeight="1" x14ac:dyDescent="0.25">
      <c r="B95" s="1797"/>
      <c r="C95" s="3012" t="s">
        <v>727</v>
      </c>
      <c r="D95" s="287">
        <v>10</v>
      </c>
      <c r="E95" s="2995" t="s">
        <v>728</v>
      </c>
      <c r="F95" s="2999"/>
      <c r="G95" s="2999"/>
      <c r="H95" s="2999"/>
      <c r="I95" s="2999"/>
      <c r="J95" s="2999"/>
      <c r="K95" s="2013"/>
      <c r="L95" s="312"/>
      <c r="M95" s="1836"/>
      <c r="AC95" s="304">
        <f>ROUND(AC92+AC93+AC94,0)</f>
        <v>0</v>
      </c>
      <c r="AD95" s="848" t="s">
        <v>12889</v>
      </c>
      <c r="AE95" s="310"/>
      <c r="AF95" s="310"/>
      <c r="AG95" s="310"/>
      <c r="AH95" s="305"/>
      <c r="AO95" s="113"/>
      <c r="AP95" s="113"/>
      <c r="AQ95" s="113"/>
    </row>
    <row r="96" spans="1:43" ht="17.25" customHeight="1" x14ac:dyDescent="0.25">
      <c r="B96" s="1797"/>
      <c r="C96" s="3156"/>
      <c r="D96" s="313"/>
      <c r="E96" s="176" t="s">
        <v>27</v>
      </c>
      <c r="F96" s="3001" t="s">
        <v>8767</v>
      </c>
      <c r="G96" s="3001"/>
      <c r="H96" s="3001"/>
      <c r="I96" s="254" t="s">
        <v>604</v>
      </c>
      <c r="J96" s="729">
        <f>IT.AT</f>
        <v>0</v>
      </c>
      <c r="K96" s="2014"/>
      <c r="L96" s="316"/>
      <c r="M96" s="1836"/>
      <c r="R96" s="113" t="s">
        <v>1669</v>
      </c>
      <c r="S96" s="294">
        <f>DTAA_Inc_CG+DTAA_Inc_CG</f>
        <v>0</v>
      </c>
      <c r="AC96" s="304"/>
      <c r="AD96" s="310"/>
      <c r="AE96" s="310"/>
      <c r="AF96" s="310"/>
      <c r="AG96" s="310"/>
      <c r="AH96" s="305"/>
      <c r="AO96" s="113"/>
      <c r="AP96" s="113"/>
      <c r="AQ96" s="113"/>
    </row>
    <row r="97" spans="2:43" ht="15" customHeight="1" x14ac:dyDescent="0.25">
      <c r="B97" s="1797"/>
      <c r="C97" s="3156"/>
      <c r="D97" s="313"/>
      <c r="E97" s="176" t="s">
        <v>28</v>
      </c>
      <c r="F97" s="3001" t="s">
        <v>12700</v>
      </c>
      <c r="G97" s="3001"/>
      <c r="H97" s="3001"/>
      <c r="I97" s="254" t="s">
        <v>606</v>
      </c>
      <c r="J97" s="729">
        <f>SUM(TDS1.TotalTDSSal)+SUM(TDS2.ClaimedInOwnHands)+SUM(TDS3.ClaimedInOwnHands)</f>
        <v>0</v>
      </c>
      <c r="K97" s="2014"/>
      <c r="L97" s="316"/>
      <c r="M97" s="1836"/>
      <c r="R97" s="113" t="s">
        <v>1670</v>
      </c>
      <c r="S97" s="113">
        <f>DTAA_TAX_CG+DTAA_TAX_OS</f>
        <v>0</v>
      </c>
      <c r="AC97" s="304"/>
      <c r="AD97" s="310"/>
      <c r="AE97" s="310"/>
      <c r="AF97" s="310"/>
      <c r="AG97" s="310"/>
      <c r="AH97" s="305"/>
      <c r="AO97" s="113"/>
      <c r="AP97" s="113"/>
      <c r="AQ97" s="113"/>
    </row>
    <row r="98" spans="2:43" ht="14.25" customHeight="1" x14ac:dyDescent="0.25">
      <c r="B98" s="1797"/>
      <c r="C98" s="3156"/>
      <c r="D98" s="313"/>
      <c r="E98" s="176" t="s">
        <v>29</v>
      </c>
      <c r="F98" s="3001" t="s">
        <v>8768</v>
      </c>
      <c r="G98" s="3001"/>
      <c r="H98" s="3001"/>
      <c r="I98" s="254" t="s">
        <v>608</v>
      </c>
      <c r="J98" s="729">
        <f>SUM(TCS.AmtTCSClaimedThisYear)</f>
        <v>0</v>
      </c>
      <c r="K98" s="2014"/>
      <c r="L98" s="316"/>
      <c r="M98" s="1836"/>
      <c r="AC98" s="304"/>
      <c r="AD98" s="310"/>
      <c r="AE98" s="310"/>
      <c r="AF98" s="310"/>
      <c r="AG98" s="310"/>
      <c r="AH98" s="305"/>
      <c r="AO98" s="113"/>
      <c r="AP98" s="113"/>
      <c r="AQ98" s="113"/>
    </row>
    <row r="99" spans="2:43" ht="15" customHeight="1" x14ac:dyDescent="0.25">
      <c r="B99" s="1797"/>
      <c r="C99" s="3156"/>
      <c r="D99" s="313"/>
      <c r="E99" s="176" t="s">
        <v>36</v>
      </c>
      <c r="F99" s="3001" t="s">
        <v>8769</v>
      </c>
      <c r="G99" s="3001"/>
      <c r="H99" s="3001"/>
      <c r="I99" s="254" t="s">
        <v>610</v>
      </c>
      <c r="J99" s="729">
        <f>IT.SAT</f>
        <v>0</v>
      </c>
      <c r="K99" s="2015"/>
      <c r="L99" s="330"/>
      <c r="M99" s="1836"/>
      <c r="S99" s="113" t="s">
        <v>1671</v>
      </c>
      <c r="AC99" s="304"/>
      <c r="AD99" s="310"/>
      <c r="AE99" s="310"/>
      <c r="AF99" s="310"/>
      <c r="AG99" s="310"/>
      <c r="AH99" s="305"/>
      <c r="AO99" s="113"/>
      <c r="AP99" s="113"/>
      <c r="AQ99" s="113"/>
    </row>
    <row r="100" spans="2:43" ht="15.75" customHeight="1" x14ac:dyDescent="0.25">
      <c r="B100" s="1797"/>
      <c r="C100" s="3257"/>
      <c r="D100" s="331"/>
      <c r="E100" s="188" t="s">
        <v>38</v>
      </c>
      <c r="F100" s="3965" t="s">
        <v>729</v>
      </c>
      <c r="G100" s="3965"/>
      <c r="H100" s="3965"/>
      <c r="I100" s="3965"/>
      <c r="J100" s="3965"/>
      <c r="K100" s="254" t="s">
        <v>611</v>
      </c>
      <c r="L100" s="729">
        <f>SUM(J96:J99)</f>
        <v>0</v>
      </c>
      <c r="M100" s="1836"/>
      <c r="AC100" s="306"/>
      <c r="AD100" s="328"/>
      <c r="AE100" s="328"/>
      <c r="AF100" s="328"/>
      <c r="AG100" s="328"/>
      <c r="AH100" s="264"/>
      <c r="AO100" s="113"/>
      <c r="AP100" s="113"/>
      <c r="AQ100" s="113"/>
    </row>
    <row r="101" spans="2:43" ht="17.25" customHeight="1" x14ac:dyDescent="0.25">
      <c r="B101" s="1797"/>
      <c r="C101" s="337"/>
      <c r="D101" s="338">
        <v>11</v>
      </c>
      <c r="E101" s="3004" t="s">
        <v>730</v>
      </c>
      <c r="F101" s="3005"/>
      <c r="G101" s="3005"/>
      <c r="H101" s="3005"/>
      <c r="I101" s="3008"/>
      <c r="J101" s="92"/>
      <c r="K101" s="254">
        <v>11</v>
      </c>
      <c r="L101" s="729">
        <f>ROUND(MAX(0,Sheet9.AggregateTaxInterestLiability-Sheet9.TotalTaxesPaid),-1)</f>
        <v>0</v>
      </c>
      <c r="M101" s="1836"/>
      <c r="R101" s="113" t="s">
        <v>1672</v>
      </c>
      <c r="S101" s="113">
        <f>totInc__14_of_TI_2g+dtaaInc_2g</f>
        <v>0</v>
      </c>
      <c r="AO101" s="113"/>
      <c r="AP101" s="113"/>
      <c r="AQ101" s="113"/>
    </row>
    <row r="102" spans="2:43" ht="15" customHeight="1" x14ac:dyDescent="0.25">
      <c r="B102" s="1797"/>
      <c r="C102" s="339"/>
      <c r="D102" s="340">
        <v>12</v>
      </c>
      <c r="E102" s="3001" t="s">
        <v>7964</v>
      </c>
      <c r="F102" s="3001"/>
      <c r="G102" s="3001"/>
      <c r="H102" s="3001"/>
      <c r="I102" s="3001"/>
      <c r="J102" s="3001"/>
      <c r="K102" s="254">
        <v>12</v>
      </c>
      <c r="L102" s="729">
        <f>ROUND(MAX(0,Sheet9.TotalTaxesPaid-Sheet9.AggregateTaxInterestLiability),-1)</f>
        <v>0</v>
      </c>
      <c r="M102" s="1836"/>
      <c r="R102" s="113" t="s">
        <v>1673</v>
      </c>
      <c r="S102" s="113">
        <f>(totalIncome_2g-incChargeTaxSplRate111A112_2g)+taxAtSpecialRates_2g</f>
        <v>0</v>
      </c>
      <c r="AO102" s="113"/>
      <c r="AP102" s="113"/>
      <c r="AQ102" s="113"/>
    </row>
    <row r="103" spans="2:43" ht="15" hidden="1" customHeight="1" x14ac:dyDescent="0.25">
      <c r="B103" s="1797"/>
      <c r="C103" s="339"/>
      <c r="D103" s="1153">
        <v>13</v>
      </c>
      <c r="E103" s="341" t="s">
        <v>731</v>
      </c>
      <c r="F103" s="9"/>
      <c r="G103" s="9"/>
      <c r="H103" s="9"/>
      <c r="I103" s="70"/>
      <c r="J103" s="2058"/>
      <c r="K103" s="281"/>
      <c r="L103" s="2038" t="s">
        <v>23</v>
      </c>
      <c r="M103" s="1836"/>
      <c r="R103" s="113" t="s">
        <v>1674</v>
      </c>
      <c r="AO103" s="113"/>
      <c r="AP103" s="113"/>
      <c r="AQ103" s="113"/>
    </row>
    <row r="104" spans="2:43" ht="15" hidden="1" customHeight="1" x14ac:dyDescent="0.25">
      <c r="B104" s="1797"/>
      <c r="C104" s="339"/>
      <c r="D104" s="1154">
        <v>14</v>
      </c>
      <c r="E104" s="3110" t="s">
        <v>732</v>
      </c>
      <c r="F104" s="3979"/>
      <c r="G104" s="3979"/>
      <c r="H104" s="3979"/>
      <c r="I104" s="3979"/>
      <c r="J104" s="3980"/>
      <c r="K104" s="16"/>
      <c r="L104" s="2034" t="s">
        <v>12</v>
      </c>
      <c r="M104" s="1836"/>
      <c r="AO104" s="113"/>
      <c r="AP104" s="113"/>
      <c r="AQ104" s="113"/>
    </row>
    <row r="105" spans="2:43" ht="14.25" customHeight="1" x14ac:dyDescent="0.25">
      <c r="B105" s="1797"/>
      <c r="C105" s="339"/>
      <c r="D105" s="1154"/>
      <c r="E105" s="3822" t="s">
        <v>12701</v>
      </c>
      <c r="F105" s="3823"/>
      <c r="G105" s="3823"/>
      <c r="H105" s="3823"/>
      <c r="I105" s="3823"/>
      <c r="J105" s="3823"/>
      <c r="K105" s="3823"/>
      <c r="L105" s="3966"/>
      <c r="M105" s="1836"/>
      <c r="AO105" s="113"/>
      <c r="AP105" s="113"/>
      <c r="AQ105" s="113"/>
    </row>
    <row r="106" spans="2:43" ht="18" hidden="1" customHeight="1" x14ac:dyDescent="0.25">
      <c r="B106" s="1797"/>
      <c r="C106" s="339"/>
      <c r="D106" s="3993" t="s">
        <v>733</v>
      </c>
      <c r="E106" s="3994"/>
      <c r="F106" s="3994"/>
      <c r="G106" s="3994"/>
      <c r="H106" s="342" t="s">
        <v>23</v>
      </c>
      <c r="I106" s="343"/>
      <c r="J106" s="4003" t="s">
        <v>734</v>
      </c>
      <c r="K106" s="4004"/>
      <c r="L106" s="1199" t="s">
        <v>12</v>
      </c>
      <c r="M106" s="1836"/>
      <c r="AO106" s="113"/>
      <c r="AP106" s="113"/>
      <c r="AQ106" s="113"/>
    </row>
    <row r="107" spans="2:43" ht="16.5" customHeight="1" x14ac:dyDescent="0.25">
      <c r="B107" s="1797"/>
      <c r="C107" s="839"/>
      <c r="D107" s="344">
        <v>13</v>
      </c>
      <c r="E107" s="2069" t="s">
        <v>8076</v>
      </c>
      <c r="F107" s="345"/>
      <c r="G107" s="345"/>
      <c r="H107" s="2070"/>
      <c r="I107" s="345"/>
      <c r="J107" s="346"/>
      <c r="K107" s="31">
        <v>13</v>
      </c>
      <c r="L107" s="2653" t="s">
        <v>257</v>
      </c>
      <c r="M107" s="1836"/>
      <c r="AO107" s="113"/>
      <c r="AP107" s="113"/>
      <c r="AQ107" s="113"/>
    </row>
    <row r="108" spans="2:43" ht="16.5" hidden="1" customHeight="1" x14ac:dyDescent="0.25">
      <c r="B108" s="1797"/>
      <c r="C108" s="1855"/>
      <c r="D108" s="337"/>
      <c r="E108" s="3977" t="s">
        <v>7273</v>
      </c>
      <c r="F108" s="3978"/>
      <c r="G108" s="3978"/>
      <c r="H108" s="3978"/>
      <c r="I108" s="3978"/>
      <c r="J108" s="3978"/>
      <c r="K108" s="3978"/>
      <c r="L108" s="347"/>
      <c r="M108" s="1836"/>
      <c r="AO108" s="113"/>
      <c r="AP108" s="113"/>
      <c r="AQ108" s="113"/>
    </row>
    <row r="109" spans="2:43" ht="27" hidden="1" customHeight="1" x14ac:dyDescent="0.25">
      <c r="B109" s="1797"/>
      <c r="C109" s="1855"/>
      <c r="D109" s="1954">
        <v>13</v>
      </c>
      <c r="E109" s="3977" t="s">
        <v>8215</v>
      </c>
      <c r="F109" s="3998"/>
      <c r="G109" s="3998"/>
      <c r="H109" s="3998"/>
      <c r="I109" s="3998"/>
      <c r="J109" s="3998"/>
      <c r="K109" s="3998"/>
      <c r="L109" s="3999"/>
      <c r="M109" s="1836"/>
      <c r="AO109" s="113"/>
      <c r="AP109" s="113"/>
      <c r="AQ109" s="113"/>
    </row>
    <row r="110" spans="2:43" ht="14.25" customHeight="1" x14ac:dyDescent="0.25">
      <c r="B110" s="1797"/>
      <c r="C110" s="1855"/>
      <c r="D110" s="2005" t="s">
        <v>7565</v>
      </c>
      <c r="E110" s="3063" t="s">
        <v>9771</v>
      </c>
      <c r="F110" s="3091"/>
      <c r="G110" s="3091"/>
      <c r="H110" s="3091"/>
      <c r="I110" s="3091"/>
      <c r="J110" s="3859"/>
      <c r="K110" s="3859"/>
      <c r="L110" s="4002"/>
      <c r="M110" s="1836"/>
      <c r="AO110" s="113"/>
      <c r="AP110" s="113"/>
      <c r="AQ110" s="113"/>
    </row>
    <row r="111" spans="2:43" ht="30.75" hidden="1" customHeight="1" x14ac:dyDescent="0.25">
      <c r="B111" s="1797"/>
      <c r="C111" s="1855"/>
      <c r="D111" s="337"/>
      <c r="E111" s="4000" t="s">
        <v>1056</v>
      </c>
      <c r="F111" s="4001"/>
      <c r="G111" s="349" t="s">
        <v>7206</v>
      </c>
      <c r="H111" s="349" t="s">
        <v>1533</v>
      </c>
      <c r="I111" s="3885" t="s">
        <v>1534</v>
      </c>
      <c r="J111" s="3885"/>
      <c r="K111" s="350"/>
      <c r="L111" s="351"/>
      <c r="M111" s="1809"/>
      <c r="AO111" s="113"/>
      <c r="AP111" s="113"/>
      <c r="AQ111" s="113"/>
    </row>
    <row r="112" spans="2:43" ht="15" hidden="1" customHeight="1" x14ac:dyDescent="0.25">
      <c r="B112" s="1797"/>
      <c r="C112" s="1855"/>
      <c r="D112" s="339"/>
      <c r="E112" s="3963">
        <v>1</v>
      </c>
      <c r="F112" s="3964"/>
      <c r="G112" s="1987"/>
      <c r="H112" s="40"/>
      <c r="I112" s="3997"/>
      <c r="J112" s="3997"/>
      <c r="K112" s="352"/>
      <c r="L112" s="353"/>
      <c r="M112" s="1809"/>
      <c r="AO112" s="113"/>
      <c r="AP112" s="113"/>
      <c r="AQ112" s="113"/>
    </row>
    <row r="113" spans="2:43" ht="15.75" hidden="1" customHeight="1" x14ac:dyDescent="0.25">
      <c r="B113" s="1797"/>
      <c r="C113" s="1855"/>
      <c r="D113" s="339"/>
      <c r="E113" s="3968" t="s">
        <v>7329</v>
      </c>
      <c r="F113" s="3968"/>
      <c r="G113" s="3968"/>
      <c r="H113" s="3968"/>
      <c r="I113" s="3968"/>
      <c r="J113" s="3968"/>
      <c r="K113" s="352"/>
      <c r="L113" s="353"/>
      <c r="M113" s="1836"/>
      <c r="AO113" s="113"/>
      <c r="AP113" s="113"/>
      <c r="AQ113" s="113"/>
    </row>
    <row r="114" spans="2:43" ht="51" x14ac:dyDescent="0.25">
      <c r="B114" s="1797"/>
      <c r="C114" s="1855"/>
      <c r="D114" s="339"/>
      <c r="E114" s="2989" t="s">
        <v>1056</v>
      </c>
      <c r="F114" s="2985"/>
      <c r="G114" s="2072" t="s">
        <v>12726</v>
      </c>
      <c r="H114" s="355" t="s">
        <v>1533</v>
      </c>
      <c r="I114" s="114" t="s">
        <v>1534</v>
      </c>
      <c r="J114" s="114" t="s">
        <v>9770</v>
      </c>
      <c r="K114" s="1645"/>
      <c r="L114" s="351"/>
      <c r="M114" s="1809"/>
      <c r="AA114" s="113" t="b">
        <v>0</v>
      </c>
      <c r="AO114" s="113"/>
      <c r="AP114" s="113"/>
      <c r="AQ114" s="113"/>
    </row>
    <row r="115" spans="2:43" ht="16.5" customHeight="1" x14ac:dyDescent="0.25">
      <c r="B115" s="1797"/>
      <c r="C115" s="1855"/>
      <c r="D115" s="339"/>
      <c r="E115" s="3963">
        <v>1</v>
      </c>
      <c r="F115" s="3964"/>
      <c r="G115" s="2097" t="s">
        <v>23</v>
      </c>
      <c r="H115" s="2649"/>
      <c r="I115" s="2648"/>
      <c r="J115" s="2128"/>
      <c r="K115" s="356"/>
      <c r="L115" s="353"/>
      <c r="M115" s="1809"/>
      <c r="R115" s="2129" t="b">
        <v>0</v>
      </c>
      <c r="AA115" s="113" t="b">
        <v>0</v>
      </c>
      <c r="AO115" s="113"/>
      <c r="AP115" s="113"/>
      <c r="AQ115" s="113"/>
    </row>
    <row r="116" spans="2:43" ht="16.5" customHeight="1" x14ac:dyDescent="0.25">
      <c r="B116" s="1797"/>
      <c r="C116" s="1855"/>
      <c r="D116" s="339"/>
      <c r="E116" s="3995">
        <f>E115+1</f>
        <v>2</v>
      </c>
      <c r="F116" s="3996"/>
      <c r="G116" s="2098" t="s">
        <v>23</v>
      </c>
      <c r="H116" s="2099" t="s">
        <v>23</v>
      </c>
      <c r="I116" s="2648" t="s">
        <v>23</v>
      </c>
      <c r="J116" s="2128" t="s">
        <v>23</v>
      </c>
      <c r="K116" s="352"/>
      <c r="L116" s="357"/>
      <c r="M116" s="1809"/>
      <c r="R116" s="2129" t="b">
        <v>0</v>
      </c>
      <c r="AO116" s="113"/>
      <c r="AP116" s="113"/>
      <c r="AQ116" s="113"/>
    </row>
    <row r="117" spans="2:43" ht="54" customHeight="1" x14ac:dyDescent="0.25">
      <c r="B117" s="1797"/>
      <c r="C117" s="1855"/>
      <c r="D117" s="359"/>
      <c r="E117" s="3983" t="s">
        <v>9773</v>
      </c>
      <c r="F117" s="3984"/>
      <c r="G117" s="3984"/>
      <c r="H117" s="3984"/>
      <c r="I117" s="3984"/>
      <c r="J117" s="3985"/>
      <c r="K117" s="352"/>
      <c r="L117" s="357"/>
      <c r="M117" s="1809"/>
      <c r="AO117" s="113"/>
      <c r="AP117" s="113"/>
      <c r="AQ117" s="113"/>
    </row>
    <row r="118" spans="2:43" ht="28.5" customHeight="1" x14ac:dyDescent="0.25">
      <c r="B118" s="1797"/>
      <c r="C118" s="1855"/>
      <c r="D118" s="360"/>
      <c r="E118" s="1767"/>
      <c r="F118" s="849"/>
      <c r="G118" s="849"/>
      <c r="H118" s="849"/>
      <c r="I118" s="849"/>
      <c r="J118" s="1900"/>
      <c r="K118" s="1901"/>
      <c r="L118" s="1804"/>
      <c r="M118" s="1836"/>
      <c r="AO118" s="113"/>
      <c r="AP118" s="113"/>
      <c r="AQ118" s="113"/>
    </row>
    <row r="119" spans="2:43" ht="28.5" customHeight="1" x14ac:dyDescent="0.25">
      <c r="B119" s="1797"/>
      <c r="C119" s="1855"/>
      <c r="D119" s="362" t="s">
        <v>7566</v>
      </c>
      <c r="E119" s="3110" t="s">
        <v>9772</v>
      </c>
      <c r="F119" s="3111"/>
      <c r="G119" s="3111"/>
      <c r="H119" s="3111"/>
      <c r="I119" s="3111"/>
      <c r="J119" s="3112"/>
      <c r="K119" s="1901"/>
      <c r="L119" s="1804"/>
      <c r="M119" s="1836"/>
      <c r="AO119" s="113"/>
      <c r="AP119" s="113"/>
      <c r="AQ119" s="113"/>
    </row>
    <row r="120" spans="2:43" ht="15" x14ac:dyDescent="0.25">
      <c r="B120" s="1797"/>
      <c r="C120" s="1855"/>
      <c r="D120" s="2020"/>
      <c r="E120" s="3975" t="s">
        <v>1056</v>
      </c>
      <c r="F120" s="3976"/>
      <c r="G120" s="2017" t="s">
        <v>8279</v>
      </c>
      <c r="H120" s="363" t="s">
        <v>1533</v>
      </c>
      <c r="I120" s="363" t="s">
        <v>8414</v>
      </c>
      <c r="J120" s="2046" t="s">
        <v>8278</v>
      </c>
      <c r="K120" s="1803"/>
      <c r="L120" s="1804"/>
      <c r="M120" s="1155"/>
      <c r="AO120" s="113"/>
      <c r="AP120" s="113"/>
      <c r="AQ120" s="113"/>
    </row>
    <row r="121" spans="2:43" ht="12.75" customHeight="1" x14ac:dyDescent="0.25">
      <c r="B121" s="1797"/>
      <c r="C121" s="1855"/>
      <c r="D121" s="339"/>
      <c r="E121" s="3981">
        <v>1</v>
      </c>
      <c r="F121" s="3982"/>
      <c r="G121" s="2100" t="s">
        <v>23</v>
      </c>
      <c r="H121" s="2101"/>
      <c r="I121" s="2102" t="s">
        <v>23</v>
      </c>
      <c r="J121" s="2102" t="s">
        <v>23</v>
      </c>
      <c r="K121" s="1803"/>
      <c r="L121" s="1804"/>
      <c r="M121" s="1836"/>
      <c r="AO121" s="113"/>
      <c r="AP121" s="113"/>
      <c r="AQ121" s="113"/>
    </row>
    <row r="122" spans="2:43" ht="15" x14ac:dyDescent="0.25">
      <c r="B122" s="1797"/>
      <c r="C122" s="1855"/>
      <c r="D122" s="359"/>
      <c r="E122" s="364"/>
      <c r="F122" s="365"/>
      <c r="G122" s="365"/>
      <c r="H122" s="365"/>
      <c r="I122" s="365"/>
      <c r="J122" s="366"/>
      <c r="K122" s="1901"/>
      <c r="L122" s="1804"/>
      <c r="M122" s="1836"/>
      <c r="AO122" s="113"/>
      <c r="AP122" s="113"/>
      <c r="AQ122" s="113"/>
    </row>
    <row r="123" spans="2:43" ht="21" hidden="1" customHeight="1" x14ac:dyDescent="0.25">
      <c r="B123" s="1797"/>
      <c r="C123" s="1855"/>
      <c r="D123" s="360"/>
      <c r="E123" s="367"/>
      <c r="F123" s="368"/>
      <c r="G123" s="368"/>
      <c r="H123" s="368"/>
      <c r="I123" s="368"/>
      <c r="J123" s="369"/>
      <c r="K123" s="1902"/>
      <c r="L123" s="1806"/>
      <c r="M123" s="1836"/>
      <c r="AO123" s="113"/>
      <c r="AP123" s="113"/>
      <c r="AQ123" s="113"/>
    </row>
    <row r="124" spans="2:43" ht="72" customHeight="1" x14ac:dyDescent="0.25">
      <c r="B124" s="1797"/>
      <c r="C124" s="1903"/>
      <c r="D124" s="370">
        <v>14</v>
      </c>
      <c r="E124" s="3977" t="s">
        <v>7268</v>
      </c>
      <c r="F124" s="3978"/>
      <c r="G124" s="3978"/>
      <c r="H124" s="3978"/>
      <c r="I124" s="3978"/>
      <c r="J124" s="3992"/>
      <c r="K124" s="35">
        <v>14</v>
      </c>
      <c r="L124" s="2096" t="s">
        <v>12</v>
      </c>
      <c r="M124" s="1836"/>
      <c r="AO124" s="113"/>
      <c r="AP124" s="113"/>
      <c r="AQ124" s="113"/>
    </row>
    <row r="125" spans="2:43" ht="14.25" customHeight="1" x14ac:dyDescent="0.25">
      <c r="B125" s="1797"/>
      <c r="C125" s="284">
        <v>15</v>
      </c>
      <c r="D125" s="3986" t="s">
        <v>739</v>
      </c>
      <c r="E125" s="3987"/>
      <c r="F125" s="3987"/>
      <c r="G125" s="3987"/>
      <c r="H125" s="3987"/>
      <c r="I125" s="3987"/>
      <c r="J125" s="3987"/>
      <c r="K125" s="3987"/>
      <c r="L125" s="3988"/>
      <c r="M125" s="1836"/>
      <c r="AO125" s="113"/>
      <c r="AP125" s="113"/>
      <c r="AQ125" s="113"/>
    </row>
    <row r="126" spans="2:43" ht="12.75" customHeight="1" x14ac:dyDescent="0.25">
      <c r="B126" s="1797"/>
      <c r="C126" s="203"/>
      <c r="D126" s="3986" t="s">
        <v>740</v>
      </c>
      <c r="E126" s="3987"/>
      <c r="F126" s="3987"/>
      <c r="G126" s="3988"/>
      <c r="H126" s="3580"/>
      <c r="I126" s="3581"/>
      <c r="J126" s="372" t="s">
        <v>741</v>
      </c>
      <c r="K126" s="3219"/>
      <c r="L126" s="3220"/>
      <c r="M126" s="1836"/>
      <c r="AO126" s="113"/>
      <c r="AP126" s="113"/>
      <c r="AQ126" s="113"/>
    </row>
    <row r="127" spans="2:43" ht="15" customHeight="1" x14ac:dyDescent="0.25">
      <c r="B127" s="1797"/>
      <c r="C127" s="373"/>
      <c r="D127" s="3989" t="s">
        <v>742</v>
      </c>
      <c r="E127" s="3990"/>
      <c r="F127" s="3990"/>
      <c r="G127" s="3991"/>
      <c r="H127" s="3580"/>
      <c r="I127" s="3581"/>
      <c r="J127" s="374"/>
      <c r="K127" s="3221"/>
      <c r="L127" s="3222"/>
      <c r="M127" s="1836"/>
      <c r="AO127" s="113"/>
      <c r="AP127" s="113"/>
      <c r="AQ127" s="113"/>
    </row>
    <row r="128" spans="2:43" ht="26.25" customHeight="1" x14ac:dyDescent="0.25">
      <c r="B128" s="1797"/>
      <c r="C128" s="375"/>
      <c r="D128" s="3986" t="s">
        <v>743</v>
      </c>
      <c r="E128" s="3987"/>
      <c r="F128" s="3987"/>
      <c r="G128" s="3987"/>
      <c r="H128" s="3988"/>
      <c r="I128" s="1322">
        <v>16</v>
      </c>
      <c r="J128" s="2035"/>
      <c r="K128" s="3232"/>
      <c r="L128" s="3233"/>
      <c r="M128" s="1836"/>
      <c r="AO128" s="113"/>
      <c r="AP128" s="113"/>
      <c r="AQ128" s="113"/>
    </row>
    <row r="129" spans="1:43" ht="18" customHeight="1" thickBot="1" x14ac:dyDescent="0.3">
      <c r="B129" s="1824"/>
      <c r="C129" s="1825"/>
      <c r="D129" s="1825"/>
      <c r="E129" s="1825"/>
      <c r="F129" s="1825"/>
      <c r="G129" s="1825"/>
      <c r="H129" s="1825"/>
      <c r="I129" s="1825"/>
      <c r="J129" s="1890"/>
      <c r="K129" s="1825"/>
      <c r="L129" s="1825"/>
      <c r="M129" s="1842"/>
      <c r="AO129" s="113"/>
      <c r="AP129" s="113"/>
      <c r="AQ129" s="113"/>
    </row>
    <row r="130" spans="1:43" ht="20.25" customHeight="1" x14ac:dyDescent="0.25">
      <c r="M130" s="113"/>
      <c r="AO130" s="113"/>
      <c r="AP130" s="113"/>
      <c r="AQ130" s="113"/>
    </row>
    <row r="131" spans="1:43" ht="18.75" hidden="1" customHeight="1" x14ac:dyDescent="0.25">
      <c r="A131" s="117"/>
      <c r="B131" s="117"/>
      <c r="C131" s="117"/>
      <c r="D131" s="117"/>
      <c r="E131" s="117"/>
      <c r="F131" s="117"/>
      <c r="G131" s="117"/>
      <c r="H131" s="117"/>
      <c r="I131" s="117"/>
      <c r="J131" s="117"/>
      <c r="K131" s="117"/>
      <c r="L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row>
    <row r="132" spans="1:43" ht="18.75" hidden="1" customHeight="1" x14ac:dyDescent="0.25">
      <c r="M132" s="113"/>
      <c r="AO132" s="113"/>
      <c r="AP132" s="113"/>
      <c r="AQ132" s="113"/>
    </row>
    <row r="133" spans="1:43" ht="18.75" hidden="1" customHeight="1" x14ac:dyDescent="0.25">
      <c r="M133" s="113"/>
      <c r="AO133" s="113"/>
      <c r="AP133" s="113"/>
      <c r="AQ133" s="113"/>
    </row>
  </sheetData>
  <sheetProtection algorithmName="SHA-512" hashValue="85rBSD671rMyAVJiRt4onnDZIk1XIxZN0l1yEG4uWJgCtCLMo6jPRx0wQKDDnkKFpr7v2XvkSVTM/liw5Ykyqw==" saltValue="e2++UDtaGfoPbFLRhmBupA==" spinCount="100000" sheet="1" objects="1" scenarios="1"/>
  <mergeCells count="133">
    <mergeCell ref="G22:H22"/>
    <mergeCell ref="E25:H25"/>
    <mergeCell ref="G20:H20"/>
    <mergeCell ref="G21:H21"/>
    <mergeCell ref="G23:H23"/>
    <mergeCell ref="F24:J24"/>
    <mergeCell ref="F63:J63"/>
    <mergeCell ref="F54:H54"/>
    <mergeCell ref="E53:J53"/>
    <mergeCell ref="E60:J60"/>
    <mergeCell ref="F56:H56"/>
    <mergeCell ref="F57:J57"/>
    <mergeCell ref="E58:J58"/>
    <mergeCell ref="E59:J59"/>
    <mergeCell ref="F55:H55"/>
    <mergeCell ref="F62:J62"/>
    <mergeCell ref="E31:J31"/>
    <mergeCell ref="E32:J32"/>
    <mergeCell ref="E46:J46"/>
    <mergeCell ref="E33:J33"/>
    <mergeCell ref="E34:J34"/>
    <mergeCell ref="E45:J45"/>
    <mergeCell ref="F28:H28"/>
    <mergeCell ref="E30:J30"/>
    <mergeCell ref="C4:C11"/>
    <mergeCell ref="E4:H4"/>
    <mergeCell ref="E5:J5"/>
    <mergeCell ref="K12:L19"/>
    <mergeCell ref="F13:J13"/>
    <mergeCell ref="G14:H14"/>
    <mergeCell ref="G15:H15"/>
    <mergeCell ref="C3:G3"/>
    <mergeCell ref="G18:H18"/>
    <mergeCell ref="E6:J6"/>
    <mergeCell ref="F7:H7"/>
    <mergeCell ref="F8:H8"/>
    <mergeCell ref="F9:H9"/>
    <mergeCell ref="F11:H11"/>
    <mergeCell ref="E12:J12"/>
    <mergeCell ref="F10:H10"/>
    <mergeCell ref="G16:H16"/>
    <mergeCell ref="G17:H17"/>
    <mergeCell ref="F19:J19"/>
    <mergeCell ref="H3:L3"/>
    <mergeCell ref="E120:F120"/>
    <mergeCell ref="E108:K108"/>
    <mergeCell ref="E102:J102"/>
    <mergeCell ref="E95:J95"/>
    <mergeCell ref="E104:J104"/>
    <mergeCell ref="E121:F121"/>
    <mergeCell ref="E119:J119"/>
    <mergeCell ref="E117:J117"/>
    <mergeCell ref="D128:H128"/>
    <mergeCell ref="D125:L125"/>
    <mergeCell ref="D126:G126"/>
    <mergeCell ref="H126:I126"/>
    <mergeCell ref="K126:L128"/>
    <mergeCell ref="D127:G127"/>
    <mergeCell ref="H127:I127"/>
    <mergeCell ref="E124:J124"/>
    <mergeCell ref="D106:G106"/>
    <mergeCell ref="E116:F116"/>
    <mergeCell ref="I112:J112"/>
    <mergeCell ref="E109:L109"/>
    <mergeCell ref="I111:J111"/>
    <mergeCell ref="E111:F111"/>
    <mergeCell ref="E110:L110"/>
    <mergeCell ref="J106:K106"/>
    <mergeCell ref="E36:L36"/>
    <mergeCell ref="F29:J29"/>
    <mergeCell ref="F38:H38"/>
    <mergeCell ref="F70:H70"/>
    <mergeCell ref="F73:J73"/>
    <mergeCell ref="F71:H71"/>
    <mergeCell ref="E79:J79"/>
    <mergeCell ref="F82:H82"/>
    <mergeCell ref="F86:J86"/>
    <mergeCell ref="F84:H84"/>
    <mergeCell ref="E77:J77"/>
    <mergeCell ref="F83:H83"/>
    <mergeCell ref="E80:J80"/>
    <mergeCell ref="E42:J42"/>
    <mergeCell ref="K54:L55"/>
    <mergeCell ref="J66:J67"/>
    <mergeCell ref="J70:J71"/>
    <mergeCell ref="F72:J72"/>
    <mergeCell ref="F89:H89"/>
    <mergeCell ref="E81:J81"/>
    <mergeCell ref="F85:H85"/>
    <mergeCell ref="F50:J50"/>
    <mergeCell ref="F52:J52"/>
    <mergeCell ref="F61:J61"/>
    <mergeCell ref="F51:J51"/>
    <mergeCell ref="E88:J88"/>
    <mergeCell ref="E113:J113"/>
    <mergeCell ref="E114:F114"/>
    <mergeCell ref="F97:H97"/>
    <mergeCell ref="E115:F115"/>
    <mergeCell ref="E101:I101"/>
    <mergeCell ref="C95:C100"/>
    <mergeCell ref="F99:H99"/>
    <mergeCell ref="F98:H98"/>
    <mergeCell ref="F92:H92"/>
    <mergeCell ref="E112:F112"/>
    <mergeCell ref="F100:J100"/>
    <mergeCell ref="E105:L105"/>
    <mergeCell ref="E94:J94"/>
    <mergeCell ref="F93:J93"/>
    <mergeCell ref="F96:H96"/>
    <mergeCell ref="K25:L27"/>
    <mergeCell ref="F26:H26"/>
    <mergeCell ref="F27:H27"/>
    <mergeCell ref="E44:J44"/>
    <mergeCell ref="F49:J49"/>
    <mergeCell ref="E40:J40"/>
    <mergeCell ref="C48:G48"/>
    <mergeCell ref="C49:C94"/>
    <mergeCell ref="D49:D52"/>
    <mergeCell ref="E87:J87"/>
    <mergeCell ref="K88:L91"/>
    <mergeCell ref="E41:J41"/>
    <mergeCell ref="E43:J43"/>
    <mergeCell ref="F39:H39"/>
    <mergeCell ref="E35:J35"/>
    <mergeCell ref="F37:H37"/>
    <mergeCell ref="E78:J78"/>
    <mergeCell ref="F90:H90"/>
    <mergeCell ref="F66:H66"/>
    <mergeCell ref="F68:J68"/>
    <mergeCell ref="F91:H91"/>
    <mergeCell ref="F74:J74"/>
    <mergeCell ref="E75:J75"/>
    <mergeCell ref="E76:J76"/>
  </mergeCells>
  <conditionalFormatting sqref="J101">
    <cfRule type="expression" dxfId="0" priority="1" stopIfTrue="1">
      <formula>$L$101&gt;0</formula>
    </cfRule>
  </conditionalFormatting>
  <dataValidations count="25">
    <dataValidation type="whole" allowBlank="1" showErrorMessage="1" error="  No decimal, upto 99,999,999,999,999 " sqref="J7:J10 L11 L41:L42 J26:J28 J37:J39 J20:J23 L24 L29:L35 J14:J18 L100:L102 L93:L94 L59 L51 J54:J56 L86:L87 L61 L57 J96:J99 L45:L46">
      <formula1>-99999999999999</formula1>
      <formula2>99999999999999</formula2>
    </dataValidation>
    <dataValidation type="whole" allowBlank="1" showErrorMessage="1" error="  Non negative, no decimal, upto 99,999,999,999,999" sqref="L4:L5 L37:L40 L49:L50 J89:J92 J52 L52 J82:J85 J69:J70 L62:L73">
      <formula1>0</formula1>
      <formula2>99999999999999</formula2>
    </dataValidation>
    <dataValidation type="whole" allowBlank="1" showErrorMessage="1" error="  No decimal, upto 99,999,999,999,999 " sqref="L43:L44 L74:L76 L79:L80">
      <formula1>0</formula1>
      <formula2>99999999999999</formula2>
    </dataValidation>
    <dataValidation type="list" allowBlank="1" showErrorMessage="1" error="  Non negative, no decimal, upto 99,999,999,999,999" sqref="L104">
      <formula1>PortugueseCode</formula1>
    </dataValidation>
    <dataValidation type="textLength" operator="lessThanOrEqual" allowBlank="1" showErrorMessage="1" error="Bank Account number cannot exceed 20 Charachters" sqref="L103">
      <formula1>20</formula1>
    </dataValidation>
    <dataValidation type="textLength" operator="equal" allowBlank="1" showErrorMessage="1" errorTitle="IFSC Code" error="IFSC Code should be exactly 11 in length with 1st 4 alphabets, followed by Zero and remaining 6 should be alphanumeric." sqref="H106">
      <formula1>11</formula1>
    </dataValidation>
    <dataValidation type="list" allowBlank="1" showErrorMessage="1" error="Please select from list" sqref="L107 L124">
      <formula1>PortugueseCode</formula1>
    </dataValidation>
    <dataValidation type="list" allowBlank="1" showInputMessage="1" showErrorMessage="1" sqref="L106">
      <formula1>Accnt_Type</formula1>
    </dataValidation>
    <dataValidation type="textLength" operator="equal" allowBlank="1" showInputMessage="1" showErrorMessage="1" errorTitle="IFS Code" error="IFS Code should be exactly 11 in length with 1st 4 alphabets, followed by Zero and remaining 6 should be alphanumeric." sqref="F118:F119 H118:H119 G115:G116">
      <formula1>11</formula1>
    </dataValidation>
    <dataValidation type="textLength" allowBlank="1" showErrorMessage="1" errorTitle="IFSC Code" error="Bank Name cannot be greater than 125 Charachters" sqref="H112 I118:I119 H115:H116">
      <formula1>0</formula1>
      <formula2>125</formula2>
    </dataValidation>
    <dataValidation type="textLength" allowBlank="1" showInputMessage="1" showErrorMessage="1" error="Please enter valid bank account number" sqref="I112 I115">
      <formula1>1</formula1>
      <formula2>20</formula2>
    </dataValidation>
    <dataValidation allowBlank="1" showInputMessage="1" showErrorMessage="1" error="Please select from list" sqref="K112 L118:L123 K115:K123"/>
    <dataValidation type="whole" allowBlank="1" showInputMessage="1" showErrorMessage="1" error="No of Bank accounts should be between 1 to 9999" sqref="L108">
      <formula1>1</formula1>
      <formula2>9999</formula2>
    </dataValidation>
    <dataValidation operator="equal" allowBlank="1" showErrorMessage="1" errorTitle="IFSC Code" error="IFSC Code should be exactly 11 in length with 1st 4 alphabets, followed by Zero and remaining 6 should be alphanumeric." sqref="H120"/>
    <dataValidation allowBlank="1" showErrorMessage="1" errorTitle="Type of Account" error=" Please Select from list" sqref="J120"/>
    <dataValidation type="textLength" operator="lessThanOrEqual" allowBlank="1" showInputMessage="1" showErrorMessage="1" errorTitle="IBAN/SWIFT Code" error="IBAN/SWIFT Code cannot be greater than 30 characters" sqref="G121">
      <formula1>30</formula1>
    </dataValidation>
    <dataValidation type="textLength" operator="lessThanOrEqual" allowBlank="1" showErrorMessage="1" errorTitle="Name Of Bank" error="Name Of Bank cannot be greater than 125 characters." sqref="H121">
      <formula1>125</formula1>
    </dataValidation>
    <dataValidation type="textLength" operator="lessThanOrEqual" allowBlank="1" showErrorMessage="1" errorTitle="Bank Account Number" error="BankAccountNumber  should be at most 20 digits " sqref="F122:J123">
      <formula1>20</formula1>
    </dataValidation>
    <dataValidation type="textLength" operator="lessThanOrEqual" allowBlank="1" showErrorMessage="1" errorTitle="IBAN" error="IBAN should be at most 40 digits " sqref="J121">
      <formula1>40</formula1>
    </dataValidation>
    <dataValidation type="list" allowBlank="1" showInputMessage="1" showErrorMessage="1" errorTitle="Country Of Location" error="Please select from the list" sqref="I121">
      <formula1>Country</formula1>
    </dataValidation>
    <dataValidation type="whole" allowBlank="1" showErrorMessage="1" errorTitle="ReImbFrmGov" error="  Non negative, no decimal, upto 99,999,999,999,999" sqref="J128">
      <formula1>0</formula1>
      <formula2>99999999999999</formula2>
    </dataValidation>
    <dataValidation type="textLength" operator="lessThanOrEqual" allowBlank="1" showErrorMessage="1" errorTitle="IdentificationNoofTRP" error="IdentificationNoofTRP can not exceed 10 characters" sqref="H126:I126">
      <formula1>10</formula1>
    </dataValidation>
    <dataValidation type="textLength" operator="lessThanOrEqual" allowBlank="1" showErrorMessage="1" errorTitle="NameOfTRP" error="Maximum 125 characters" sqref="H127:I127">
      <formula1>125</formula1>
    </dataValidation>
    <dataValidation allowBlank="1" showInputMessage="1" showErrorMessage="1" prompt="To select the checkbox. Please select the cell and press 'Ctrl+q' and to deselect press 'Ctrl+r'." sqref="J115:J116"/>
    <dataValidation allowBlank="1" showErrorMessage="1" error="  No decimal, upto 99,999,999,999,999 " sqref="L77:L78"/>
  </dataValidations>
  <printOptions horizontalCentered="1"/>
  <pageMargins left="5.5555555555555558E-3" right="5.5555555555555558E-3" top="0.75" bottom="0.75" header="0.3" footer="0.3"/>
  <pageSetup paperSize="9" orientation="landscape" blackAndWhite="1" r:id="rId1"/>
  <customProperties>
    <customPr name="LastActive"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309" r:id="rId5" name="Button 21">
              <controlPr defaultSize="0" print="0" autoFill="0" autoPict="0" macro="[0]!Cmd_ValidateSchSalary_Click">
                <anchor>
                  <from>
                    <xdr:col>13</xdr:col>
                    <xdr:colOff>171450</xdr:colOff>
                    <xdr:row>2</xdr:row>
                    <xdr:rowOff>114300</xdr:rowOff>
                  </from>
                  <to>
                    <xdr:col>13</xdr:col>
                    <xdr:colOff>1543050</xdr:colOff>
                    <xdr:row>2</xdr:row>
                    <xdr:rowOff>400050</xdr:rowOff>
                  </to>
                </anchor>
              </controlPr>
            </control>
          </mc:Choice>
        </mc:AlternateContent>
        <mc:AlternateContent xmlns:mc="http://schemas.openxmlformats.org/markup-compatibility/2006">
          <mc:Choice Requires="x14">
            <control shapeId="12310" r:id="rId6" name="Button 22">
              <controlPr defaultSize="0" print="0" autoFill="0" autoPict="0" macro="[0]!calculateTax">
                <anchor>
                  <from>
                    <xdr:col>13</xdr:col>
                    <xdr:colOff>171450</xdr:colOff>
                    <xdr:row>6</xdr:row>
                    <xdr:rowOff>57150</xdr:rowOff>
                  </from>
                  <to>
                    <xdr:col>13</xdr:col>
                    <xdr:colOff>1543050</xdr:colOff>
                    <xdr:row>6</xdr:row>
                    <xdr:rowOff>323850</xdr:rowOff>
                  </to>
                </anchor>
              </controlPr>
            </control>
          </mc:Choice>
        </mc:AlternateContent>
        <mc:AlternateContent xmlns:mc="http://schemas.openxmlformats.org/markup-compatibility/2006">
          <mc:Choice Requires="x14">
            <control shapeId="12324" r:id="rId7" name="Button 36">
              <controlPr defaultSize="0" print="0" autoFill="0" autoPict="0" macro="[0]!Prev_Sheet">
                <anchor>
                  <from>
                    <xdr:col>13</xdr:col>
                    <xdr:colOff>171450</xdr:colOff>
                    <xdr:row>4</xdr:row>
                    <xdr:rowOff>95250</xdr:rowOff>
                  </from>
                  <to>
                    <xdr:col>13</xdr:col>
                    <xdr:colOff>1543050</xdr:colOff>
                    <xdr:row>6</xdr:row>
                    <xdr:rowOff>28575</xdr:rowOff>
                  </to>
                </anchor>
              </controlPr>
            </control>
          </mc:Choice>
        </mc:AlternateContent>
        <mc:AlternateContent xmlns:mc="http://schemas.openxmlformats.org/markup-compatibility/2006">
          <mc:Choice Requires="x14">
            <control shapeId="12325" r:id="rId8" name="Button 37">
              <controlPr defaultSize="0" print="0" autoFill="0" autoPict="0" macro="[0]!Img_Home_Click">
                <anchor>
                  <from>
                    <xdr:col>13</xdr:col>
                    <xdr:colOff>171450</xdr:colOff>
                    <xdr:row>1</xdr:row>
                    <xdr:rowOff>57150</xdr:rowOff>
                  </from>
                  <to>
                    <xdr:col>13</xdr:col>
                    <xdr:colOff>1543050</xdr:colOff>
                    <xdr:row>2</xdr:row>
                    <xdr:rowOff>95250</xdr:rowOff>
                  </to>
                </anchor>
              </controlPr>
            </control>
          </mc:Choice>
        </mc:AlternateContent>
        <mc:AlternateContent xmlns:mc="http://schemas.openxmlformats.org/markup-compatibility/2006">
          <mc:Choice Requires="x14">
            <control shapeId="12327" r:id="rId9" name="Button 39">
              <controlPr defaultSize="0" print="0" autoFill="0" autoPict="0" macro="[0]!Next_Sheet">
                <anchor>
                  <from>
                    <xdr:col>13</xdr:col>
                    <xdr:colOff>171450</xdr:colOff>
                    <xdr:row>2</xdr:row>
                    <xdr:rowOff>409575</xdr:rowOff>
                  </from>
                  <to>
                    <xdr:col>13</xdr:col>
                    <xdr:colOff>1543050</xdr:colOff>
                    <xdr:row>4</xdr:row>
                    <xdr:rowOff>76200</xdr:rowOff>
                  </to>
                </anchor>
              </controlPr>
            </control>
          </mc:Choice>
        </mc:AlternateContent>
        <mc:AlternateContent xmlns:mc="http://schemas.openxmlformats.org/markup-compatibility/2006">
          <mc:Choice Requires="x14">
            <control shapeId="12328" r:id="rId10" name="Button 40">
              <controlPr defaultSize="0" print="0" autoFill="0" autoPict="0" macro="[0]!Instruction_Sheet">
                <anchor>
                  <from>
                    <xdr:col>13</xdr:col>
                    <xdr:colOff>171450</xdr:colOff>
                    <xdr:row>8</xdr:row>
                    <xdr:rowOff>133350</xdr:rowOff>
                  </from>
                  <to>
                    <xdr:col>13</xdr:col>
                    <xdr:colOff>1543050</xdr:colOff>
                    <xdr:row>9</xdr:row>
                    <xdr:rowOff>95250</xdr:rowOff>
                  </to>
                </anchor>
              </controlPr>
            </control>
          </mc:Choice>
        </mc:AlternateContent>
        <mc:AlternateContent xmlns:mc="http://schemas.openxmlformats.org/markup-compatibility/2006">
          <mc:Choice Requires="x14">
            <control shapeId="12329" r:id="rId11" name="Button 41">
              <controlPr defaultSize="0" print="0" autoFill="0" autoPict="0" macro="[0]!WorksheetsPrint">
                <anchor>
                  <from>
                    <xdr:col>13</xdr:col>
                    <xdr:colOff>171450</xdr:colOff>
                    <xdr:row>7</xdr:row>
                    <xdr:rowOff>171450</xdr:rowOff>
                  </from>
                  <to>
                    <xdr:col>13</xdr:col>
                    <xdr:colOff>1543050</xdr:colOff>
                    <xdr:row>8</xdr:row>
                    <xdr:rowOff>114300</xdr:rowOff>
                  </to>
                </anchor>
              </controlPr>
            </control>
          </mc:Choice>
        </mc:AlternateContent>
        <mc:AlternateContent xmlns:mc="http://schemas.openxmlformats.org/markup-compatibility/2006">
          <mc:Choice Requires="x14">
            <control shapeId="12330" r:id="rId12" name="Button 42">
              <controlPr defaultSize="0" print="0" autoFill="0" autoPict="0" macro="[0]!GenerateJSON.GenerateJSON">
                <anchor>
                  <from>
                    <xdr:col>13</xdr:col>
                    <xdr:colOff>171450</xdr:colOff>
                    <xdr:row>6</xdr:row>
                    <xdr:rowOff>342900</xdr:rowOff>
                  </from>
                  <to>
                    <xdr:col>13</xdr:col>
                    <xdr:colOff>1543050</xdr:colOff>
                    <xdr:row>7</xdr:row>
                    <xdr:rowOff>142875</xdr:rowOff>
                  </to>
                </anchor>
              </controlPr>
            </control>
          </mc:Choice>
        </mc:AlternateContent>
        <mc:AlternateContent xmlns:mc="http://schemas.openxmlformats.org/markup-compatibility/2006">
          <mc:Choice Requires="x14">
            <control shapeId="12463" r:id="rId13" name="Button 175">
              <controlPr defaultSize="0" print="0" autoFill="0" autoPict="0" macro="[0]!Cmd_AddRowsBank_Click">
                <anchor moveWithCells="1" sizeWithCells="1">
                  <from>
                    <xdr:col>6</xdr:col>
                    <xdr:colOff>19050</xdr:colOff>
                    <xdr:row>117</xdr:row>
                    <xdr:rowOff>19050</xdr:rowOff>
                  </from>
                  <to>
                    <xdr:col>7</xdr:col>
                    <xdr:colOff>342900</xdr:colOff>
                    <xdr:row>117</xdr:row>
                    <xdr:rowOff>285750</xdr:rowOff>
                  </to>
                </anchor>
              </controlPr>
            </control>
          </mc:Choice>
        </mc:AlternateContent>
        <mc:AlternateContent xmlns:mc="http://schemas.openxmlformats.org/markup-compatibility/2006">
          <mc:Choice Requires="x14">
            <control shapeId="12489" r:id="rId14" name="Button 201">
              <controlPr defaultSize="0" print="0" autoFill="0" autoPict="0" macro="[0]!EPAY_CLICK">
                <anchor moveWithCells="1">
                  <from>
                    <xdr:col>12</xdr:col>
                    <xdr:colOff>57150</xdr:colOff>
                    <xdr:row>10</xdr:row>
                    <xdr:rowOff>0</xdr:rowOff>
                  </from>
                  <to>
                    <xdr:col>13</xdr:col>
                    <xdr:colOff>666750</xdr:colOff>
                    <xdr:row>11</xdr:row>
                    <xdr:rowOff>66675</xdr:rowOff>
                  </to>
                </anchor>
              </controlPr>
            </control>
          </mc:Choice>
        </mc:AlternateContent>
        <mc:AlternateContent xmlns:mc="http://schemas.openxmlformats.org/markup-compatibility/2006">
          <mc:Choice Requires="x14">
            <control shapeId="203658" r:id="rId15" name="Button 1930">
              <controlPr defaultSize="0" print="0" autoFill="0" autoPict="0" macro="[0]!ButtonHyperlink">
                <anchor moveWithCells="1" sizeWithCells="1">
                  <from>
                    <xdr:col>9</xdr:col>
                    <xdr:colOff>0</xdr:colOff>
                    <xdr:row>99</xdr:row>
                    <xdr:rowOff>190500</xdr:rowOff>
                  </from>
                  <to>
                    <xdr:col>10</xdr:col>
                    <xdr:colOff>0</xdr:colOff>
                    <xdr:row>100</xdr:row>
                    <xdr:rowOff>209550</xdr:rowOff>
                  </to>
                </anchor>
              </controlPr>
            </control>
          </mc:Choice>
        </mc:AlternateContent>
        <mc:AlternateContent xmlns:mc="http://schemas.openxmlformats.org/markup-compatibility/2006">
          <mc:Choice Requires="x14">
            <control shapeId="203663" r:id="rId16" name="Check Box 1935">
              <controlPr defaultSize="0" autoFill="0" autoLine="0" autoPict="0" macro="[0]!LinkCheckBoxes">
                <anchor moveWithCells="1">
                  <from>
                    <xdr:col>9</xdr:col>
                    <xdr:colOff>914400</xdr:colOff>
                    <xdr:row>114</xdr:row>
                    <xdr:rowOff>28575</xdr:rowOff>
                  </from>
                  <to>
                    <xdr:col>9</xdr:col>
                    <xdr:colOff>1885950</xdr:colOff>
                    <xdr:row>114</xdr:row>
                    <xdr:rowOff>180975</xdr:rowOff>
                  </to>
                </anchor>
              </controlPr>
            </control>
          </mc:Choice>
        </mc:AlternateContent>
        <mc:AlternateContent xmlns:mc="http://schemas.openxmlformats.org/markup-compatibility/2006">
          <mc:Choice Requires="x14">
            <control shapeId="203664" r:id="rId17" name="Check Box 1936">
              <controlPr defaultSize="0" autoFill="0" autoLine="0" autoPict="0" macro="[0]!LinkCheckBoxes">
                <anchor moveWithCells="1">
                  <from>
                    <xdr:col>9</xdr:col>
                    <xdr:colOff>904875</xdr:colOff>
                    <xdr:row>115</xdr:row>
                    <xdr:rowOff>28575</xdr:rowOff>
                  </from>
                  <to>
                    <xdr:col>9</xdr:col>
                    <xdr:colOff>1857375</xdr:colOff>
                    <xdr:row>116</xdr:row>
                    <xdr:rowOff>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dimension ref="B1:M24"/>
  <sheetViews>
    <sheetView showGridLines="0" showRowColHeaders="0" workbookViewId="0">
      <selection activeCell="L9" sqref="L9"/>
    </sheetView>
  </sheetViews>
  <sheetFormatPr defaultColWidth="0" defaultRowHeight="15" zeroHeight="1" x14ac:dyDescent="0.25"/>
  <cols>
    <col min="1" max="1" width="4" customWidth="1"/>
    <col min="2" max="2" width="3.140625" customWidth="1"/>
    <col min="3" max="3" width="12.28515625" customWidth="1"/>
    <col min="4" max="4" width="11" customWidth="1"/>
    <col min="5" max="7" width="9.140625" customWidth="1"/>
    <col min="8" max="8" width="22.7109375" customWidth="1"/>
    <col min="9" max="9" width="20.140625" customWidth="1"/>
    <col min="10" max="10" width="19.85546875" customWidth="1"/>
    <col min="11" max="11" width="9.140625" customWidth="1"/>
    <col min="12" max="12" width="16.7109375" customWidth="1"/>
    <col min="13" max="13" width="3.28515625" customWidth="1"/>
    <col min="14" max="16" width="9.140625" customWidth="1"/>
  </cols>
  <sheetData>
    <row r="1" spans="2:13" ht="12" customHeight="1" thickBot="1" x14ac:dyDescent="0.3"/>
    <row r="2" spans="2:13" ht="12" customHeight="1" x14ac:dyDescent="0.25">
      <c r="B2" s="1251"/>
      <c r="C2" s="1250"/>
      <c r="D2" s="1250"/>
      <c r="E2" s="1250"/>
      <c r="F2" s="1250"/>
      <c r="G2" s="1250"/>
      <c r="H2" s="1250"/>
      <c r="I2" s="1250"/>
      <c r="J2" s="1250"/>
      <c r="K2" s="1250"/>
      <c r="L2" s="1250"/>
      <c r="M2" s="1249"/>
    </row>
    <row r="3" spans="2:13" s="113" customFormat="1" ht="14.25" customHeight="1" x14ac:dyDescent="0.2">
      <c r="B3" s="1797"/>
      <c r="C3" s="4008" t="s">
        <v>9592</v>
      </c>
      <c r="D3" s="4008"/>
      <c r="E3" s="4008"/>
      <c r="F3" s="4009" t="s">
        <v>9594</v>
      </c>
      <c r="G3" s="4009"/>
      <c r="H3" s="4009"/>
      <c r="I3" s="4009"/>
      <c r="J3" s="4009"/>
      <c r="K3" s="4009"/>
      <c r="L3" s="4009"/>
      <c r="M3" s="1836"/>
    </row>
    <row r="4" spans="2:13" s="113" customFormat="1" ht="12.75" x14ac:dyDescent="0.2">
      <c r="B4" s="1797"/>
      <c r="C4" s="3977" t="s">
        <v>735</v>
      </c>
      <c r="D4" s="3978"/>
      <c r="E4" s="3978"/>
      <c r="F4" s="3978"/>
      <c r="G4" s="3978"/>
      <c r="H4" s="1986"/>
      <c r="I4" s="3977" t="s">
        <v>736</v>
      </c>
      <c r="J4" s="3978"/>
      <c r="K4" s="3184"/>
      <c r="L4" s="3184"/>
      <c r="M4" s="1836"/>
    </row>
    <row r="5" spans="2:13" s="113" customFormat="1" ht="27.75" customHeight="1" x14ac:dyDescent="0.2">
      <c r="B5" s="1797"/>
      <c r="C5" s="2993" t="s">
        <v>9709</v>
      </c>
      <c r="D5" s="2994"/>
      <c r="E5" s="2994"/>
      <c r="F5" s="2994"/>
      <c r="G5" s="2994"/>
      <c r="H5" s="2994"/>
      <c r="I5" s="2994"/>
      <c r="J5" s="2994"/>
      <c r="K5" s="2994"/>
      <c r="L5" s="2995"/>
      <c r="M5" s="1836"/>
    </row>
    <row r="6" spans="2:13" s="113" customFormat="1" ht="15" customHeight="1" x14ac:dyDescent="0.2">
      <c r="B6" s="1797"/>
      <c r="C6" s="2993" t="s">
        <v>9710</v>
      </c>
      <c r="D6" s="2994"/>
      <c r="E6" s="2994"/>
      <c r="F6" s="2994"/>
      <c r="G6" s="2994"/>
      <c r="H6" s="2994"/>
      <c r="I6" s="1975" t="s">
        <v>12</v>
      </c>
      <c r="J6" s="2994" t="s">
        <v>9711</v>
      </c>
      <c r="K6" s="2994"/>
      <c r="L6" s="2995"/>
      <c r="M6" s="1836"/>
    </row>
    <row r="7" spans="2:13" s="113" customFormat="1" ht="12.75" customHeight="1" x14ac:dyDescent="0.2">
      <c r="B7" s="1797"/>
      <c r="C7" s="2993" t="s">
        <v>9573</v>
      </c>
      <c r="D7" s="2994"/>
      <c r="E7" s="2994"/>
      <c r="F7" s="2995"/>
      <c r="G7" s="3278" t="s">
        <v>7</v>
      </c>
      <c r="H7" s="3297"/>
      <c r="I7" s="1986"/>
      <c r="J7" s="848"/>
      <c r="K7" s="848"/>
      <c r="L7" s="847"/>
      <c r="M7" s="1836"/>
    </row>
    <row r="8" spans="2:13" s="113" customFormat="1" ht="12.75" hidden="1" customHeight="1" x14ac:dyDescent="0.2">
      <c r="B8" s="1797"/>
      <c r="C8" s="3841" t="s">
        <v>7272</v>
      </c>
      <c r="D8" s="3842"/>
      <c r="E8" s="3842"/>
      <c r="F8" s="3842"/>
      <c r="G8" s="3842"/>
      <c r="H8" s="3842"/>
      <c r="I8" s="3842"/>
      <c r="J8" s="3842"/>
      <c r="K8" s="3842"/>
      <c r="L8" s="3946"/>
      <c r="M8" s="1836"/>
    </row>
    <row r="9" spans="2:13" s="113" customFormat="1" ht="13.5" customHeight="1" x14ac:dyDescent="0.2">
      <c r="B9" s="1797"/>
      <c r="C9" s="4010" t="s">
        <v>737</v>
      </c>
      <c r="D9" s="4011"/>
      <c r="E9" s="4012"/>
      <c r="F9" s="4013"/>
      <c r="G9" s="1615"/>
      <c r="H9" s="1615"/>
      <c r="I9" s="1615"/>
      <c r="J9" s="4014" t="s">
        <v>738</v>
      </c>
      <c r="K9" s="4015"/>
      <c r="L9" s="2677" t="str">
        <f ca="1">CONCATENATE(IF(DAY(TODAY())&lt;10,"0",""),DAY(TODAY()),"/",IF(MONTH(TODAY())&lt;10,"0",""),MONTH(TODAY()),"/",YEAR(TODAY()))</f>
        <v>02/09/2022</v>
      </c>
      <c r="M9" s="1836"/>
    </row>
    <row r="10" spans="2:13" s="113" customFormat="1" ht="64.5" customHeight="1" x14ac:dyDescent="0.2">
      <c r="B10" s="1797"/>
      <c r="C10" s="2993" t="s">
        <v>9691</v>
      </c>
      <c r="D10" s="2994"/>
      <c r="E10" s="2994"/>
      <c r="F10" s="2994"/>
      <c r="G10" s="2994"/>
      <c r="H10" s="2994"/>
      <c r="I10" s="2994"/>
      <c r="J10" s="2994"/>
      <c r="K10" s="2994"/>
      <c r="L10" s="2995"/>
      <c r="M10" s="1836"/>
    </row>
    <row r="11" spans="2:13" s="1595" customFormat="1" ht="17.25" customHeight="1" thickBot="1" x14ac:dyDescent="0.3">
      <c r="B11" s="1593"/>
      <c r="C11" s="3868"/>
      <c r="D11" s="3868"/>
      <c r="E11" s="3868"/>
      <c r="F11" s="3868"/>
      <c r="G11" s="3868"/>
      <c r="H11" s="3868"/>
      <c r="I11" s="3868"/>
      <c r="J11" s="3868"/>
      <c r="K11" s="3868"/>
      <c r="L11" s="3868"/>
      <c r="M11" s="1594"/>
    </row>
    <row r="12" spans="2:13" ht="17.25" customHeight="1" x14ac:dyDescent="0.25"/>
    <row r="13" spans="2:13" ht="17.25" hidden="1" customHeight="1" x14ac:dyDescent="0.25"/>
    <row r="14" spans="2:13" ht="12" hidden="1" customHeight="1" x14ac:dyDescent="0.25"/>
    <row r="15" spans="2:13" ht="12" hidden="1" customHeight="1" x14ac:dyDescent="0.25"/>
    <row r="16" spans="2:13" ht="12" hidden="1" customHeight="1" x14ac:dyDescent="0.25"/>
    <row r="17" ht="12" hidden="1" customHeight="1" x14ac:dyDescent="0.25"/>
    <row r="18" ht="12" hidden="1" customHeight="1" x14ac:dyDescent="0.25"/>
    <row r="19" ht="12" hidden="1" customHeight="1" x14ac:dyDescent="0.25"/>
    <row r="24" x14ac:dyDescent="0.25"/>
  </sheetData>
  <sheetProtection algorithmName="SHA-512" hashValue="hpJsTSnTLCuO2DDGGftDIxu/GiWZhPL1712kyDbrGqN3L5jXWD/KhvH2bPf1RKgHAWkotRtlXfzzhp+Atsemdw==" saltValue="8XP+81zyG349+9IsvYN/fA==" spinCount="100000" sheet="1" objects="1" scenarios="1"/>
  <mergeCells count="16">
    <mergeCell ref="C11:L11"/>
    <mergeCell ref="C10:L10"/>
    <mergeCell ref="C8:L8"/>
    <mergeCell ref="C5:L5"/>
    <mergeCell ref="C6:H6"/>
    <mergeCell ref="J6:L6"/>
    <mergeCell ref="G7:H7"/>
    <mergeCell ref="C9:D9"/>
    <mergeCell ref="E9:F9"/>
    <mergeCell ref="C7:F7"/>
    <mergeCell ref="J9:K9"/>
    <mergeCell ref="C3:E3"/>
    <mergeCell ref="K4:L4"/>
    <mergeCell ref="F3:L3"/>
    <mergeCell ref="I4:J4"/>
    <mergeCell ref="C4:G4"/>
  </mergeCells>
  <dataValidations count="3">
    <dataValidation type="list" allowBlank="1" showInputMessage="1" showErrorMessage="1" error="Please select from the Dropdown" sqref="I6">
      <formula1>"(Select),Self,Representative,Karta,Authorised Signatory"</formula1>
    </dataValidation>
    <dataValidation type="textLength" allowBlank="1" showInputMessage="1" showErrorMessage="1" errorTitle="Son\Daughter" error="Cannot exceed 125 characters" sqref="K4:L4">
      <formula1>1</formula1>
      <formula2>125</formula2>
    </dataValidation>
    <dataValidation type="textLength" operator="equal" allowBlank="1" showInputMessage="1" showErrorMessage="1" errorTitle="VerPAN" error="PAN must be 10 in length" sqref="I7">
      <formula1>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1734" r:id="rId4" name="Button 6">
              <controlPr defaultSize="0" print="0" autoFill="0" autoPict="0" macro="[0]!Verification_Click">
                <anchor>
                  <from>
                    <xdr:col>13</xdr:col>
                    <xdr:colOff>247650</xdr:colOff>
                    <xdr:row>2</xdr:row>
                    <xdr:rowOff>171450</xdr:rowOff>
                  </from>
                  <to>
                    <xdr:col>15</xdr:col>
                    <xdr:colOff>400050</xdr:colOff>
                    <xdr:row>4</xdr:row>
                    <xdr:rowOff>114300</xdr:rowOff>
                  </to>
                </anchor>
              </controlPr>
            </control>
          </mc:Choice>
        </mc:AlternateContent>
        <mc:AlternateContent xmlns:mc="http://schemas.openxmlformats.org/markup-compatibility/2006">
          <mc:Choice Requires="x14">
            <control shapeId="201735" r:id="rId5" name="Button 7">
              <controlPr defaultSize="0" print="0" autoFill="0" autoPict="0" macro="[0]!Prev_Sheet">
                <anchor>
                  <from>
                    <xdr:col>13</xdr:col>
                    <xdr:colOff>247650</xdr:colOff>
                    <xdr:row>4</xdr:row>
                    <xdr:rowOff>152400</xdr:rowOff>
                  </from>
                  <to>
                    <xdr:col>15</xdr:col>
                    <xdr:colOff>400050</xdr:colOff>
                    <xdr:row>5</xdr:row>
                    <xdr:rowOff>76200</xdr:rowOff>
                  </to>
                </anchor>
              </controlPr>
            </control>
          </mc:Choice>
        </mc:AlternateContent>
        <mc:AlternateContent xmlns:mc="http://schemas.openxmlformats.org/markup-compatibility/2006">
          <mc:Choice Requires="x14">
            <control shapeId="201736" r:id="rId6" name="Button 8">
              <controlPr defaultSize="0" print="0" autoFill="0" autoPict="0" macro="[0]!Img_Home_Click">
                <anchor>
                  <from>
                    <xdr:col>13</xdr:col>
                    <xdr:colOff>247650</xdr:colOff>
                    <xdr:row>1</xdr:row>
                    <xdr:rowOff>38100</xdr:rowOff>
                  </from>
                  <to>
                    <xdr:col>15</xdr:col>
                    <xdr:colOff>400050</xdr:colOff>
                    <xdr:row>2</xdr:row>
                    <xdr:rowOff>171450</xdr:rowOff>
                  </to>
                </anchor>
              </controlPr>
            </control>
          </mc:Choice>
        </mc:AlternateContent>
        <mc:AlternateContent xmlns:mc="http://schemas.openxmlformats.org/markup-compatibility/2006">
          <mc:Choice Requires="x14">
            <control shapeId="201738" r:id="rId7" name="Button 10">
              <controlPr defaultSize="0" print="0" autoFill="0" autoPict="0" macro="[0]!Instruction_Sheet">
                <anchor>
                  <from>
                    <xdr:col>13</xdr:col>
                    <xdr:colOff>247650</xdr:colOff>
                    <xdr:row>9</xdr:row>
                    <xdr:rowOff>142875</xdr:rowOff>
                  </from>
                  <to>
                    <xdr:col>15</xdr:col>
                    <xdr:colOff>400050</xdr:colOff>
                    <xdr:row>9</xdr:row>
                    <xdr:rowOff>419100</xdr:rowOff>
                  </to>
                </anchor>
              </controlPr>
            </control>
          </mc:Choice>
        </mc:AlternateContent>
        <mc:AlternateContent xmlns:mc="http://schemas.openxmlformats.org/markup-compatibility/2006">
          <mc:Choice Requires="x14">
            <control shapeId="201739" r:id="rId8" name="Button 11">
              <controlPr defaultSize="0" print="0" autoFill="0" autoPict="0" macro="[0]!WorksheetsPrint">
                <anchor>
                  <from>
                    <xdr:col>13</xdr:col>
                    <xdr:colOff>247650</xdr:colOff>
                    <xdr:row>8</xdr:row>
                    <xdr:rowOff>28575</xdr:rowOff>
                  </from>
                  <to>
                    <xdr:col>15</xdr:col>
                    <xdr:colOff>400050</xdr:colOff>
                    <xdr:row>9</xdr:row>
                    <xdr:rowOff>133350</xdr:rowOff>
                  </to>
                </anchor>
              </controlPr>
            </control>
          </mc:Choice>
        </mc:AlternateContent>
        <mc:AlternateContent xmlns:mc="http://schemas.openxmlformats.org/markup-compatibility/2006">
          <mc:Choice Requires="x14">
            <control shapeId="201740" r:id="rId9" name="Button 12">
              <controlPr defaultSize="0" print="0" autoFill="0" autoPict="0" macro="[0]!GenerateJSON.GenerateJSON">
                <anchor>
                  <from>
                    <xdr:col>13</xdr:col>
                    <xdr:colOff>247650</xdr:colOff>
                    <xdr:row>5</xdr:row>
                    <xdr:rowOff>95250</xdr:rowOff>
                  </from>
                  <to>
                    <xdr:col>15</xdr:col>
                    <xdr:colOff>400050</xdr:colOff>
                    <xdr:row>8</xdr:row>
                    <xdr:rowOff>19050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K19"/>
  <sheetViews>
    <sheetView workbookViewId="0">
      <selection activeCell="J4" sqref="J4"/>
    </sheetView>
  </sheetViews>
  <sheetFormatPr defaultColWidth="0" defaultRowHeight="12.75" zeroHeight="1" x14ac:dyDescent="0.2"/>
  <cols>
    <col min="1" max="1" width="4.28515625" style="113" customWidth="1"/>
    <col min="2" max="2" width="7.5703125" style="113" customWidth="1"/>
    <col min="3" max="3" width="9.140625" style="113" customWidth="1"/>
    <col min="4" max="4" width="7.5703125" style="113" customWidth="1"/>
    <col min="5" max="5" width="9.140625" style="113" customWidth="1"/>
    <col min="6" max="6" width="11.42578125" style="113" customWidth="1"/>
    <col min="7" max="7" width="9.140625" style="113" customWidth="1"/>
    <col min="8" max="8" width="16.5703125" style="113" customWidth="1"/>
    <col min="9" max="9" width="8.7109375" style="113" customWidth="1"/>
    <col min="10" max="10" width="18.42578125" style="113" customWidth="1"/>
    <col min="11" max="11" width="24.5703125" style="117" customWidth="1"/>
    <col min="12" max="16384" width="9.140625" style="113" hidden="1"/>
  </cols>
  <sheetData>
    <row r="1" spans="1:10" ht="24" customHeight="1" x14ac:dyDescent="0.25">
      <c r="A1" s="42" t="s">
        <v>1291</v>
      </c>
      <c r="B1" s="43"/>
      <c r="C1" s="3111" t="s">
        <v>7594</v>
      </c>
      <c r="D1" s="3384"/>
      <c r="E1" s="3384"/>
      <c r="F1" s="3384"/>
      <c r="G1" s="3384"/>
      <c r="H1" s="3384"/>
      <c r="I1" s="3384"/>
      <c r="J1" s="3384"/>
    </row>
    <row r="2" spans="1:10" ht="15" customHeight="1" x14ac:dyDescent="0.25">
      <c r="A2" s="3384" t="s">
        <v>1292</v>
      </c>
      <c r="B2" s="6" t="s">
        <v>309</v>
      </c>
      <c r="C2" s="3384" t="s">
        <v>1293</v>
      </c>
      <c r="D2" s="3384"/>
      <c r="E2" s="3384"/>
      <c r="F2" s="3384"/>
      <c r="G2" s="3384"/>
      <c r="H2" s="3384"/>
      <c r="I2" s="3191" t="s">
        <v>1294</v>
      </c>
      <c r="J2" s="3384"/>
    </row>
    <row r="3" spans="1:10" ht="15" x14ac:dyDescent="0.25">
      <c r="A3" s="3384"/>
      <c r="B3" s="3384"/>
      <c r="C3" s="24">
        <v>1</v>
      </c>
      <c r="D3" s="3384" t="s">
        <v>1295</v>
      </c>
      <c r="E3" s="3384"/>
      <c r="F3" s="3384"/>
      <c r="G3" s="3384"/>
      <c r="H3" s="3384"/>
      <c r="I3" s="15"/>
      <c r="J3" s="44"/>
    </row>
    <row r="4" spans="1:10" ht="15" x14ac:dyDescent="0.25">
      <c r="A4" s="3384"/>
      <c r="B4" s="3384"/>
      <c r="C4" s="24"/>
      <c r="D4" s="26" t="s">
        <v>865</v>
      </c>
      <c r="E4" s="3384" t="s">
        <v>1296</v>
      </c>
      <c r="F4" s="3384"/>
      <c r="G4" s="3384"/>
      <c r="H4" s="3384"/>
      <c r="I4" s="2" t="s">
        <v>328</v>
      </c>
      <c r="J4" s="7"/>
    </row>
    <row r="5" spans="1:10" ht="15" x14ac:dyDescent="0.25">
      <c r="A5" s="3384"/>
      <c r="B5" s="3384"/>
      <c r="C5" s="24"/>
      <c r="D5" s="26" t="s">
        <v>28</v>
      </c>
      <c r="E5" s="3384" t="s">
        <v>1297</v>
      </c>
      <c r="F5" s="3384"/>
      <c r="G5" s="3384"/>
      <c r="H5" s="3384"/>
      <c r="I5" s="2" t="s">
        <v>330</v>
      </c>
      <c r="J5" s="7"/>
    </row>
    <row r="6" spans="1:10" ht="15" x14ac:dyDescent="0.25">
      <c r="A6" s="3384"/>
      <c r="B6" s="3384"/>
      <c r="C6" s="22">
        <v>2</v>
      </c>
      <c r="D6" s="3384" t="s">
        <v>1298</v>
      </c>
      <c r="E6" s="3384"/>
      <c r="F6" s="3384"/>
      <c r="G6" s="3384"/>
      <c r="H6" s="3384"/>
      <c r="I6" s="15"/>
      <c r="J6" s="44"/>
    </row>
    <row r="7" spans="1:10" ht="15" x14ac:dyDescent="0.25">
      <c r="A7" s="3384"/>
      <c r="B7" s="3384"/>
      <c r="C7" s="6"/>
      <c r="D7" s="26" t="s">
        <v>865</v>
      </c>
      <c r="E7" s="3384" t="s">
        <v>1299</v>
      </c>
      <c r="F7" s="3384"/>
      <c r="G7" s="3384"/>
      <c r="H7" s="3384"/>
      <c r="I7" s="15"/>
      <c r="J7" s="44"/>
    </row>
    <row r="8" spans="1:10" ht="15" x14ac:dyDescent="0.25">
      <c r="A8" s="3384"/>
      <c r="B8" s="3384"/>
      <c r="C8" s="6"/>
      <c r="D8" s="8"/>
      <c r="E8" s="23" t="s">
        <v>680</v>
      </c>
      <c r="F8" s="3384" t="s">
        <v>7341</v>
      </c>
      <c r="G8" s="3384"/>
      <c r="H8" s="3384"/>
      <c r="I8" s="2" t="s">
        <v>1300</v>
      </c>
      <c r="J8" s="7"/>
    </row>
    <row r="9" spans="1:10" ht="15" x14ac:dyDescent="0.25">
      <c r="A9" s="3384"/>
      <c r="B9" s="3384"/>
      <c r="C9" s="6"/>
      <c r="D9" s="8"/>
      <c r="E9" s="23" t="s">
        <v>681</v>
      </c>
      <c r="F9" s="3384" t="s">
        <v>1301</v>
      </c>
      <c r="G9" s="3384"/>
      <c r="H9" s="3384"/>
      <c r="I9" s="2" t="s">
        <v>1302</v>
      </c>
      <c r="J9" s="7"/>
    </row>
    <row r="10" spans="1:10" ht="15" x14ac:dyDescent="0.25">
      <c r="A10" s="3384"/>
      <c r="B10" s="3384"/>
      <c r="C10" s="6"/>
      <c r="D10" s="8"/>
      <c r="E10" s="23" t="s">
        <v>682</v>
      </c>
      <c r="F10" s="3384" t="s">
        <v>1303</v>
      </c>
      <c r="G10" s="3384"/>
      <c r="H10" s="3384"/>
      <c r="I10" s="2" t="s">
        <v>1304</v>
      </c>
      <c r="J10" s="7"/>
    </row>
    <row r="11" spans="1:10" ht="15" x14ac:dyDescent="0.25">
      <c r="A11" s="3384"/>
      <c r="B11" s="3384"/>
      <c r="C11" s="6"/>
      <c r="D11" s="8"/>
      <c r="E11" s="23" t="s">
        <v>296</v>
      </c>
      <c r="F11" s="3384" t="s">
        <v>1305</v>
      </c>
      <c r="G11" s="3384"/>
      <c r="H11" s="3384"/>
      <c r="I11" s="2" t="s">
        <v>1306</v>
      </c>
      <c r="J11" s="7"/>
    </row>
    <row r="12" spans="1:10" ht="15" x14ac:dyDescent="0.25">
      <c r="A12" s="3384"/>
      <c r="B12" s="3384"/>
      <c r="C12" s="10"/>
      <c r="D12" s="27"/>
      <c r="E12" s="23" t="s">
        <v>299</v>
      </c>
      <c r="F12" s="3384" t="s">
        <v>1307</v>
      </c>
      <c r="G12" s="3384"/>
      <c r="H12" s="3384"/>
      <c r="I12" s="2" t="s">
        <v>1308</v>
      </c>
      <c r="J12" s="7"/>
    </row>
    <row r="13" spans="1:10" ht="15" x14ac:dyDescent="0.25">
      <c r="A13" s="3384"/>
      <c r="B13" s="3384"/>
      <c r="C13" s="10"/>
      <c r="D13" s="26" t="s">
        <v>28</v>
      </c>
      <c r="E13" s="3384" t="s">
        <v>1309</v>
      </c>
      <c r="F13" s="3384"/>
      <c r="G13" s="3384"/>
      <c r="H13" s="3384"/>
      <c r="I13" s="2" t="s">
        <v>699</v>
      </c>
      <c r="J13" s="7"/>
    </row>
    <row r="14" spans="1:10" ht="26.25" customHeight="1" x14ac:dyDescent="0.25">
      <c r="A14" s="3384"/>
      <c r="B14" s="3384"/>
      <c r="C14" s="6"/>
      <c r="D14" s="26" t="s">
        <v>29</v>
      </c>
      <c r="E14" s="3384" t="s">
        <v>1310</v>
      </c>
      <c r="F14" s="3384"/>
      <c r="G14" s="3384"/>
      <c r="H14" s="3384"/>
      <c r="I14" s="2" t="s">
        <v>322</v>
      </c>
      <c r="J14" s="7"/>
    </row>
    <row r="15" spans="1:10" ht="15" x14ac:dyDescent="0.25">
      <c r="A15" s="3384"/>
      <c r="B15" s="3384"/>
      <c r="C15" s="6"/>
      <c r="D15" s="26" t="s">
        <v>36</v>
      </c>
      <c r="E15" s="3384" t="s">
        <v>1311</v>
      </c>
      <c r="F15" s="3384"/>
      <c r="G15" s="3384"/>
      <c r="H15" s="3384"/>
      <c r="I15" s="2" t="s">
        <v>702</v>
      </c>
      <c r="J15" s="7"/>
    </row>
    <row r="16" spans="1:10" ht="15" x14ac:dyDescent="0.25">
      <c r="A16" s="3384"/>
      <c r="B16" s="3384"/>
      <c r="C16" s="27">
        <v>3</v>
      </c>
      <c r="D16" s="27"/>
      <c r="E16" s="3384" t="s">
        <v>749</v>
      </c>
      <c r="F16" s="3384"/>
      <c r="G16" s="3384"/>
      <c r="H16" s="3384"/>
      <c r="I16" s="30">
        <v>3</v>
      </c>
      <c r="J16" s="45">
        <f>SUM(J4:J5,J8:J15)</f>
        <v>0</v>
      </c>
    </row>
    <row r="17" spans="1:10" ht="15" x14ac:dyDescent="0.25">
      <c r="A17" s="3384"/>
      <c r="B17" s="6" t="s">
        <v>312</v>
      </c>
      <c r="C17" s="3384" t="s">
        <v>1312</v>
      </c>
      <c r="D17" s="3384"/>
      <c r="E17" s="3384"/>
      <c r="F17" s="3384"/>
      <c r="G17" s="3384"/>
      <c r="H17" s="3384"/>
      <c r="I17" s="2" t="s">
        <v>312</v>
      </c>
      <c r="J17" s="7"/>
    </row>
    <row r="18" spans="1:10" s="117" customFormat="1" x14ac:dyDescent="0.2"/>
    <row r="19" spans="1:10" s="117" customFormat="1" x14ac:dyDescent="0.2"/>
  </sheetData>
  <sheetProtection algorithmName="SHA-512" hashValue="1WxPF/gBdn+XbQm0LIv/T3Xu0YbHcrHojspD06mQM+pwu8Nuv//bo0jrbB90pNEt5bbligcA25oXyGZmFwzZow==" saltValue="M5+tMSlVguMIlR+sFUbe7A==" spinCount="100000" sheet="1" objects="1" scenarios="1"/>
  <mergeCells count="20">
    <mergeCell ref="C1:J1"/>
    <mergeCell ref="C2:H2"/>
    <mergeCell ref="I2:J2"/>
    <mergeCell ref="B3:B16"/>
    <mergeCell ref="D3:H3"/>
    <mergeCell ref="E4:H4"/>
    <mergeCell ref="E5:H5"/>
    <mergeCell ref="D6:H6"/>
    <mergeCell ref="E7:H7"/>
    <mergeCell ref="E13:H13"/>
    <mergeCell ref="A2:A17"/>
    <mergeCell ref="E14:H14"/>
    <mergeCell ref="E15:H15"/>
    <mergeCell ref="E16:H16"/>
    <mergeCell ref="C17:H17"/>
    <mergeCell ref="F8:H8"/>
    <mergeCell ref="F9:H9"/>
    <mergeCell ref="F10:H10"/>
    <mergeCell ref="F11:H11"/>
    <mergeCell ref="F12:H12"/>
  </mergeCells>
  <dataValidations count="2">
    <dataValidation type="whole" allowBlank="1" showErrorMessage="1" error="  No decimal, upto 99,999,999,999,999 " sqref="J16">
      <formula1>-99999999999999</formula1>
      <formula2>99999999999999</formula2>
    </dataValidation>
    <dataValidation type="whole" allowBlank="1" showErrorMessage="1" error="  Non negative, no decimal, upto 99,999,999,999,999" sqref="J8:J15 J17 J4:J5">
      <formula1>0</formula1>
      <formula2>99999999999999</formula2>
    </dataValidation>
  </dataValidations>
  <printOptions horizontalCentered="1"/>
  <pageMargins left="5.5555555555555558E-3" right="5.5555555555555558E-3" top="0.75" bottom="0.75" header="0.3" footer="0.3"/>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986" r:id="rId4" name="Button 2">
              <controlPr defaultSize="0" print="0" autoFill="0" autoPict="0" macro="[0]!Cmd_Validate_AL_Click">
                <anchor moveWithCells="1" sizeWithCells="1">
                  <from>
                    <xdr:col>10</xdr:col>
                    <xdr:colOff>66675</xdr:colOff>
                    <xdr:row>2</xdr:row>
                    <xdr:rowOff>95250</xdr:rowOff>
                  </from>
                  <to>
                    <xdr:col>10</xdr:col>
                    <xdr:colOff>971550</xdr:colOff>
                    <xdr:row>3</xdr:row>
                    <xdr:rowOff>133350</xdr:rowOff>
                  </to>
                </anchor>
              </controlPr>
            </control>
          </mc:Choice>
        </mc:AlternateContent>
        <mc:AlternateContent xmlns:mc="http://schemas.openxmlformats.org/markup-compatibility/2006">
          <mc:Choice Requires="x14">
            <control shapeId="41988" r:id="rId5" name="Button 4">
              <controlPr defaultSize="0" print="0" autoFill="0" autoPict="0" macro="[0]!Prev_Sheet">
                <anchor moveWithCells="1" sizeWithCells="1">
                  <from>
                    <xdr:col>10</xdr:col>
                    <xdr:colOff>66675</xdr:colOff>
                    <xdr:row>1</xdr:row>
                    <xdr:rowOff>19050</xdr:rowOff>
                  </from>
                  <to>
                    <xdr:col>10</xdr:col>
                    <xdr:colOff>971550</xdr:colOff>
                    <xdr:row>2</xdr:row>
                    <xdr:rowOff>66675</xdr:rowOff>
                  </to>
                </anchor>
              </controlPr>
            </control>
          </mc:Choice>
        </mc:AlternateContent>
        <mc:AlternateContent xmlns:mc="http://schemas.openxmlformats.org/markup-compatibility/2006">
          <mc:Choice Requires="x14">
            <control shapeId="41989" r:id="rId6" name="Button 5">
              <controlPr defaultSize="0" print="0" autoFill="0" autoPict="0" macro="[0]!Img_Home_Click">
                <anchor moveWithCells="1">
                  <from>
                    <xdr:col>10</xdr:col>
                    <xdr:colOff>57150</xdr:colOff>
                    <xdr:row>0</xdr:row>
                    <xdr:rowOff>76200</xdr:rowOff>
                  </from>
                  <to>
                    <xdr:col>10</xdr:col>
                    <xdr:colOff>952500</xdr:colOff>
                    <xdr:row>1</xdr:row>
                    <xdr:rowOff>0</xdr:rowOff>
                  </to>
                </anchor>
              </controlPr>
            </control>
          </mc:Choice>
        </mc:AlternateContent>
        <mc:AlternateContent xmlns:mc="http://schemas.openxmlformats.org/markup-compatibility/2006">
          <mc:Choice Requires="x14">
            <control shapeId="41991" r:id="rId7" name="Button 7">
              <controlPr defaultSize="0" print="0" autoFill="0" autoPict="0" macro="[0]!Instruction_Sheet">
                <anchor moveWithCells="1">
                  <from>
                    <xdr:col>10</xdr:col>
                    <xdr:colOff>66675</xdr:colOff>
                    <xdr:row>6</xdr:row>
                    <xdr:rowOff>57150</xdr:rowOff>
                  </from>
                  <to>
                    <xdr:col>10</xdr:col>
                    <xdr:colOff>971550</xdr:colOff>
                    <xdr:row>7</xdr:row>
                    <xdr:rowOff>133350</xdr:rowOff>
                  </to>
                </anchor>
              </controlPr>
            </control>
          </mc:Choice>
        </mc:AlternateContent>
        <mc:AlternateContent xmlns:mc="http://schemas.openxmlformats.org/markup-compatibility/2006">
          <mc:Choice Requires="x14">
            <control shapeId="41992" r:id="rId8" name="Button 8">
              <controlPr defaultSize="0" print="0" autoFill="0" autoPict="0" macro="[0]!WorksheetsPrint">
                <anchor moveWithCells="1">
                  <from>
                    <xdr:col>10</xdr:col>
                    <xdr:colOff>66675</xdr:colOff>
                    <xdr:row>3</xdr:row>
                    <xdr:rowOff>152400</xdr:rowOff>
                  </from>
                  <to>
                    <xdr:col>10</xdr:col>
                    <xdr:colOff>971550</xdr:colOff>
                    <xdr:row>5</xdr:row>
                    <xdr:rowOff>57150</xdr:rowOff>
                  </to>
                </anchor>
              </controlPr>
            </control>
          </mc:Choice>
        </mc:AlternateContent>
        <mc:AlternateContent xmlns:mc="http://schemas.openxmlformats.org/markup-compatibility/2006">
          <mc:Choice Requires="x14">
            <control shapeId="41993" r:id="rId9" name="Button 9">
              <controlPr defaultSize="0" print="0" autoFill="0" autoPict="0" macro="[0]!ValidateAll_XML">
                <anchor moveWithCells="1">
                  <from>
                    <xdr:col>10</xdr:col>
                    <xdr:colOff>66675</xdr:colOff>
                    <xdr:row>5</xdr:row>
                    <xdr:rowOff>0</xdr:rowOff>
                  </from>
                  <to>
                    <xdr:col>10</xdr:col>
                    <xdr:colOff>971550</xdr:colOff>
                    <xdr:row>6</xdr:row>
                    <xdr:rowOff>76200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F35"/>
  <sheetViews>
    <sheetView showRowColHeaders="0" topLeftCell="A7" workbookViewId="0">
      <selection activeCell="D11" sqref="D11"/>
    </sheetView>
  </sheetViews>
  <sheetFormatPr defaultColWidth="9.140625" defaultRowHeight="12.75" x14ac:dyDescent="0.2"/>
  <cols>
    <col min="1" max="1" width="18.28515625" style="113" customWidth="1"/>
    <col min="2" max="2" width="32.5703125" style="113" bestFit="1" customWidth="1"/>
    <col min="3" max="3" width="9.140625" style="113"/>
    <col min="4" max="4" width="42.42578125" style="113" bestFit="1" customWidth="1"/>
    <col min="5" max="5" width="9.140625" style="113"/>
    <col min="6" max="6" width="42.42578125" style="113" bestFit="1" customWidth="1"/>
    <col min="7" max="16384" width="9.140625" style="113"/>
  </cols>
  <sheetData>
    <row r="1" spans="1:6" x14ac:dyDescent="0.2">
      <c r="B1" s="113" t="s">
        <v>1550</v>
      </c>
      <c r="D1" s="113" t="s">
        <v>1594</v>
      </c>
      <c r="F1" s="113" t="s">
        <v>1595</v>
      </c>
    </row>
    <row r="2" spans="1:6" x14ac:dyDescent="0.2">
      <c r="A2" s="113" t="s">
        <v>1540</v>
      </c>
      <c r="B2" s="113">
        <v>0</v>
      </c>
      <c r="D2" s="113">
        <v>0</v>
      </c>
      <c r="F2" s="113">
        <v>0</v>
      </c>
    </row>
    <row r="3" spans="1:6" x14ac:dyDescent="0.2">
      <c r="A3" s="113" t="s">
        <v>1541</v>
      </c>
      <c r="B3" s="113">
        <v>0</v>
      </c>
      <c r="D3" s="113">
        <v>0</v>
      </c>
      <c r="F3" s="113">
        <v>0</v>
      </c>
    </row>
    <row r="4" spans="1:6" x14ac:dyDescent="0.2">
      <c r="A4" s="113" t="s">
        <v>1542</v>
      </c>
      <c r="B4" s="113">
        <v>0</v>
      </c>
      <c r="D4" s="113">
        <v>0</v>
      </c>
      <c r="F4" s="113">
        <v>0</v>
      </c>
    </row>
    <row r="5" spans="1:6" x14ac:dyDescent="0.2">
      <c r="A5" s="113" t="s">
        <v>1543</v>
      </c>
      <c r="B5" s="113">
        <v>0</v>
      </c>
      <c r="D5" s="113">
        <v>0</v>
      </c>
      <c r="F5" s="113">
        <v>0</v>
      </c>
    </row>
    <row r="6" spans="1:6" x14ac:dyDescent="0.2">
      <c r="A6" s="113" t="s">
        <v>1544</v>
      </c>
      <c r="B6" s="113">
        <v>0</v>
      </c>
      <c r="D6" s="113">
        <v>0</v>
      </c>
      <c r="F6" s="113">
        <v>0</v>
      </c>
    </row>
    <row r="7" spans="1:6" x14ac:dyDescent="0.2">
      <c r="A7" s="113" t="s">
        <v>1545</v>
      </c>
      <c r="B7" s="113">
        <v>0</v>
      </c>
      <c r="D7" s="113">
        <v>0</v>
      </c>
      <c r="F7" s="113">
        <v>0</v>
      </c>
    </row>
    <row r="8" spans="1:6" x14ac:dyDescent="0.2">
      <c r="A8" s="113" t="s">
        <v>1546</v>
      </c>
      <c r="B8" s="113">
        <v>0</v>
      </c>
      <c r="D8" s="113">
        <v>0</v>
      </c>
      <c r="F8" s="113">
        <v>0</v>
      </c>
    </row>
    <row r="9" spans="1:6" x14ac:dyDescent="0.2">
      <c r="A9" s="113" t="s">
        <v>1547</v>
      </c>
      <c r="B9" s="113">
        <v>0</v>
      </c>
      <c r="D9" s="113">
        <v>0</v>
      </c>
      <c r="F9" s="113">
        <v>0</v>
      </c>
    </row>
    <row r="10" spans="1:6" x14ac:dyDescent="0.2">
      <c r="A10" s="113" t="s">
        <v>1548</v>
      </c>
      <c r="B10" s="113">
        <v>0</v>
      </c>
      <c r="D10" s="113">
        <v>0</v>
      </c>
      <c r="F10" s="113">
        <v>0</v>
      </c>
    </row>
    <row r="11" spans="1:6" x14ac:dyDescent="0.2">
      <c r="A11" s="113" t="s">
        <v>1549</v>
      </c>
      <c r="B11" s="113">
        <v>0</v>
      </c>
      <c r="D11" s="113">
        <v>0</v>
      </c>
      <c r="F11" s="113">
        <v>0</v>
      </c>
    </row>
    <row r="12" spans="1:6" x14ac:dyDescent="0.2">
      <c r="A12" s="113" t="s">
        <v>9202</v>
      </c>
      <c r="B12" s="113">
        <v>0</v>
      </c>
      <c r="D12" s="113">
        <v>0</v>
      </c>
      <c r="F12" s="113">
        <v>0</v>
      </c>
    </row>
    <row r="13" spans="1:6" x14ac:dyDescent="0.2">
      <c r="A13" s="113" t="s">
        <v>9203</v>
      </c>
      <c r="B13" s="113">
        <v>0</v>
      </c>
      <c r="D13" s="113">
        <v>0</v>
      </c>
      <c r="F13" s="113">
        <v>0</v>
      </c>
    </row>
    <row r="14" spans="1:6" x14ac:dyDescent="0.2">
      <c r="A14" s="113" t="s">
        <v>9292</v>
      </c>
      <c r="B14" s="113">
        <v>0</v>
      </c>
      <c r="D14" s="113">
        <v>0</v>
      </c>
      <c r="F14" s="113">
        <v>0</v>
      </c>
    </row>
    <row r="15" spans="1:6" x14ac:dyDescent="0.2">
      <c r="A15" s="121" t="s">
        <v>12077</v>
      </c>
      <c r="B15" s="113">
        <v>0</v>
      </c>
      <c r="D15" s="113">
        <v>0</v>
      </c>
      <c r="F15" s="113">
        <v>0</v>
      </c>
    </row>
    <row r="16" spans="1:6" x14ac:dyDescent="0.2">
      <c r="A16" s="113" t="s">
        <v>9293</v>
      </c>
      <c r="B16" s="113">
        <v>0</v>
      </c>
      <c r="D16" s="113">
        <v>0</v>
      </c>
      <c r="F16" s="113">
        <v>0</v>
      </c>
    </row>
    <row r="17" spans="1:6" x14ac:dyDescent="0.2">
      <c r="A17" s="113" t="s">
        <v>9294</v>
      </c>
      <c r="B17" s="113">
        <v>0</v>
      </c>
      <c r="D17" s="113">
        <v>0</v>
      </c>
      <c r="F17" s="113">
        <v>0</v>
      </c>
    </row>
    <row r="18" spans="1:6" x14ac:dyDescent="0.2">
      <c r="A18" s="113" t="s">
        <v>9295</v>
      </c>
      <c r="B18" s="113">
        <v>0</v>
      </c>
      <c r="D18" s="113">
        <v>0</v>
      </c>
      <c r="F18" s="113">
        <v>0</v>
      </c>
    </row>
    <row r="19" spans="1:6" x14ac:dyDescent="0.2">
      <c r="A19" s="113" t="s">
        <v>9296</v>
      </c>
    </row>
    <row r="20" spans="1:6" x14ac:dyDescent="0.2">
      <c r="A20" s="113" t="s">
        <v>9297</v>
      </c>
      <c r="B20" s="113">
        <v>0</v>
      </c>
      <c r="D20" s="113">
        <v>0</v>
      </c>
      <c r="F20" s="113">
        <v>0</v>
      </c>
    </row>
    <row r="21" spans="1:6" x14ac:dyDescent="0.2">
      <c r="A21" s="113" t="s">
        <v>9291</v>
      </c>
    </row>
    <row r="24" spans="1:6" x14ac:dyDescent="0.2">
      <c r="A24" s="113" t="s">
        <v>1551</v>
      </c>
      <c r="B24" s="113" t="str">
        <f>CONCATENATE(sheet1.FirstName," ",sheet1.MiddleName," ",sheet1.SurNameOrOrgName)</f>
        <v xml:space="preserve">  </v>
      </c>
    </row>
    <row r="26" spans="1:6" x14ac:dyDescent="0.2">
      <c r="A26" s="113" t="s">
        <v>1552</v>
      </c>
      <c r="B26" s="113">
        <v>0</v>
      </c>
    </row>
    <row r="27" spans="1:6" x14ac:dyDescent="0.2">
      <c r="A27" s="113" t="s">
        <v>1553</v>
      </c>
      <c r="B27" s="113">
        <f>calculateAge(sheet1.DOB)</f>
        <v>2022</v>
      </c>
    </row>
    <row r="31" spans="1:6" x14ac:dyDescent="0.2">
      <c r="A31" s="113" t="s">
        <v>1713</v>
      </c>
      <c r="B31" s="113" t="str">
        <f ca="1">CONCATENATE(IF(DAY(TODAY())&lt;10,"0",""),DAY(TODAY()),"-",IF(MONTH(TODAY())&lt;10,"0",""),MONTH(TODAY()),"-",YEAR(TODAY()))</f>
        <v>02-09-2022</v>
      </c>
    </row>
    <row r="33" spans="2:6" x14ac:dyDescent="0.2">
      <c r="F33" s="975" t="str">
        <f ca="1">CONCATENATE(YEAR(TODAY()),"-",IF(MONTH(TODAY())&lt;10,"0",""),MONTH(TODAY()),"-",IF(DAY(TODAY())&lt;10,"0",""),DAY(TODAY()))</f>
        <v>2022-09-02</v>
      </c>
    </row>
    <row r="34" spans="2:6" x14ac:dyDescent="0.2">
      <c r="B34" s="113" t="str">
        <f ca="1">CONCATENATE(IF(DAY(TODAY())&lt;10,"0",""),DAY(TODAY()),"-",IF(MONTH(TODAY())&lt;10,"0",""),MONTH(TODAY()),"-",YEAR(TODAY()))</f>
        <v>02-09-2022</v>
      </c>
      <c r="D34" s="976"/>
      <c r="F34" s="977"/>
    </row>
    <row r="35" spans="2:6" x14ac:dyDescent="0.2">
      <c r="E35" s="976"/>
      <c r="F35" s="978"/>
    </row>
  </sheetData>
  <sheetProtection algorithmName="SHA-512" hashValue="6u8Lkb0DsmjRKoXN2HGmlLmL+PHPV8GKQtcGz99DktaBG+PH1iSU4gS8oMlJCTE6Yy6eVDDzggr/J+MWWrPmxQ==" saltValue="pxu7wADgg089StnoJGWGZg==" spinCount="100000" sheet="1" objects="1" scenarios="1"/>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LL"/>
  <dimension ref="A1:EX1000"/>
  <sheetViews>
    <sheetView topLeftCell="CI1" zoomScale="55" zoomScaleNormal="55" workbookViewId="0">
      <selection activeCell="CZ3" sqref="CZ3"/>
    </sheetView>
  </sheetViews>
  <sheetFormatPr defaultColWidth="9.140625" defaultRowHeight="12.75" x14ac:dyDescent="0.2"/>
  <cols>
    <col min="1" max="1" width="12.140625" style="121" bestFit="1" customWidth="1"/>
    <col min="2" max="2" width="24.7109375" style="121" bestFit="1" customWidth="1"/>
    <col min="3" max="3" width="2.5703125" style="121" customWidth="1"/>
    <col min="4" max="4" width="10.7109375" style="121" bestFit="1" customWidth="1"/>
    <col min="5" max="5" width="21.140625" style="121" bestFit="1" customWidth="1"/>
    <col min="6" max="6" width="29.42578125" style="121" bestFit="1" customWidth="1"/>
    <col min="7" max="7" width="7.85546875" style="121" customWidth="1"/>
    <col min="8" max="8" width="29.42578125" style="121" bestFit="1" customWidth="1"/>
    <col min="9" max="9" width="21.5703125" style="121" bestFit="1" customWidth="1"/>
    <col min="10" max="10" width="22.5703125" style="121" customWidth="1"/>
    <col min="11" max="11" width="34.85546875" style="121" bestFit="1" customWidth="1"/>
    <col min="12" max="12" width="10.140625" style="121" customWidth="1"/>
    <col min="13" max="13" width="9.85546875" style="121" bestFit="1" customWidth="1"/>
    <col min="14" max="14" width="28.7109375" style="121" bestFit="1" customWidth="1"/>
    <col min="15" max="15" width="11.28515625" style="121" bestFit="1" customWidth="1"/>
    <col min="16" max="16" width="185.28515625" style="121" bestFit="1" customWidth="1"/>
    <col min="17" max="17" width="41.42578125" style="121" bestFit="1" customWidth="1"/>
    <col min="18" max="18" width="11.85546875" style="121" bestFit="1" customWidth="1"/>
    <col min="19" max="19" width="8" style="121" bestFit="1" customWidth="1"/>
    <col min="20" max="20" width="152.28515625" style="121" bestFit="1" customWidth="1"/>
    <col min="21" max="21" width="70.28515625" style="121" bestFit="1" customWidth="1"/>
    <col min="22" max="22" width="40.140625" style="121" bestFit="1" customWidth="1"/>
    <col min="23" max="23" width="19.7109375" style="121" bestFit="1" customWidth="1"/>
    <col min="24" max="24" width="123.28515625" style="121" bestFit="1" customWidth="1"/>
    <col min="25" max="25" width="18.28515625" style="121" bestFit="1" customWidth="1"/>
    <col min="26" max="26" width="70.7109375" style="121" bestFit="1" customWidth="1"/>
    <col min="27" max="27" width="66.42578125" style="121" customWidth="1"/>
    <col min="28" max="28" width="154.42578125" style="121" bestFit="1" customWidth="1"/>
    <col min="29" max="29" width="152.7109375" style="121" bestFit="1" customWidth="1"/>
    <col min="30" max="31" width="30" style="121" bestFit="1" customWidth="1"/>
    <col min="32" max="32" width="12.28515625" style="121" bestFit="1" customWidth="1"/>
    <col min="33" max="33" width="22.5703125" style="1676" bestFit="1" customWidth="1"/>
    <col min="34" max="34" width="13.7109375" style="1676" bestFit="1" customWidth="1"/>
    <col min="35" max="35" width="56.28515625" style="1676" bestFit="1" customWidth="1"/>
    <col min="36" max="36" width="226" style="1676" bestFit="1" customWidth="1"/>
    <col min="37" max="37" width="14.85546875" style="1676" bestFit="1" customWidth="1"/>
    <col min="38" max="38" width="32.5703125" style="1676" bestFit="1" customWidth="1"/>
    <col min="39" max="39" width="17" style="1676" bestFit="1" customWidth="1"/>
    <col min="40" max="40" width="11" style="1676" bestFit="1" customWidth="1"/>
    <col min="41" max="41" width="88.85546875" style="1676" bestFit="1" customWidth="1"/>
    <col min="42" max="42" width="99.42578125" style="1676" bestFit="1" customWidth="1"/>
    <col min="43" max="43" width="122.7109375" style="1676" bestFit="1" customWidth="1"/>
    <col min="44" max="44" width="19.7109375" style="1676" bestFit="1" customWidth="1"/>
    <col min="45" max="45" width="91.42578125" style="1676" bestFit="1" customWidth="1"/>
    <col min="46" max="46" width="122.7109375" style="1676" bestFit="1" customWidth="1"/>
    <col min="47" max="47" width="99.42578125" style="1676" bestFit="1" customWidth="1"/>
    <col min="48" max="52" width="94.42578125" style="1676" bestFit="1" customWidth="1"/>
    <col min="53" max="53" width="99.42578125" style="1676" bestFit="1" customWidth="1"/>
    <col min="54" max="54" width="94.42578125" style="1676" bestFit="1" customWidth="1"/>
    <col min="55" max="55" width="12.7109375" style="1676" bestFit="1" customWidth="1"/>
    <col min="56" max="56" width="90.140625" style="1676" bestFit="1" customWidth="1"/>
    <col min="57" max="57" width="8.7109375" style="1676" bestFit="1" customWidth="1"/>
    <col min="58" max="58" width="107" style="1676" bestFit="1" customWidth="1"/>
    <col min="59" max="59" width="12.7109375" style="1676" bestFit="1" customWidth="1"/>
    <col min="60" max="60" width="99.42578125" style="1676" bestFit="1" customWidth="1"/>
    <col min="61" max="61" width="76.7109375" style="1676" customWidth="1"/>
    <col min="62" max="62" width="80.28515625" style="1676" bestFit="1" customWidth="1"/>
    <col min="63" max="64" width="80.28515625" style="1676" customWidth="1"/>
    <col min="65" max="65" width="48.85546875" style="1676" bestFit="1" customWidth="1"/>
    <col min="66" max="66" width="77.85546875" style="1676" bestFit="1" customWidth="1"/>
    <col min="67" max="67" width="60.42578125" style="1676" bestFit="1" customWidth="1"/>
    <col min="68" max="68" width="22.85546875" style="1676" bestFit="1" customWidth="1"/>
    <col min="69" max="69" width="60.42578125" style="1676" bestFit="1" customWidth="1"/>
    <col min="70" max="70" width="23.42578125" style="1676" bestFit="1" customWidth="1"/>
    <col min="71" max="71" width="7" style="1676" customWidth="1"/>
    <col min="72" max="72" width="34.85546875" style="1676" bestFit="1" customWidth="1"/>
    <col min="73" max="73" width="59.85546875" style="1676" bestFit="1" customWidth="1"/>
    <col min="74" max="74" width="3.140625" style="1676" customWidth="1"/>
    <col min="75" max="75" width="57" style="1676" customWidth="1"/>
    <col min="76" max="76" width="3.28515625" style="1676" customWidth="1"/>
    <col min="77" max="77" width="53.28515625" style="1676" customWidth="1"/>
    <col min="78" max="78" width="9.140625" style="1676"/>
    <col min="79" max="79" width="44.28515625" style="1676" bestFit="1" customWidth="1"/>
    <col min="80" max="81" width="95.140625" style="1676" bestFit="1" customWidth="1"/>
    <col min="82" max="82" width="95.140625" style="1676" customWidth="1"/>
    <col min="83" max="83" width="100.28515625" style="1676" bestFit="1" customWidth="1"/>
    <col min="84" max="84" width="14.28515625" style="1676" customWidth="1"/>
    <col min="85" max="85" width="94.7109375" style="1676" customWidth="1"/>
    <col min="86" max="86" width="17.85546875" style="1676" bestFit="1" customWidth="1"/>
    <col min="87" max="87" width="46.85546875" style="1676" bestFit="1" customWidth="1"/>
    <col min="88" max="88" width="9.140625" style="1676" bestFit="1" customWidth="1"/>
    <col min="89" max="89" width="4.7109375" style="1676" customWidth="1"/>
    <col min="90" max="90" width="16.28515625" style="1676" bestFit="1" customWidth="1"/>
    <col min="91" max="91" width="15.42578125" style="1676" bestFit="1" customWidth="1"/>
    <col min="92" max="92" width="15.5703125" style="1676" bestFit="1" customWidth="1"/>
    <col min="93" max="94" width="15.140625" style="1676" bestFit="1" customWidth="1"/>
    <col min="95" max="95" width="9.140625" style="1676"/>
    <col min="96" max="96" width="62.140625" style="1676" bestFit="1" customWidth="1"/>
    <col min="97" max="97" width="17.42578125" style="1676" bestFit="1" customWidth="1"/>
    <col min="98" max="98" width="9.140625" style="1676"/>
    <col min="99" max="99" width="17.85546875" style="1676" customWidth="1"/>
    <col min="100" max="100" width="9.140625" style="1676"/>
    <col min="101" max="101" width="11" style="1676" customWidth="1"/>
    <col min="102" max="102" width="34.5703125" style="1676" bestFit="1" customWidth="1"/>
    <col min="103" max="103" width="16.140625" style="1676" customWidth="1"/>
    <col min="104" max="104" width="15.5703125" style="1676" bestFit="1" customWidth="1"/>
    <col min="105" max="105" width="14.42578125" style="1676" bestFit="1" customWidth="1"/>
    <col min="106" max="106" width="16.28515625" style="1697" bestFit="1" customWidth="1"/>
    <col min="107" max="107" width="9.140625" style="1676"/>
    <col min="108" max="108" width="48.5703125" style="1676" customWidth="1"/>
    <col min="109" max="109" width="16" style="1676" customWidth="1"/>
    <col min="110" max="110" width="18.28515625" style="1676" customWidth="1"/>
    <col min="111" max="111" width="13.42578125" style="1676" bestFit="1" customWidth="1"/>
    <col min="112" max="112" width="14.140625" style="1676" customWidth="1"/>
    <col min="113" max="124" width="9.140625" style="1676"/>
    <col min="125" max="125" width="27.140625" style="1676" customWidth="1"/>
    <col min="126" max="126" width="9.140625" style="1676"/>
    <col min="127" max="127" width="95.140625" style="1676" bestFit="1" customWidth="1"/>
    <col min="128" max="151" width="9.140625" style="1676"/>
    <col min="152" max="152" width="18.5703125" style="1676" customWidth="1"/>
    <col min="153" max="153" width="14.7109375" style="1676" customWidth="1"/>
    <col min="154" max="154" width="49.7109375" style="1676" customWidth="1"/>
    <col min="155" max="156" width="9.140625" style="1676" customWidth="1"/>
    <col min="157" max="16384" width="9.140625" style="1676"/>
  </cols>
  <sheetData>
    <row r="1" spans="1:154" s="121" customFormat="1" ht="30" x14ac:dyDescent="0.25">
      <c r="A1" s="708" t="s">
        <v>7253</v>
      </c>
      <c r="B1" s="740" t="s">
        <v>12751</v>
      </c>
      <c r="D1" s="23" t="s">
        <v>11855</v>
      </c>
      <c r="E1" s="23" t="s">
        <v>11856</v>
      </c>
      <c r="F1" s="3384" t="s">
        <v>263</v>
      </c>
      <c r="G1" s="3384"/>
      <c r="H1" s="23" t="s">
        <v>11859</v>
      </c>
      <c r="I1" s="23" t="s">
        <v>11860</v>
      </c>
      <c r="J1" s="1682" t="s">
        <v>256</v>
      </c>
      <c r="K1" s="1682" t="s">
        <v>24</v>
      </c>
      <c r="L1" s="1682" t="s">
        <v>11857</v>
      </c>
      <c r="M1" s="23" t="s">
        <v>11858</v>
      </c>
      <c r="N1" s="23" t="s">
        <v>11861</v>
      </c>
      <c r="O1" s="23" t="s">
        <v>11862</v>
      </c>
      <c r="P1" s="1682" t="s">
        <v>11863</v>
      </c>
      <c r="Q1" s="23" t="s">
        <v>11864</v>
      </c>
      <c r="R1" s="23" t="s">
        <v>8956</v>
      </c>
      <c r="S1" s="23" t="s">
        <v>11865</v>
      </c>
      <c r="T1" s="23" t="s">
        <v>11866</v>
      </c>
      <c r="U1" s="23" t="s">
        <v>11867</v>
      </c>
      <c r="V1" s="23" t="s">
        <v>11868</v>
      </c>
      <c r="W1" s="23" t="s">
        <v>9242</v>
      </c>
      <c r="X1" s="23" t="s">
        <v>11869</v>
      </c>
      <c r="Y1" s="23" t="s">
        <v>9261</v>
      </c>
      <c r="Z1" s="23" t="s">
        <v>11870</v>
      </c>
      <c r="AA1" s="23" t="s">
        <v>11871</v>
      </c>
      <c r="AB1" s="23" t="s">
        <v>11872</v>
      </c>
      <c r="AC1" s="23" t="s">
        <v>11873</v>
      </c>
      <c r="AD1" s="23" t="s">
        <v>9586</v>
      </c>
      <c r="AE1" s="23" t="s">
        <v>9591</v>
      </c>
      <c r="AF1" s="23" t="s">
        <v>9704</v>
      </c>
      <c r="AG1" s="23" t="s">
        <v>9707</v>
      </c>
      <c r="AH1" s="23" t="s">
        <v>11874</v>
      </c>
      <c r="AI1" s="23" t="s">
        <v>9781</v>
      </c>
      <c r="AJ1" s="23" t="s">
        <v>11877</v>
      </c>
      <c r="AK1" s="23" t="s">
        <v>635</v>
      </c>
      <c r="AL1" s="23" t="s">
        <v>11878</v>
      </c>
      <c r="AM1" s="23" t="s">
        <v>642</v>
      </c>
      <c r="AN1" s="23" t="s">
        <v>1340</v>
      </c>
      <c r="AO1" s="23" t="s">
        <v>11880</v>
      </c>
      <c r="AP1" s="23" t="s">
        <v>11881</v>
      </c>
      <c r="AQ1" s="23" t="s">
        <v>11882</v>
      </c>
      <c r="AR1" s="23" t="s">
        <v>11883</v>
      </c>
      <c r="AS1" s="23" t="s">
        <v>11884</v>
      </c>
      <c r="AT1" s="23" t="s">
        <v>11885</v>
      </c>
      <c r="AU1" s="23" t="s">
        <v>11886</v>
      </c>
      <c r="AV1" s="23" t="s">
        <v>11887</v>
      </c>
      <c r="AW1" s="23" t="s">
        <v>11888</v>
      </c>
      <c r="AX1" s="23" t="s">
        <v>9489</v>
      </c>
      <c r="AY1" s="23" t="s">
        <v>11889</v>
      </c>
      <c r="AZ1" s="23" t="s">
        <v>9491</v>
      </c>
      <c r="BA1" s="23" t="s">
        <v>11890</v>
      </c>
      <c r="BB1" s="3384" t="s">
        <v>11891</v>
      </c>
      <c r="BC1" s="3384"/>
      <c r="BD1" s="3384" t="s">
        <v>11892</v>
      </c>
      <c r="BE1" s="3384"/>
      <c r="BF1" s="3384" t="s">
        <v>11893</v>
      </c>
      <c r="BG1" s="3384"/>
      <c r="BH1" s="23" t="s">
        <v>11894</v>
      </c>
      <c r="BI1" s="23" t="s">
        <v>11908</v>
      </c>
      <c r="BJ1" s="23" t="s">
        <v>11909</v>
      </c>
      <c r="BK1" s="23" t="s">
        <v>11915</v>
      </c>
      <c r="BL1" s="23" t="s">
        <v>11916</v>
      </c>
      <c r="BM1" s="23" t="s">
        <v>11910</v>
      </c>
      <c r="BN1" s="23" t="s">
        <v>11911</v>
      </c>
      <c r="BO1" s="1680"/>
      <c r="BP1" s="23" t="s">
        <v>11912</v>
      </c>
      <c r="BQ1" s="23" t="s">
        <v>11913</v>
      </c>
      <c r="BR1" s="23" t="s">
        <v>11914</v>
      </c>
      <c r="BS1" s="1680"/>
      <c r="BT1" s="23" t="s">
        <v>16</v>
      </c>
      <c r="BU1" s="707" t="s">
        <v>17</v>
      </c>
      <c r="BW1" s="23" t="s">
        <v>11875</v>
      </c>
      <c r="BY1" s="23" t="s">
        <v>11876</v>
      </c>
      <c r="CA1" s="23" t="s">
        <v>11904</v>
      </c>
      <c r="CB1" s="23" t="s">
        <v>11905</v>
      </c>
      <c r="CD1" s="23" t="s">
        <v>11906</v>
      </c>
      <c r="CE1" s="23" t="s">
        <v>11879</v>
      </c>
      <c r="CF1" s="3384" t="s">
        <v>11907</v>
      </c>
      <c r="CG1" s="3384"/>
      <c r="CI1" s="23" t="s">
        <v>11895</v>
      </c>
      <c r="CJ1" s="23" t="s">
        <v>11896</v>
      </c>
      <c r="CL1" s="23" t="s">
        <v>11897</v>
      </c>
      <c r="CM1" s="23" t="s">
        <v>11898</v>
      </c>
      <c r="CN1" s="23" t="s">
        <v>11899</v>
      </c>
      <c r="CO1" s="23" t="s">
        <v>11900</v>
      </c>
      <c r="CP1" s="23" t="s">
        <v>11901</v>
      </c>
      <c r="CR1" s="23" t="s">
        <v>11902</v>
      </c>
      <c r="CS1" s="23" t="s">
        <v>11903</v>
      </c>
      <c r="CU1" s="785" t="s">
        <v>12005</v>
      </c>
      <c r="CW1" s="4016" t="s">
        <v>12770</v>
      </c>
      <c r="CX1" s="4016"/>
      <c r="CZ1" s="121" t="s">
        <v>12771</v>
      </c>
      <c r="DA1" s="121" t="s">
        <v>13039</v>
      </c>
      <c r="DD1" s="121" t="s">
        <v>12776</v>
      </c>
      <c r="DE1" s="2559" t="s">
        <v>12921</v>
      </c>
      <c r="DF1" s="2561">
        <f>VALUE(IF(LTCG.B_AcqDate1="",2001,VALUE(MID(LTCG.B_AcqDate1,7,4))))</f>
        <v>2001</v>
      </c>
      <c r="DG1" s="2561" t="s">
        <v>12800</v>
      </c>
      <c r="DH1" s="2561" t="s">
        <v>13224</v>
      </c>
    </row>
    <row r="2" spans="1:154" s="121" customFormat="1" ht="15" x14ac:dyDescent="0.2">
      <c r="A2" s="708" t="s">
        <v>7254</v>
      </c>
      <c r="B2" s="740">
        <v>1849</v>
      </c>
      <c r="E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I2" s="848"/>
      <c r="AJ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O2" s="848"/>
      <c r="BP2" s="848"/>
      <c r="BQ2" s="848"/>
      <c r="BR2" s="848"/>
      <c r="BS2" s="848"/>
      <c r="BT2" s="740"/>
      <c r="CF2" s="848"/>
      <c r="CG2" s="848"/>
      <c r="DB2" s="121" t="s">
        <v>12</v>
      </c>
      <c r="DE2" s="2560" t="s">
        <v>12922</v>
      </c>
      <c r="DF2" s="2562">
        <f>VALUE(IF(LTCG.B_SaleTrfDate1="",2001,VALUE(MID(LTCG.B_SaleTrfDate1,7,4))))</f>
        <v>2001</v>
      </c>
      <c r="DG2" s="2562">
        <v>2001</v>
      </c>
      <c r="DH2" s="2562">
        <v>100</v>
      </c>
    </row>
    <row r="3" spans="1:154" ht="15" x14ac:dyDescent="0.25">
      <c r="D3" s="1679" t="s">
        <v>12</v>
      </c>
      <c r="E3" s="740" t="s">
        <v>12</v>
      </c>
      <c r="F3" s="1" t="s">
        <v>12</v>
      </c>
      <c r="G3" s="740" t="s">
        <v>12</v>
      </c>
      <c r="H3" s="740" t="s">
        <v>12</v>
      </c>
      <c r="I3" s="740" t="s">
        <v>12</v>
      </c>
      <c r="J3" s="846" t="s">
        <v>12</v>
      </c>
      <c r="K3" s="740" t="s">
        <v>12</v>
      </c>
      <c r="L3" s="740" t="s">
        <v>12</v>
      </c>
      <c r="M3" s="1679" t="s">
        <v>12</v>
      </c>
      <c r="N3" s="1679" t="s">
        <v>12</v>
      </c>
      <c r="O3" s="740" t="s">
        <v>12</v>
      </c>
      <c r="P3" s="740" t="s">
        <v>12</v>
      </c>
      <c r="Q3" s="740" t="s">
        <v>12</v>
      </c>
      <c r="R3" s="740" t="s">
        <v>12</v>
      </c>
      <c r="S3" s="740" t="s">
        <v>12</v>
      </c>
      <c r="T3" s="1679" t="s">
        <v>12</v>
      </c>
      <c r="U3" s="740" t="s">
        <v>12</v>
      </c>
      <c r="V3" s="740" t="s">
        <v>12</v>
      </c>
      <c r="W3" s="1679" t="s">
        <v>12</v>
      </c>
      <c r="X3" s="740" t="s">
        <v>12</v>
      </c>
      <c r="Y3" s="1679" t="s">
        <v>12</v>
      </c>
      <c r="Z3" s="1679" t="s">
        <v>12</v>
      </c>
      <c r="AA3" s="740" t="s">
        <v>12</v>
      </c>
      <c r="AB3" s="846" t="s">
        <v>12</v>
      </c>
      <c r="AC3" s="740" t="s">
        <v>12</v>
      </c>
      <c r="AD3" s="740" t="s">
        <v>12</v>
      </c>
      <c r="AE3" s="740" t="s">
        <v>12</v>
      </c>
      <c r="AF3" s="1679" t="s">
        <v>12</v>
      </c>
      <c r="AG3" s="1678" t="s">
        <v>12</v>
      </c>
      <c r="AH3" s="1691" t="s">
        <v>12</v>
      </c>
      <c r="AI3" s="1678" t="s">
        <v>12</v>
      </c>
      <c r="AJ3" s="1678" t="s">
        <v>12</v>
      </c>
      <c r="AK3" s="1691" t="s">
        <v>633</v>
      </c>
      <c r="AL3" s="1691" t="s">
        <v>12</v>
      </c>
      <c r="AM3" s="1678" t="s">
        <v>12</v>
      </c>
      <c r="AN3" s="1691" t="s">
        <v>12</v>
      </c>
      <c r="AO3" s="1678" t="s">
        <v>12</v>
      </c>
      <c r="AP3" s="1691" t="s">
        <v>12</v>
      </c>
      <c r="AQ3" s="1691" t="s">
        <v>12</v>
      </c>
      <c r="AR3" s="1691" t="s">
        <v>12</v>
      </c>
      <c r="AS3" s="821" t="s">
        <v>12</v>
      </c>
      <c r="AT3" s="1696" t="s">
        <v>12</v>
      </c>
      <c r="AU3" s="1692" t="s">
        <v>12</v>
      </c>
      <c r="AV3" s="2286" t="s">
        <v>12</v>
      </c>
      <c r="AW3" s="821" t="s">
        <v>12</v>
      </c>
      <c r="AX3" s="1317" t="s">
        <v>12</v>
      </c>
      <c r="AY3" s="1317" t="s">
        <v>12</v>
      </c>
      <c r="AZ3" s="1317" t="s">
        <v>12</v>
      </c>
      <c r="BA3" s="1691" t="s">
        <v>12</v>
      </c>
      <c r="BB3" s="1678" t="s">
        <v>9465</v>
      </c>
      <c r="BC3" s="1678" t="s">
        <v>9496</v>
      </c>
      <c r="BD3" s="1693" t="s">
        <v>9478</v>
      </c>
      <c r="BE3" s="1317" t="s">
        <v>1181</v>
      </c>
      <c r="BF3" s="1317" t="s">
        <v>12993</v>
      </c>
      <c r="BG3" s="1317" t="s">
        <v>9520</v>
      </c>
      <c r="BH3" s="2283" t="s">
        <v>12</v>
      </c>
      <c r="BI3" s="2284" t="s">
        <v>12</v>
      </c>
      <c r="BJ3" s="1694" t="s">
        <v>12</v>
      </c>
      <c r="BK3" s="1695" t="s">
        <v>12</v>
      </c>
      <c r="BL3" s="1695" t="s">
        <v>12</v>
      </c>
      <c r="BM3" s="1696" t="s">
        <v>12</v>
      </c>
      <c r="BN3" s="1691" t="s">
        <v>12</v>
      </c>
      <c r="BO3" s="1678" t="s">
        <v>12</v>
      </c>
      <c r="BP3" s="1691" t="s">
        <v>12</v>
      </c>
      <c r="BQ3" s="1678" t="s">
        <v>12</v>
      </c>
      <c r="BR3" s="1678" t="s">
        <v>12</v>
      </c>
      <c r="BS3" s="1697"/>
      <c r="BT3" s="1678" t="s">
        <v>12</v>
      </c>
      <c r="BU3" s="1696" t="s">
        <v>12</v>
      </c>
      <c r="BW3" s="1678" t="s">
        <v>12</v>
      </c>
      <c r="BY3" s="1678" t="s">
        <v>12</v>
      </c>
      <c r="CA3" s="1691" t="s">
        <v>12</v>
      </c>
      <c r="CB3" s="1691" t="s">
        <v>12</v>
      </c>
      <c r="CC3" s="1678" t="s">
        <v>12</v>
      </c>
      <c r="CD3" s="1678" t="s">
        <v>12</v>
      </c>
      <c r="CE3" s="1678" t="s">
        <v>12</v>
      </c>
      <c r="CF3" s="2140" t="s">
        <v>9819</v>
      </c>
      <c r="CG3" s="1686" t="s">
        <v>10819</v>
      </c>
      <c r="CI3" s="1678" t="s">
        <v>12</v>
      </c>
      <c r="CL3" s="1698" t="s">
        <v>4059</v>
      </c>
      <c r="CM3" s="1699" t="s">
        <v>4070</v>
      </c>
      <c r="CN3" s="1699" t="s">
        <v>4057</v>
      </c>
      <c r="CO3" s="1699" t="s">
        <v>4873</v>
      </c>
      <c r="CP3" s="1699" t="s">
        <v>6513</v>
      </c>
      <c r="CR3" s="1678" t="s">
        <v>9056</v>
      </c>
      <c r="CS3" s="1678" t="s">
        <v>6985</v>
      </c>
      <c r="CU3" s="1678" t="s">
        <v>12</v>
      </c>
      <c r="CW3" s="2252">
        <v>744</v>
      </c>
      <c r="CX3" s="2253" t="s">
        <v>47</v>
      </c>
      <c r="CY3" s="2591">
        <v>1</v>
      </c>
      <c r="CZ3">
        <v>2</v>
      </c>
      <c r="DA3"/>
      <c r="DB3" s="1676" t="s">
        <v>257</v>
      </c>
      <c r="DD3" s="1676">
        <f>SUMIF(os.NatureOfIncome,"1ai",os.Amount_income)</f>
        <v>0</v>
      </c>
      <c r="DE3" s="2560" t="s">
        <v>12923</v>
      </c>
      <c r="DF3" s="2562">
        <f>VLOOKUP(DF2,DG2:DH22,2)</f>
        <v>100</v>
      </c>
      <c r="DG3" s="2562">
        <v>2002</v>
      </c>
      <c r="DH3" s="2562">
        <v>105</v>
      </c>
    </row>
    <row r="4" spans="1:154" ht="26.25" x14ac:dyDescent="0.25">
      <c r="A4" s="708" t="s">
        <v>1313</v>
      </c>
      <c r="B4" s="740" t="s">
        <v>12863</v>
      </c>
      <c r="D4" s="1679" t="s">
        <v>45</v>
      </c>
      <c r="E4" s="740" t="s">
        <v>11960</v>
      </c>
      <c r="F4" s="740" t="s">
        <v>9597</v>
      </c>
      <c r="G4" s="740" t="s">
        <v>9606</v>
      </c>
      <c r="H4" s="740" t="s">
        <v>9597</v>
      </c>
      <c r="I4" s="740" t="s">
        <v>9601</v>
      </c>
      <c r="J4" s="846" t="s">
        <v>257</v>
      </c>
      <c r="K4" s="740" t="s">
        <v>258</v>
      </c>
      <c r="L4" s="740" t="s">
        <v>257</v>
      </c>
      <c r="M4" s="1679" t="s">
        <v>261</v>
      </c>
      <c r="N4" s="1679" t="s">
        <v>264</v>
      </c>
      <c r="O4" s="740" t="s">
        <v>266</v>
      </c>
      <c r="P4" s="740" t="s">
        <v>9419</v>
      </c>
      <c r="Q4" s="740" t="s">
        <v>508</v>
      </c>
      <c r="R4" s="740" t="s">
        <v>8956</v>
      </c>
      <c r="S4" s="740" t="s">
        <v>8958</v>
      </c>
      <c r="T4" s="2416" t="s">
        <v>9207</v>
      </c>
      <c r="U4" s="1687" t="s">
        <v>9209</v>
      </c>
      <c r="V4" s="740" t="s">
        <v>9211</v>
      </c>
      <c r="W4" s="1679" t="s">
        <v>9243</v>
      </c>
      <c r="X4" s="740" t="s">
        <v>9252</v>
      </c>
      <c r="Y4" s="1679" t="s">
        <v>9262</v>
      </c>
      <c r="Z4" s="1679" t="s">
        <v>12142</v>
      </c>
      <c r="AA4" s="740" t="s">
        <v>12145</v>
      </c>
      <c r="AB4" s="846" t="s">
        <v>9298</v>
      </c>
      <c r="AC4" s="740" t="s">
        <v>9560</v>
      </c>
      <c r="AD4" s="740" t="s">
        <v>9587</v>
      </c>
      <c r="AE4" s="740" t="s">
        <v>9587</v>
      </c>
      <c r="AF4" s="1679" t="s">
        <v>771</v>
      </c>
      <c r="AG4" s="1678" t="s">
        <v>767</v>
      </c>
      <c r="AH4" s="1691" t="s">
        <v>1287</v>
      </c>
      <c r="AI4" s="1678" t="s">
        <v>9782</v>
      </c>
      <c r="AJ4" s="1678" t="s">
        <v>8373</v>
      </c>
      <c r="AK4" s="1691" t="s">
        <v>634</v>
      </c>
      <c r="AL4" s="1691" t="s">
        <v>636</v>
      </c>
      <c r="AM4" s="1678" t="s">
        <v>649</v>
      </c>
      <c r="AN4" s="1691" t="s">
        <v>7628</v>
      </c>
      <c r="AO4" s="1678" t="s">
        <v>7391</v>
      </c>
      <c r="AP4" s="1691" t="s">
        <v>1329</v>
      </c>
      <c r="AQ4" s="1691" t="s">
        <v>7391</v>
      </c>
      <c r="AR4" s="1691" t="s">
        <v>8864</v>
      </c>
      <c r="AS4" s="2287" t="s">
        <v>9465</v>
      </c>
      <c r="AT4" s="1696" t="s">
        <v>7391</v>
      </c>
      <c r="AU4" s="1678" t="s">
        <v>7391</v>
      </c>
      <c r="AV4" s="2286" t="s">
        <v>9472</v>
      </c>
      <c r="AW4" s="821" t="s">
        <v>9465</v>
      </c>
      <c r="AX4" s="1317" t="s">
        <v>7391</v>
      </c>
      <c r="AY4" s="1317" t="s">
        <v>7391</v>
      </c>
      <c r="AZ4" s="1317" t="s">
        <v>7391</v>
      </c>
      <c r="BA4" s="1691" t="s">
        <v>7179</v>
      </c>
      <c r="BB4" s="1678" t="s">
        <v>9466</v>
      </c>
      <c r="BC4" s="1678" t="s">
        <v>9497</v>
      </c>
      <c r="BD4" s="1317" t="s">
        <v>9479</v>
      </c>
      <c r="BE4" s="1317" t="s">
        <v>1182</v>
      </c>
      <c r="BF4" s="1317" t="s">
        <v>7392</v>
      </c>
      <c r="BG4" s="1317">
        <v>56</v>
      </c>
      <c r="BH4" s="2283" t="s">
        <v>7179</v>
      </c>
      <c r="BI4" s="2284" t="s">
        <v>911</v>
      </c>
      <c r="BJ4" s="1694" t="s">
        <v>911</v>
      </c>
      <c r="BK4" s="1695" t="s">
        <v>973</v>
      </c>
      <c r="BL4" s="1695" t="s">
        <v>973</v>
      </c>
      <c r="BM4" s="1696" t="s">
        <v>9817</v>
      </c>
      <c r="BN4" s="1691" t="s">
        <v>8400</v>
      </c>
      <c r="BO4" s="1678" t="s">
        <v>8402</v>
      </c>
      <c r="BP4" s="1691" t="s">
        <v>8404</v>
      </c>
      <c r="BQ4" s="1678" t="s">
        <v>8907</v>
      </c>
      <c r="BR4" s="1678" t="s">
        <v>8419</v>
      </c>
      <c r="BS4" s="1697"/>
      <c r="BT4" s="1678" t="s">
        <v>47</v>
      </c>
      <c r="BU4" s="1693" t="s">
        <v>79</v>
      </c>
      <c r="BW4" s="1317" t="s">
        <v>79</v>
      </c>
      <c r="BY4" s="1317" t="s">
        <v>79</v>
      </c>
      <c r="CA4" s="1691" t="s">
        <v>8588</v>
      </c>
      <c r="CB4" s="1989" t="s">
        <v>8806</v>
      </c>
      <c r="CC4" s="1678" t="s">
        <v>8806</v>
      </c>
      <c r="CD4" s="1989" t="s">
        <v>8666</v>
      </c>
      <c r="CE4" s="1989" t="s">
        <v>12748</v>
      </c>
      <c r="CF4" s="1684" t="s">
        <v>9820</v>
      </c>
      <c r="CG4" s="1686" t="s">
        <v>10820</v>
      </c>
      <c r="CI4" s="1683" t="s">
        <v>6814</v>
      </c>
      <c r="CJ4" s="1678">
        <v>1</v>
      </c>
      <c r="CL4" s="1698" t="s">
        <v>2083</v>
      </c>
      <c r="CM4" s="1699" t="s">
        <v>4071</v>
      </c>
      <c r="CN4" s="1699" t="s">
        <v>4056</v>
      </c>
      <c r="CO4" s="1699" t="s">
        <v>4872</v>
      </c>
      <c r="CP4" s="1699" t="s">
        <v>6512</v>
      </c>
      <c r="CR4" s="1678" t="s">
        <v>8890</v>
      </c>
      <c r="CS4" s="1678" t="s">
        <v>8874</v>
      </c>
      <c r="CU4" s="1678" t="s">
        <v>12006</v>
      </c>
      <c r="CW4" s="2252">
        <v>515</v>
      </c>
      <c r="CX4" s="2149" t="s">
        <v>48</v>
      </c>
      <c r="DB4" s="1676" t="s">
        <v>25</v>
      </c>
      <c r="DE4" s="2560" t="s">
        <v>12924</v>
      </c>
      <c r="DF4" s="2562">
        <f>VLOOKUP(DF1,DG2:DH22,2)</f>
        <v>100</v>
      </c>
      <c r="DG4" s="2562">
        <v>2003</v>
      </c>
      <c r="DH4" s="2562">
        <v>109</v>
      </c>
    </row>
    <row r="5" spans="1:154" ht="25.5" x14ac:dyDescent="0.25">
      <c r="A5" s="2447" t="s">
        <v>13036</v>
      </c>
      <c r="D5" s="1679" t="s">
        <v>46</v>
      </c>
      <c r="E5" s="740" t="s">
        <v>11959</v>
      </c>
      <c r="F5" s="740" t="s">
        <v>9598</v>
      </c>
      <c r="G5" s="740" t="s">
        <v>9615</v>
      </c>
      <c r="H5" s="740" t="s">
        <v>9598</v>
      </c>
      <c r="I5" s="740" t="s">
        <v>9602</v>
      </c>
      <c r="J5" s="846" t="s">
        <v>25</v>
      </c>
      <c r="K5" s="740" t="s">
        <v>259</v>
      </c>
      <c r="L5" s="740" t="s">
        <v>25</v>
      </c>
      <c r="M5" s="1679" t="s">
        <v>262</v>
      </c>
      <c r="N5" s="1679" t="s">
        <v>265</v>
      </c>
      <c r="O5" s="740" t="s">
        <v>267</v>
      </c>
      <c r="P5" s="740" t="s">
        <v>9556</v>
      </c>
      <c r="Q5" s="740" t="s">
        <v>8948</v>
      </c>
      <c r="R5" s="740" t="s">
        <v>8957</v>
      </c>
      <c r="S5" s="740" t="s">
        <v>8959</v>
      </c>
      <c r="T5" s="1679" t="s">
        <v>9208</v>
      </c>
      <c r="U5" s="740" t="s">
        <v>9210</v>
      </c>
      <c r="V5" s="740"/>
      <c r="W5" s="1679" t="s">
        <v>9244</v>
      </c>
      <c r="X5" s="740" t="s">
        <v>9253</v>
      </c>
      <c r="Y5" s="1679" t="s">
        <v>9263</v>
      </c>
      <c r="Z5" s="1679" t="s">
        <v>9532</v>
      </c>
      <c r="AA5" s="740" t="s">
        <v>9542</v>
      </c>
      <c r="AB5" s="846" t="s">
        <v>9299</v>
      </c>
      <c r="AC5" s="740" t="s">
        <v>9561</v>
      </c>
      <c r="AD5" s="740" t="s">
        <v>9588</v>
      </c>
      <c r="AE5" s="740" t="s">
        <v>9588</v>
      </c>
      <c r="AF5" s="1679" t="s">
        <v>9705</v>
      </c>
      <c r="AG5" s="1678" t="s">
        <v>1287</v>
      </c>
      <c r="AH5" s="1691" t="s">
        <v>9705</v>
      </c>
      <c r="AI5" s="1678" t="s">
        <v>9783</v>
      </c>
      <c r="AJ5" s="1678" t="s">
        <v>8374</v>
      </c>
      <c r="AL5" s="1691" t="s">
        <v>637</v>
      </c>
      <c r="AM5" s="1678" t="s">
        <v>650</v>
      </c>
      <c r="AN5" s="1691" t="s">
        <v>1335</v>
      </c>
      <c r="AO5" s="1678" t="s">
        <v>7392</v>
      </c>
      <c r="AP5" s="1691" t="s">
        <v>12891</v>
      </c>
      <c r="AQ5" s="1691" t="s">
        <v>7392</v>
      </c>
      <c r="AR5" s="1691" t="s">
        <v>7628</v>
      </c>
      <c r="AS5" s="2287" t="s">
        <v>9466</v>
      </c>
      <c r="AT5" s="1696" t="s">
        <v>7392</v>
      </c>
      <c r="AU5" s="1678" t="s">
        <v>7392</v>
      </c>
      <c r="AV5" s="2286" t="s">
        <v>12892</v>
      </c>
      <c r="AW5" s="821" t="s">
        <v>9466</v>
      </c>
      <c r="AX5" s="1317" t="s">
        <v>7392</v>
      </c>
      <c r="AY5" s="1317" t="s">
        <v>7392</v>
      </c>
      <c r="AZ5" s="1317" t="s">
        <v>7392</v>
      </c>
      <c r="BA5" s="1691" t="s">
        <v>7180</v>
      </c>
      <c r="BB5" s="1678" t="s">
        <v>9467</v>
      </c>
      <c r="BC5" s="1678" t="s">
        <v>9498</v>
      </c>
      <c r="BD5" s="1317" t="s">
        <v>9480</v>
      </c>
      <c r="BE5" s="1317" t="s">
        <v>1183</v>
      </c>
      <c r="BF5" s="1317" t="s">
        <v>9476</v>
      </c>
      <c r="BG5" s="1317" t="s">
        <v>9725</v>
      </c>
      <c r="BH5" s="2283" t="s">
        <v>7180</v>
      </c>
      <c r="BI5" s="2284" t="s">
        <v>915</v>
      </c>
      <c r="BJ5" s="1694" t="s">
        <v>915</v>
      </c>
      <c r="BK5" s="1695" t="s">
        <v>977</v>
      </c>
      <c r="BL5" s="1695" t="s">
        <v>977</v>
      </c>
      <c r="BM5" s="1696" t="s">
        <v>9818</v>
      </c>
      <c r="BN5" s="1691" t="s">
        <v>8401</v>
      </c>
      <c r="BO5" s="1678" t="s">
        <v>9744</v>
      </c>
      <c r="BP5" s="1691" t="s">
        <v>8405</v>
      </c>
      <c r="BQ5" s="1678" t="s">
        <v>8908</v>
      </c>
      <c r="BR5" s="1678" t="s">
        <v>8420</v>
      </c>
      <c r="BS5" s="1697"/>
      <c r="BT5" s="1678" t="s">
        <v>48</v>
      </c>
      <c r="BU5" s="1693" t="s">
        <v>7770</v>
      </c>
      <c r="BW5" s="1317" t="s">
        <v>7770</v>
      </c>
      <c r="BY5" s="1317" t="s">
        <v>7770</v>
      </c>
      <c r="CA5" s="1691" t="s">
        <v>8633</v>
      </c>
      <c r="CB5" s="1989" t="s">
        <v>8443</v>
      </c>
      <c r="CC5" s="1678" t="s">
        <v>8443</v>
      </c>
      <c r="CD5" s="1989" t="s">
        <v>8667</v>
      </c>
      <c r="CE5" s="1989" t="s">
        <v>8806</v>
      </c>
      <c r="CF5" s="1684" t="s">
        <v>9821</v>
      </c>
      <c r="CG5" s="1686" t="s">
        <v>10821</v>
      </c>
      <c r="CI5" s="1683" t="s">
        <v>6815</v>
      </c>
      <c r="CJ5" s="1678">
        <v>2</v>
      </c>
      <c r="CL5" s="1698" t="s">
        <v>2084</v>
      </c>
      <c r="CM5" s="1699" t="s">
        <v>4072</v>
      </c>
      <c r="CN5" s="1699" t="s">
        <v>4055</v>
      </c>
      <c r="CO5" s="1699" t="s">
        <v>8147</v>
      </c>
      <c r="CP5" s="1699" t="s">
        <v>6511</v>
      </c>
      <c r="CR5" s="1678" t="s">
        <v>8010</v>
      </c>
      <c r="CS5" s="1678" t="s">
        <v>6984</v>
      </c>
      <c r="CU5" s="1678" t="s">
        <v>12007</v>
      </c>
      <c r="CW5" s="2252">
        <v>524</v>
      </c>
      <c r="CX5" s="2149" t="s">
        <v>48</v>
      </c>
      <c r="DB5" s="1676"/>
      <c r="DE5" s="2560" t="s">
        <v>12925</v>
      </c>
      <c r="DF5" s="2562"/>
      <c r="DG5" s="2562">
        <v>2004</v>
      </c>
      <c r="DH5" s="2562">
        <v>113</v>
      </c>
    </row>
    <row r="6" spans="1:154" ht="51.75" x14ac:dyDescent="0.25">
      <c r="A6" s="121" t="s">
        <v>12</v>
      </c>
      <c r="E6" s="740" t="s">
        <v>11835</v>
      </c>
      <c r="F6" s="740" t="s">
        <v>9599</v>
      </c>
      <c r="G6" s="740" t="s">
        <v>9610</v>
      </c>
      <c r="H6" s="740" t="s">
        <v>9599</v>
      </c>
      <c r="I6" s="1677">
        <v>148</v>
      </c>
      <c r="J6" s="848"/>
      <c r="K6" s="740" t="s">
        <v>260</v>
      </c>
      <c r="L6" s="848"/>
      <c r="M6" s="848"/>
      <c r="N6" s="1679" t="s">
        <v>8898</v>
      </c>
      <c r="O6" s="740" t="s">
        <v>268</v>
      </c>
      <c r="P6" s="740" t="s">
        <v>8410</v>
      </c>
      <c r="Q6" s="740" t="s">
        <v>8949</v>
      </c>
      <c r="R6" s="848"/>
      <c r="S6" s="848"/>
      <c r="T6" s="1687" t="s">
        <v>13206</v>
      </c>
      <c r="U6" s="1687" t="s">
        <v>13208</v>
      </c>
      <c r="V6" s="740"/>
      <c r="W6" s="1679" t="s">
        <v>9245</v>
      </c>
      <c r="X6" s="740" t="s">
        <v>9254</v>
      </c>
      <c r="Y6" s="1679" t="s">
        <v>9264</v>
      </c>
      <c r="Z6" s="1679" t="s">
        <v>9533</v>
      </c>
      <c r="AA6" s="740" t="s">
        <v>9543</v>
      </c>
      <c r="AB6" s="846" t="s">
        <v>9300</v>
      </c>
      <c r="AC6" s="740" t="s">
        <v>9562</v>
      </c>
      <c r="AD6" s="740" t="s">
        <v>9589</v>
      </c>
      <c r="AE6" s="740" t="s">
        <v>9589</v>
      </c>
      <c r="AF6" s="848"/>
      <c r="AG6" s="1678" t="s">
        <v>9705</v>
      </c>
      <c r="AH6" s="1691" t="s">
        <v>770</v>
      </c>
      <c r="AI6" s="1678" t="s">
        <v>9784</v>
      </c>
      <c r="AJ6" s="1678" t="s">
        <v>8375</v>
      </c>
      <c r="AL6" s="1691" t="s">
        <v>638</v>
      </c>
      <c r="AM6" s="1678" t="s">
        <v>651</v>
      </c>
      <c r="AN6" s="1691" t="s">
        <v>1336</v>
      </c>
      <c r="AO6" s="1678" t="s">
        <v>7179</v>
      </c>
      <c r="AP6" s="1691" t="s">
        <v>1330</v>
      </c>
      <c r="AQ6" s="1691" t="s">
        <v>7189</v>
      </c>
      <c r="AR6" s="1691" t="s">
        <v>1335</v>
      </c>
      <c r="AS6" s="2287" t="s">
        <v>9467</v>
      </c>
      <c r="AT6" s="1696" t="s">
        <v>7189</v>
      </c>
      <c r="AU6" s="1678" t="s">
        <v>12891</v>
      </c>
      <c r="AV6" s="2286" t="s">
        <v>9471</v>
      </c>
      <c r="AW6" s="821" t="s">
        <v>9467</v>
      </c>
      <c r="AX6" s="1317" t="s">
        <v>9476</v>
      </c>
      <c r="AY6" s="1317" t="s">
        <v>9476</v>
      </c>
      <c r="AZ6" s="1317" t="s">
        <v>9476</v>
      </c>
      <c r="BA6" s="1691" t="s">
        <v>7181</v>
      </c>
      <c r="BB6" s="1678" t="s">
        <v>13011</v>
      </c>
      <c r="BC6" s="1678" t="s">
        <v>9499</v>
      </c>
      <c r="BD6" s="1317" t="s">
        <v>13013</v>
      </c>
      <c r="BE6" s="1317" t="s">
        <v>1184</v>
      </c>
      <c r="BF6" s="1317" t="s">
        <v>12996</v>
      </c>
      <c r="BG6" s="1317" t="s">
        <v>9726</v>
      </c>
      <c r="BH6" s="2283" t="s">
        <v>7181</v>
      </c>
      <c r="BI6" s="2284" t="s">
        <v>930</v>
      </c>
      <c r="BJ6" s="1694" t="s">
        <v>930</v>
      </c>
      <c r="BK6" s="1695" t="s">
        <v>986</v>
      </c>
      <c r="BL6" s="1695" t="s">
        <v>986</v>
      </c>
      <c r="BM6" s="1696" t="s">
        <v>8077</v>
      </c>
      <c r="BO6" s="1678" t="s">
        <v>8403</v>
      </c>
      <c r="BQ6" s="1678" t="s">
        <v>8909</v>
      </c>
      <c r="BR6" s="1678" t="s">
        <v>8421</v>
      </c>
      <c r="BS6" s="1697"/>
      <c r="BT6" s="1678" t="s">
        <v>49</v>
      </c>
      <c r="BU6" s="1693" t="s">
        <v>80</v>
      </c>
      <c r="BW6" s="1317" t="s">
        <v>80</v>
      </c>
      <c r="BY6" s="1317" t="s">
        <v>80</v>
      </c>
      <c r="CA6" s="1691" t="s">
        <v>8638</v>
      </c>
      <c r="CB6" s="1989" t="s">
        <v>8444</v>
      </c>
      <c r="CC6" s="1678" t="s">
        <v>8444</v>
      </c>
      <c r="CD6" s="1989" t="s">
        <v>8668</v>
      </c>
      <c r="CE6" s="1989" t="s">
        <v>8443</v>
      </c>
      <c r="CF6" s="1684" t="s">
        <v>9822</v>
      </c>
      <c r="CG6" s="1686" t="s">
        <v>10822</v>
      </c>
      <c r="CI6" s="1683" t="s">
        <v>6816</v>
      </c>
      <c r="CJ6" s="1678">
        <v>3</v>
      </c>
      <c r="CL6" s="1698" t="s">
        <v>2085</v>
      </c>
      <c r="CM6" s="1699" t="s">
        <v>4073</v>
      </c>
      <c r="CN6" s="1699" t="s">
        <v>4054</v>
      </c>
      <c r="CO6" s="1699" t="s">
        <v>7621</v>
      </c>
      <c r="CP6" s="1699" t="s">
        <v>6510</v>
      </c>
      <c r="CR6" s="1678" t="s">
        <v>9135</v>
      </c>
      <c r="CS6" s="1678" t="s">
        <v>6986</v>
      </c>
      <c r="CU6" s="1678" t="s">
        <v>12008</v>
      </c>
      <c r="CW6" s="2252">
        <v>522</v>
      </c>
      <c r="CX6" s="2149" t="s">
        <v>48</v>
      </c>
      <c r="DB6" s="1676"/>
      <c r="DE6" s="2560" t="s">
        <v>12926</v>
      </c>
      <c r="DF6" s="2562"/>
      <c r="DG6" s="2562">
        <v>2005</v>
      </c>
      <c r="DH6" s="2562">
        <v>117</v>
      </c>
    </row>
    <row r="7" spans="1:154" ht="51.75" x14ac:dyDescent="0.25">
      <c r="A7" s="121" t="s">
        <v>13032</v>
      </c>
      <c r="E7" s="740" t="s">
        <v>13072</v>
      </c>
      <c r="F7" s="740" t="s">
        <v>9600</v>
      </c>
      <c r="G7" s="740" t="s">
        <v>9607</v>
      </c>
      <c r="H7" s="740" t="s">
        <v>9600</v>
      </c>
      <c r="I7" s="740" t="s">
        <v>9603</v>
      </c>
      <c r="J7" s="848"/>
      <c r="K7" s="848"/>
      <c r="L7" s="714" t="s">
        <v>13049</v>
      </c>
      <c r="M7" s="848"/>
      <c r="N7" s="1679" t="s">
        <v>8899</v>
      </c>
      <c r="O7" s="740" t="s">
        <v>269</v>
      </c>
      <c r="P7" s="740" t="s">
        <v>8411</v>
      </c>
      <c r="Q7" s="740" t="s">
        <v>11832</v>
      </c>
      <c r="R7" s="848"/>
      <c r="S7" s="848"/>
      <c r="T7" s="1687" t="s">
        <v>13207</v>
      </c>
      <c r="U7" s="1687" t="s">
        <v>13209</v>
      </c>
      <c r="V7" s="740"/>
      <c r="W7" s="1679" t="s">
        <v>9246</v>
      </c>
      <c r="X7" s="740" t="s">
        <v>9255</v>
      </c>
      <c r="Y7" s="1679" t="s">
        <v>6976</v>
      </c>
      <c r="Z7" s="1679" t="s">
        <v>12143</v>
      </c>
      <c r="AA7" s="740" t="s">
        <v>9544</v>
      </c>
      <c r="AB7" s="846" t="s">
        <v>8413</v>
      </c>
      <c r="AC7" s="740" t="s">
        <v>9563</v>
      </c>
      <c r="AD7" s="740" t="s">
        <v>9590</v>
      </c>
      <c r="AE7" s="740" t="s">
        <v>9590</v>
      </c>
      <c r="AF7" s="848"/>
      <c r="AG7" s="1678" t="s">
        <v>9555</v>
      </c>
      <c r="AH7" s="1691" t="s">
        <v>9706</v>
      </c>
      <c r="AI7" s="1678" t="s">
        <v>11830</v>
      </c>
      <c r="AJ7" s="1678" t="s">
        <v>13261</v>
      </c>
      <c r="AM7" s="1678" t="s">
        <v>652</v>
      </c>
      <c r="AN7" s="1691" t="s">
        <v>1337</v>
      </c>
      <c r="AO7" s="1678" t="s">
        <v>7180</v>
      </c>
      <c r="AP7" s="1691" t="s">
        <v>13116</v>
      </c>
      <c r="AQ7" s="1691" t="s">
        <v>7190</v>
      </c>
      <c r="AR7" s="1691" t="s">
        <v>1336</v>
      </c>
      <c r="AS7" s="2287" t="s">
        <v>13011</v>
      </c>
      <c r="AT7" s="1696" t="s">
        <v>7190</v>
      </c>
      <c r="AU7" s="1678" t="s">
        <v>1330</v>
      </c>
      <c r="AV7" s="2286" t="s">
        <v>13122</v>
      </c>
      <c r="AW7" s="821" t="s">
        <v>13010</v>
      </c>
      <c r="AX7" s="1317" t="s">
        <v>9477</v>
      </c>
      <c r="AY7" s="1317" t="s">
        <v>9477</v>
      </c>
      <c r="AZ7" s="1317" t="s">
        <v>9477</v>
      </c>
      <c r="BA7" s="1691" t="s">
        <v>13012</v>
      </c>
      <c r="BB7" s="1678" t="s">
        <v>9468</v>
      </c>
      <c r="BC7" s="1678" t="s">
        <v>9500</v>
      </c>
      <c r="BD7" s="1317" t="s">
        <v>9481</v>
      </c>
      <c r="BE7" s="1317" t="s">
        <v>1185</v>
      </c>
      <c r="BF7" s="1317" t="s">
        <v>7179</v>
      </c>
      <c r="BG7" s="1317" t="s">
        <v>1181</v>
      </c>
      <c r="BH7" s="2283" t="s">
        <v>13012</v>
      </c>
      <c r="BI7" s="2284" t="s">
        <v>940</v>
      </c>
      <c r="BJ7" s="1694" t="s">
        <v>940</v>
      </c>
      <c r="BK7" s="1695" t="s">
        <v>7151</v>
      </c>
      <c r="BL7" s="1695" t="s">
        <v>7151</v>
      </c>
      <c r="BM7" s="1696" t="s">
        <v>8078</v>
      </c>
      <c r="BS7" s="1697"/>
      <c r="BT7" s="1678" t="s">
        <v>50</v>
      </c>
      <c r="BU7" s="1693" t="s">
        <v>81</v>
      </c>
      <c r="BW7" s="1317" t="s">
        <v>81</v>
      </c>
      <c r="BY7" s="1317" t="s">
        <v>81</v>
      </c>
      <c r="CA7" s="1691" t="s">
        <v>8640</v>
      </c>
      <c r="CB7" s="1989" t="s">
        <v>8445</v>
      </c>
      <c r="CC7" s="1678" t="s">
        <v>8445</v>
      </c>
      <c r="CD7" s="1989" t="s">
        <v>8669</v>
      </c>
      <c r="CE7" s="1989" t="s">
        <v>8444</v>
      </c>
      <c r="CF7" s="1684" t="s">
        <v>9823</v>
      </c>
      <c r="CG7" s="1686" t="s">
        <v>10823</v>
      </c>
      <c r="CI7" s="1683" t="s">
        <v>6817</v>
      </c>
      <c r="CJ7" s="1678">
        <v>4</v>
      </c>
      <c r="CL7" s="1698" t="s">
        <v>2086</v>
      </c>
      <c r="CM7" s="1699" t="s">
        <v>4074</v>
      </c>
      <c r="CN7" s="1699" t="s">
        <v>4053</v>
      </c>
      <c r="CO7" s="1699" t="s">
        <v>7620</v>
      </c>
      <c r="CP7" s="1699" t="s">
        <v>6509</v>
      </c>
      <c r="CR7" s="1678" t="s">
        <v>7758</v>
      </c>
      <c r="CS7" s="1678" t="s">
        <v>7763</v>
      </c>
      <c r="CU7" s="1678" t="s">
        <v>12009</v>
      </c>
      <c r="CW7" s="2252">
        <v>534</v>
      </c>
      <c r="CX7" s="2149" t="s">
        <v>48</v>
      </c>
      <c r="DB7" s="1676"/>
      <c r="DE7" s="2560" t="s">
        <v>12927</v>
      </c>
      <c r="DF7" s="2562"/>
      <c r="DG7" s="2562">
        <v>2006</v>
      </c>
      <c r="DH7" s="2562">
        <v>122</v>
      </c>
    </row>
    <row r="8" spans="1:154" ht="15" x14ac:dyDescent="0.25">
      <c r="A8" s="121" t="s">
        <v>13033</v>
      </c>
      <c r="E8" s="740" t="s">
        <v>13073</v>
      </c>
      <c r="F8" s="740" t="s">
        <v>9605</v>
      </c>
      <c r="G8" s="740" t="s">
        <v>9608</v>
      </c>
      <c r="H8" s="740" t="s">
        <v>9605</v>
      </c>
      <c r="I8" s="740" t="s">
        <v>9604</v>
      </c>
      <c r="J8" s="848"/>
      <c r="K8" s="848"/>
      <c r="L8" s="740" t="s">
        <v>12</v>
      </c>
      <c r="M8" s="848"/>
      <c r="N8" s="848"/>
      <c r="O8" s="740" t="s">
        <v>270</v>
      </c>
      <c r="P8" s="740" t="s">
        <v>8412</v>
      </c>
      <c r="Q8" s="740" t="s">
        <v>424</v>
      </c>
      <c r="R8" s="848"/>
      <c r="S8" s="848"/>
      <c r="T8" s="848"/>
      <c r="U8" s="848"/>
      <c r="V8" s="848"/>
      <c r="W8" s="848"/>
      <c r="X8" s="740" t="s">
        <v>9256</v>
      </c>
      <c r="Y8" s="848"/>
      <c r="Z8" s="1679" t="s">
        <v>12144</v>
      </c>
      <c r="AA8" s="740" t="s">
        <v>9545</v>
      </c>
      <c r="AB8" s="848"/>
      <c r="AC8" s="740" t="s">
        <v>9564</v>
      </c>
      <c r="AD8" s="740" t="s">
        <v>9555</v>
      </c>
      <c r="AE8" s="740" t="s">
        <v>9555</v>
      </c>
      <c r="AF8" s="848"/>
      <c r="AG8" s="1678" t="s">
        <v>11831</v>
      </c>
      <c r="AH8" s="1697"/>
      <c r="AI8" s="1678" t="s">
        <v>9785</v>
      </c>
      <c r="AJ8" s="1678" t="s">
        <v>13262</v>
      </c>
      <c r="AM8" s="1678" t="s">
        <v>653</v>
      </c>
      <c r="AN8" s="1691" t="s">
        <v>1338</v>
      </c>
      <c r="AO8" s="1678" t="s">
        <v>7181</v>
      </c>
      <c r="AP8" s="1691" t="s">
        <v>13118</v>
      </c>
      <c r="AQ8" s="1691" t="s">
        <v>7191</v>
      </c>
      <c r="AR8" s="1691" t="s">
        <v>1337</v>
      </c>
      <c r="AS8" s="2287" t="s">
        <v>9468</v>
      </c>
      <c r="AT8" s="1696" t="s">
        <v>7191</v>
      </c>
      <c r="AU8" s="1678" t="s">
        <v>7667</v>
      </c>
      <c r="AV8" s="2286" t="s">
        <v>13123</v>
      </c>
      <c r="AW8" s="821" t="s">
        <v>9468</v>
      </c>
      <c r="AX8" s="1317" t="s">
        <v>9478</v>
      </c>
      <c r="AY8" s="1317" t="s">
        <v>9478</v>
      </c>
      <c r="AZ8" s="1317" t="s">
        <v>12893</v>
      </c>
      <c r="BA8" s="1691" t="s">
        <v>1325</v>
      </c>
      <c r="BB8" s="1678" t="s">
        <v>9469</v>
      </c>
      <c r="BC8" s="1678" t="s">
        <v>9501</v>
      </c>
      <c r="BD8" s="1317" t="s">
        <v>9482</v>
      </c>
      <c r="BE8" s="1317" t="s">
        <v>7176</v>
      </c>
      <c r="BF8" s="1317" t="s">
        <v>7180</v>
      </c>
      <c r="BG8" s="1317" t="s">
        <v>1182</v>
      </c>
      <c r="BH8" s="2283" t="s">
        <v>1325</v>
      </c>
      <c r="BI8" s="2284" t="s">
        <v>1028</v>
      </c>
      <c r="BJ8" s="1700" t="s">
        <v>7592</v>
      </c>
      <c r="BK8" s="1695" t="s">
        <v>994</v>
      </c>
      <c r="BL8" s="1695" t="s">
        <v>994</v>
      </c>
      <c r="BM8" s="1696" t="s">
        <v>8079</v>
      </c>
      <c r="BS8" s="1697"/>
      <c r="BT8" s="1678" t="s">
        <v>51</v>
      </c>
      <c r="BU8" s="1693" t="s">
        <v>7771</v>
      </c>
      <c r="BW8" s="1317" t="s">
        <v>7771</v>
      </c>
      <c r="BY8" s="1317" t="s">
        <v>7771</v>
      </c>
      <c r="CA8" s="1691" t="s">
        <v>8641</v>
      </c>
      <c r="CB8" s="1989" t="s">
        <v>8446</v>
      </c>
      <c r="CC8" s="1678" t="s">
        <v>8446</v>
      </c>
      <c r="CD8" s="1989" t="s">
        <v>8670</v>
      </c>
      <c r="CE8" s="1989" t="s">
        <v>8445</v>
      </c>
      <c r="CF8" s="1684" t="s">
        <v>9824</v>
      </c>
      <c r="CG8" s="1686" t="s">
        <v>10824</v>
      </c>
      <c r="CI8" s="1683" t="s">
        <v>6818</v>
      </c>
      <c r="CJ8" s="1678">
        <v>5</v>
      </c>
      <c r="CL8" s="1698" t="s">
        <v>2087</v>
      </c>
      <c r="CM8" s="1699" t="s">
        <v>4075</v>
      </c>
      <c r="CN8" s="1699" t="s">
        <v>4052</v>
      </c>
      <c r="CO8" s="1699" t="s">
        <v>7619</v>
      </c>
      <c r="CP8" s="1699" t="s">
        <v>6508</v>
      </c>
      <c r="CR8" s="1678" t="s">
        <v>9058</v>
      </c>
      <c r="CS8" s="1678" t="s">
        <v>9173</v>
      </c>
      <c r="CU8" s="1678" t="s">
        <v>12010</v>
      </c>
      <c r="CW8" s="2252">
        <v>531</v>
      </c>
      <c r="CX8" s="2149" t="s">
        <v>48</v>
      </c>
      <c r="DB8" s="1676"/>
      <c r="DE8" s="2560" t="s">
        <v>12928</v>
      </c>
      <c r="DF8" s="2562"/>
      <c r="DG8" s="2562">
        <v>2007</v>
      </c>
      <c r="DH8" s="2562">
        <v>129</v>
      </c>
    </row>
    <row r="9" spans="1:154" ht="26.25" x14ac:dyDescent="0.25">
      <c r="E9" s="740" t="s">
        <v>13074</v>
      </c>
      <c r="F9" s="740" t="s">
        <v>9601</v>
      </c>
      <c r="G9" s="740" t="s">
        <v>9609</v>
      </c>
      <c r="H9" s="848"/>
      <c r="I9" s="848"/>
      <c r="J9" s="848"/>
      <c r="K9" s="848"/>
      <c r="L9" s="740" t="s">
        <v>257</v>
      </c>
      <c r="M9" s="848"/>
      <c r="N9" s="848"/>
      <c r="O9" s="740" t="s">
        <v>271</v>
      </c>
      <c r="P9" s="740" t="s">
        <v>9557</v>
      </c>
      <c r="Q9" s="848"/>
      <c r="R9" s="848"/>
      <c r="S9" s="848"/>
      <c r="T9" s="848"/>
      <c r="U9" s="848"/>
      <c r="V9" s="848"/>
      <c r="W9" s="848"/>
      <c r="X9" s="740" t="s">
        <v>9257</v>
      </c>
      <c r="Y9" s="848"/>
      <c r="Z9" s="1679" t="s">
        <v>9534</v>
      </c>
      <c r="AA9" s="740" t="s">
        <v>9546</v>
      </c>
      <c r="AB9" s="848"/>
      <c r="AC9" s="740" t="s">
        <v>9565</v>
      </c>
      <c r="AD9" s="740" t="s">
        <v>12760</v>
      </c>
      <c r="AE9" s="848"/>
      <c r="AF9" s="848"/>
      <c r="AG9" s="1678" t="s">
        <v>770</v>
      </c>
      <c r="AH9" s="1697"/>
      <c r="AI9" s="1678" t="s">
        <v>9786</v>
      </c>
      <c r="AJ9" s="1678" t="s">
        <v>8376</v>
      </c>
      <c r="AM9" s="1678" t="s">
        <v>654</v>
      </c>
      <c r="AN9" s="1691" t="s">
        <v>1090</v>
      </c>
      <c r="AO9" s="1678" t="s">
        <v>13012</v>
      </c>
      <c r="AP9" s="2283" t="s">
        <v>12838</v>
      </c>
      <c r="AQ9" s="1691" t="s">
        <v>13014</v>
      </c>
      <c r="AR9" s="1691" t="s">
        <v>1338</v>
      </c>
      <c r="AS9" s="2287" t="s">
        <v>9470</v>
      </c>
      <c r="AT9" s="1696" t="s">
        <v>13014</v>
      </c>
      <c r="AU9" s="1678" t="s">
        <v>8789</v>
      </c>
      <c r="AV9" s="2286" t="s">
        <v>12843</v>
      </c>
      <c r="AW9" s="821" t="s">
        <v>9470</v>
      </c>
      <c r="AX9" s="1317" t="s">
        <v>9479</v>
      </c>
      <c r="AY9" s="1317" t="s">
        <v>9479</v>
      </c>
      <c r="AZ9" s="1317" t="s">
        <v>9485</v>
      </c>
      <c r="BA9" s="1691" t="s">
        <v>1326</v>
      </c>
      <c r="BB9" s="1678" t="s">
        <v>9470</v>
      </c>
      <c r="BC9" s="1678" t="s">
        <v>9502</v>
      </c>
      <c r="BD9" s="1317" t="s">
        <v>9483</v>
      </c>
      <c r="BE9" s="1317" t="s">
        <v>1186</v>
      </c>
      <c r="BF9" s="1317" t="s">
        <v>7181</v>
      </c>
      <c r="BG9" s="1317" t="s">
        <v>1183</v>
      </c>
      <c r="BH9" s="2283" t="s">
        <v>1326</v>
      </c>
      <c r="BI9" s="2284" t="s">
        <v>1030</v>
      </c>
      <c r="BJ9" s="1700" t="s">
        <v>953</v>
      </c>
      <c r="BK9" s="1695" t="s">
        <v>7280</v>
      </c>
      <c r="BL9" s="1695" t="s">
        <v>9001</v>
      </c>
      <c r="BM9" s="1696" t="s">
        <v>8080</v>
      </c>
      <c r="BS9" s="1697"/>
      <c r="BT9" s="1678" t="s">
        <v>52</v>
      </c>
      <c r="BU9" s="1693" t="s">
        <v>82</v>
      </c>
      <c r="BW9" s="1317" t="s">
        <v>82</v>
      </c>
      <c r="BY9" s="1317" t="s">
        <v>82</v>
      </c>
      <c r="CA9" s="1691" t="s">
        <v>8642</v>
      </c>
      <c r="CB9" s="1989" t="s">
        <v>8447</v>
      </c>
      <c r="CC9" s="1678" t="s">
        <v>8447</v>
      </c>
      <c r="CD9" s="1989" t="s">
        <v>8671</v>
      </c>
      <c r="CE9" s="1989" t="s">
        <v>8446</v>
      </c>
      <c r="CF9" s="1684" t="s">
        <v>9825</v>
      </c>
      <c r="CG9" s="1686" t="s">
        <v>10825</v>
      </c>
      <c r="CI9" s="1683" t="s">
        <v>6819</v>
      </c>
      <c r="CJ9" s="1678">
        <v>6</v>
      </c>
      <c r="CL9" s="1698" t="s">
        <v>2088</v>
      </c>
      <c r="CM9" s="1699" t="s">
        <v>4076</v>
      </c>
      <c r="CN9" s="1699" t="s">
        <v>4051</v>
      </c>
      <c r="CO9" s="1699" t="s">
        <v>7618</v>
      </c>
      <c r="CP9" s="1699" t="s">
        <v>7247</v>
      </c>
      <c r="CR9" s="1678" t="s">
        <v>8012</v>
      </c>
      <c r="CS9" s="1678" t="s">
        <v>7082</v>
      </c>
      <c r="CU9" s="1678" t="s">
        <v>12011</v>
      </c>
      <c r="CW9" s="2252">
        <v>516</v>
      </c>
      <c r="CX9" s="2149" t="s">
        <v>48</v>
      </c>
      <c r="DB9" s="1676"/>
      <c r="DE9" s="2560" t="s">
        <v>12929</v>
      </c>
      <c r="DF9" s="2562"/>
      <c r="DG9" s="2562">
        <v>2008</v>
      </c>
      <c r="DH9" s="2562">
        <v>137</v>
      </c>
    </row>
    <row r="10" spans="1:154" ht="15" x14ac:dyDescent="0.25">
      <c r="A10" s="2447" t="s">
        <v>13037</v>
      </c>
      <c r="E10" s="740" t="s">
        <v>13075</v>
      </c>
      <c r="F10" s="740" t="s">
        <v>9602</v>
      </c>
      <c r="G10" s="1677" t="s">
        <v>9611</v>
      </c>
      <c r="H10" s="1681"/>
      <c r="I10" s="1681"/>
      <c r="J10" s="1681"/>
      <c r="K10" s="1681"/>
      <c r="L10" s="740" t="s">
        <v>13048</v>
      </c>
      <c r="M10" s="1681"/>
      <c r="N10" s="1681"/>
      <c r="O10" s="740" t="s">
        <v>272</v>
      </c>
      <c r="P10" s="740" t="s">
        <v>9779</v>
      </c>
      <c r="Q10" s="1681"/>
      <c r="R10" s="1681"/>
      <c r="S10" s="1681"/>
      <c r="T10" s="1681"/>
      <c r="U10" s="1681"/>
      <c r="V10" s="1681"/>
      <c r="W10" s="1681"/>
      <c r="X10" s="740" t="s">
        <v>9258</v>
      </c>
      <c r="Y10" s="1681"/>
      <c r="Z10" s="1679" t="s">
        <v>9535</v>
      </c>
      <c r="AA10" s="740" t="s">
        <v>9547</v>
      </c>
      <c r="AB10" s="1681"/>
      <c r="AC10" s="740" t="s">
        <v>9566</v>
      </c>
      <c r="AD10" s="848"/>
      <c r="AE10" s="848"/>
      <c r="AF10" s="848"/>
      <c r="AG10" s="1678" t="s">
        <v>9706</v>
      </c>
      <c r="AH10" s="1697"/>
      <c r="AI10" s="1678" t="s">
        <v>9787</v>
      </c>
      <c r="AJ10" s="1678" t="s">
        <v>8377</v>
      </c>
      <c r="AM10" s="1678" t="s">
        <v>655</v>
      </c>
      <c r="AN10" s="1691" t="s">
        <v>1091</v>
      </c>
      <c r="AO10" s="1678" t="s">
        <v>1325</v>
      </c>
      <c r="AP10" s="2283"/>
      <c r="AQ10" s="1691" t="s">
        <v>7192</v>
      </c>
      <c r="AR10" s="1691" t="s">
        <v>1090</v>
      </c>
      <c r="AS10" s="2287" t="s">
        <v>11837</v>
      </c>
      <c r="AT10" s="1696" t="s">
        <v>7192</v>
      </c>
      <c r="AU10" s="1678" t="s">
        <v>1333</v>
      </c>
      <c r="AV10" s="2286"/>
      <c r="AW10" s="821" t="s">
        <v>11837</v>
      </c>
      <c r="AX10" s="1317" t="s">
        <v>9480</v>
      </c>
      <c r="AY10" s="1317" t="s">
        <v>9480</v>
      </c>
      <c r="AZ10" s="1317" t="s">
        <v>13128</v>
      </c>
      <c r="BA10" s="1691" t="s">
        <v>11836</v>
      </c>
      <c r="BB10" s="1678" t="s">
        <v>11837</v>
      </c>
      <c r="BC10" s="1678" t="s">
        <v>11845</v>
      </c>
      <c r="BD10" s="1317" t="s">
        <v>9484</v>
      </c>
      <c r="BE10" s="1317" t="s">
        <v>1188</v>
      </c>
      <c r="BF10" s="1317" t="s">
        <v>13012</v>
      </c>
      <c r="BG10" s="1317" t="s">
        <v>1184</v>
      </c>
      <c r="BH10" s="2283" t="s">
        <v>11836</v>
      </c>
      <c r="BI10" s="2284" t="s">
        <v>1032</v>
      </c>
      <c r="BJ10" s="1700" t="s">
        <v>8394</v>
      </c>
      <c r="BK10" s="1695" t="s">
        <v>8981</v>
      </c>
      <c r="BL10" s="1695" t="s">
        <v>7280</v>
      </c>
      <c r="BM10" s="1696" t="s">
        <v>8081</v>
      </c>
      <c r="BS10" s="1697"/>
      <c r="BT10" s="1678" t="s">
        <v>53</v>
      </c>
      <c r="BU10" s="1693" t="s">
        <v>83</v>
      </c>
      <c r="BW10" s="1317" t="s">
        <v>83</v>
      </c>
      <c r="BY10" s="1317" t="s">
        <v>83</v>
      </c>
      <c r="CA10" s="1691" t="s">
        <v>8645</v>
      </c>
      <c r="CB10" s="1989" t="s">
        <v>8448</v>
      </c>
      <c r="CC10" s="1678" t="s">
        <v>8448</v>
      </c>
      <c r="CD10" s="1989" t="s">
        <v>8673</v>
      </c>
      <c r="CE10" s="1989" t="s">
        <v>8447</v>
      </c>
      <c r="CF10" s="1684" t="s">
        <v>9826</v>
      </c>
      <c r="CG10" s="1686" t="s">
        <v>10826</v>
      </c>
      <c r="CI10" s="1683" t="s">
        <v>6820</v>
      </c>
      <c r="CJ10" s="1678">
        <v>7</v>
      </c>
      <c r="CL10" s="1698" t="s">
        <v>2089</v>
      </c>
      <c r="CM10" s="1699" t="s">
        <v>4077</v>
      </c>
      <c r="CN10" s="1699" t="s">
        <v>4050</v>
      </c>
      <c r="CO10" s="1699" t="s">
        <v>7617</v>
      </c>
      <c r="CP10" s="1699" t="s">
        <v>6507</v>
      </c>
      <c r="CR10" s="1678" t="s">
        <v>8013</v>
      </c>
      <c r="CS10" s="1678" t="s">
        <v>6987</v>
      </c>
      <c r="CU10" s="1678" t="s">
        <v>12012</v>
      </c>
      <c r="CW10" s="2252">
        <v>533</v>
      </c>
      <c r="CX10" s="2149" t="s">
        <v>48</v>
      </c>
      <c r="DB10" s="1676"/>
      <c r="DE10" s="2560" t="s">
        <v>12930</v>
      </c>
      <c r="DF10" s="2562"/>
      <c r="DG10" s="2562">
        <v>2009</v>
      </c>
      <c r="DH10" s="2562">
        <v>148</v>
      </c>
      <c r="EV10" s="1701"/>
    </row>
    <row r="11" spans="1:154" ht="15" x14ac:dyDescent="0.25">
      <c r="A11" s="121" t="s">
        <v>12</v>
      </c>
      <c r="E11" s="740" t="s">
        <v>8951</v>
      </c>
      <c r="F11" s="1678">
        <v>148</v>
      </c>
      <c r="G11" s="740" t="s">
        <v>9612</v>
      </c>
      <c r="H11" s="848"/>
      <c r="I11" s="848"/>
      <c r="J11" s="848"/>
      <c r="K11" s="848"/>
      <c r="L11" s="740" t="s">
        <v>13047</v>
      </c>
      <c r="M11" s="848"/>
      <c r="N11" s="848"/>
      <c r="O11" s="740" t="s">
        <v>273</v>
      </c>
      <c r="P11" s="740" t="s">
        <v>9778</v>
      </c>
      <c r="Q11" s="848"/>
      <c r="R11" s="848"/>
      <c r="S11" s="848"/>
      <c r="T11" s="848"/>
      <c r="U11" s="848"/>
      <c r="V11" s="848"/>
      <c r="W11" s="848"/>
      <c r="X11" s="740" t="s">
        <v>9259</v>
      </c>
      <c r="Y11" s="848"/>
      <c r="Z11" s="1679" t="s">
        <v>9536</v>
      </c>
      <c r="AA11" s="740" t="s">
        <v>12146</v>
      </c>
      <c r="AB11" s="848"/>
      <c r="AC11" s="740" t="s">
        <v>12890</v>
      </c>
      <c r="AD11" s="848"/>
      <c r="AE11" s="848"/>
      <c r="AF11" s="848"/>
      <c r="AG11" s="1697"/>
      <c r="AH11" s="1697"/>
      <c r="AI11" s="1678" t="s">
        <v>9788</v>
      </c>
      <c r="AJ11" s="1678" t="s">
        <v>8378</v>
      </c>
      <c r="AM11" s="1678" t="s">
        <v>656</v>
      </c>
      <c r="AN11" s="1691" t="s">
        <v>1092</v>
      </c>
      <c r="AO11" s="1678" t="s">
        <v>7175</v>
      </c>
      <c r="AP11" s="2283"/>
      <c r="AQ11" s="1691" t="s">
        <v>7193</v>
      </c>
      <c r="AR11" s="1691" t="s">
        <v>1091</v>
      </c>
      <c r="AS11" s="2287" t="s">
        <v>13269</v>
      </c>
      <c r="AT11" s="1696" t="s">
        <v>7193</v>
      </c>
      <c r="AU11" s="1678" t="s">
        <v>8751</v>
      </c>
      <c r="AV11" s="2286"/>
      <c r="AW11" s="821" t="s">
        <v>13269</v>
      </c>
      <c r="AX11" s="1317" t="s">
        <v>13013</v>
      </c>
      <c r="AY11" s="1317" t="s">
        <v>13013</v>
      </c>
      <c r="AZ11" s="1317" t="s">
        <v>13126</v>
      </c>
      <c r="BA11" s="1691" t="s">
        <v>13255</v>
      </c>
      <c r="BB11" s="1678" t="s">
        <v>13269</v>
      </c>
      <c r="BC11" s="1678" t="s">
        <v>13264</v>
      </c>
      <c r="BD11" s="1317" t="s">
        <v>13125</v>
      </c>
      <c r="BE11" s="1317" t="s">
        <v>13263</v>
      </c>
      <c r="BF11" s="1693" t="s">
        <v>1325</v>
      </c>
      <c r="BG11" s="1317" t="s">
        <v>1185</v>
      </c>
      <c r="BH11" s="2283" t="s">
        <v>13255</v>
      </c>
      <c r="BI11" s="2285" t="s">
        <v>7592</v>
      </c>
      <c r="BJ11" s="1700" t="s">
        <v>8395</v>
      </c>
      <c r="BK11" s="1695" t="s">
        <v>8987</v>
      </c>
      <c r="BL11" s="1695" t="s">
        <v>7154</v>
      </c>
      <c r="BS11" s="1697"/>
      <c r="BT11" s="1678" t="s">
        <v>54</v>
      </c>
      <c r="BU11" s="1693" t="s">
        <v>7772</v>
      </c>
      <c r="BW11" s="1317" t="s">
        <v>7772</v>
      </c>
      <c r="BY11" s="1317" t="s">
        <v>7772</v>
      </c>
      <c r="CB11" s="1989" t="s">
        <v>8449</v>
      </c>
      <c r="CC11" s="1678" t="s">
        <v>8449</v>
      </c>
      <c r="CD11" s="1989" t="s">
        <v>8678</v>
      </c>
      <c r="CE11" s="1989" t="s">
        <v>8448</v>
      </c>
      <c r="CF11" s="1684" t="s">
        <v>9827</v>
      </c>
      <c r="CG11" s="1686" t="s">
        <v>10827</v>
      </c>
      <c r="CI11" s="1683" t="s">
        <v>6821</v>
      </c>
      <c r="CJ11" s="1678">
        <v>8</v>
      </c>
      <c r="CK11" s="1702"/>
      <c r="CL11" s="1698" t="s">
        <v>2090</v>
      </c>
      <c r="CM11" s="1699" t="s">
        <v>4078</v>
      </c>
      <c r="CN11" s="1699" t="s">
        <v>4049</v>
      </c>
      <c r="CO11" s="1699" t="s">
        <v>7552</v>
      </c>
      <c r="CP11" s="1699" t="s">
        <v>6619</v>
      </c>
      <c r="CR11" s="1678" t="s">
        <v>8011</v>
      </c>
      <c r="CS11" s="1678" t="s">
        <v>7084</v>
      </c>
      <c r="CU11" s="1678" t="s">
        <v>12013</v>
      </c>
      <c r="CW11" s="2252">
        <v>532</v>
      </c>
      <c r="CX11" s="2149" t="s">
        <v>48</v>
      </c>
      <c r="DB11" s="1676"/>
      <c r="DE11" s="2560" t="s">
        <v>12931</v>
      </c>
      <c r="DF11" s="2562"/>
      <c r="DG11" s="2562">
        <v>2010</v>
      </c>
      <c r="DH11" s="2562">
        <v>167</v>
      </c>
      <c r="EV11" s="1703"/>
      <c r="EW11" s="1704"/>
      <c r="EX11" s="1704"/>
    </row>
    <row r="12" spans="1:154" ht="26.25" x14ac:dyDescent="0.25">
      <c r="A12" s="121" t="s">
        <v>13034</v>
      </c>
      <c r="F12" s="1677" t="s">
        <v>9603</v>
      </c>
      <c r="G12" s="740" t="s">
        <v>9613</v>
      </c>
      <c r="H12" s="848"/>
      <c r="I12" s="848"/>
      <c r="J12" s="848"/>
      <c r="K12" s="848"/>
      <c r="L12" s="848"/>
      <c r="M12" s="848"/>
      <c r="N12" s="848"/>
      <c r="O12" s="740" t="s">
        <v>12684</v>
      </c>
      <c r="P12" s="740" t="s">
        <v>9420</v>
      </c>
      <c r="Q12" s="848"/>
      <c r="R12" s="848"/>
      <c r="S12" s="848"/>
      <c r="T12" s="848"/>
      <c r="U12" s="848"/>
      <c r="V12" s="848"/>
      <c r="W12" s="848"/>
      <c r="X12" s="848"/>
      <c r="Y12" s="848"/>
      <c r="Z12" s="1679" t="s">
        <v>9537</v>
      </c>
      <c r="AA12" s="740" t="s">
        <v>9548</v>
      </c>
      <c r="AB12" s="848"/>
      <c r="AC12" s="740" t="s">
        <v>9567</v>
      </c>
      <c r="AD12" s="848"/>
      <c r="AE12" s="848"/>
      <c r="AF12" s="848"/>
      <c r="AG12" s="1697"/>
      <c r="AH12" s="1697"/>
      <c r="AI12" s="1678" t="s">
        <v>9789</v>
      </c>
      <c r="AJ12" s="1678" t="s">
        <v>8379</v>
      </c>
      <c r="AM12" s="1678" t="s">
        <v>657</v>
      </c>
      <c r="AN12" s="1691" t="s">
        <v>1339</v>
      </c>
      <c r="AO12" s="1678" t="s">
        <v>1326</v>
      </c>
      <c r="AP12" s="1697"/>
      <c r="AQ12" s="1691" t="s">
        <v>7194</v>
      </c>
      <c r="AR12" s="1691" t="s">
        <v>1092</v>
      </c>
      <c r="AS12" s="2287" t="s">
        <v>9472</v>
      </c>
      <c r="AT12" s="1696" t="s">
        <v>7194</v>
      </c>
      <c r="AU12" s="1678" t="s">
        <v>8752</v>
      </c>
      <c r="AV12" s="1697"/>
      <c r="AW12" s="821" t="s">
        <v>12892</v>
      </c>
      <c r="AX12" s="1317" t="s">
        <v>9481</v>
      </c>
      <c r="AY12" s="1317" t="s">
        <v>9481</v>
      </c>
      <c r="AZ12" s="1317" t="s">
        <v>9490</v>
      </c>
      <c r="BA12" s="1691" t="s">
        <v>1329</v>
      </c>
      <c r="BB12" s="1678" t="s">
        <v>12892</v>
      </c>
      <c r="BC12" s="1678" t="s">
        <v>9505</v>
      </c>
      <c r="BD12" s="1317" t="s">
        <v>9490</v>
      </c>
      <c r="BE12" s="1317" t="s">
        <v>1190</v>
      </c>
      <c r="BF12" s="1317" t="s">
        <v>7175</v>
      </c>
      <c r="BG12" s="1317" t="s">
        <v>7176</v>
      </c>
      <c r="BH12" s="2283" t="s">
        <v>12891</v>
      </c>
      <c r="BI12" s="2285" t="s">
        <v>953</v>
      </c>
      <c r="BJ12" s="1700" t="s">
        <v>9284</v>
      </c>
      <c r="BK12" s="1695" t="s">
        <v>8990</v>
      </c>
      <c r="BL12" s="1695" t="s">
        <v>12073</v>
      </c>
      <c r="BS12" s="1697"/>
      <c r="BT12" s="1678" t="s">
        <v>55</v>
      </c>
      <c r="BU12" s="1693" t="s">
        <v>7773</v>
      </c>
      <c r="BW12" s="1317" t="s">
        <v>7773</v>
      </c>
      <c r="BY12" s="1317" t="s">
        <v>7773</v>
      </c>
      <c r="CB12" s="1989" t="s">
        <v>8450</v>
      </c>
      <c r="CC12" s="1678" t="s">
        <v>8450</v>
      </c>
      <c r="CD12" s="1989" t="s">
        <v>8830</v>
      </c>
      <c r="CE12" s="1989" t="s">
        <v>8449</v>
      </c>
      <c r="CF12" s="1684" t="s">
        <v>9828</v>
      </c>
      <c r="CG12" s="1686" t="s">
        <v>10828</v>
      </c>
      <c r="CI12" s="1683" t="s">
        <v>6822</v>
      </c>
      <c r="CJ12" s="1678">
        <v>9</v>
      </c>
      <c r="CL12" s="1698" t="s">
        <v>2091</v>
      </c>
      <c r="CM12" s="1699" t="s">
        <v>4079</v>
      </c>
      <c r="CN12" s="1699" t="s">
        <v>4048</v>
      </c>
      <c r="CO12" s="1699" t="s">
        <v>7438</v>
      </c>
      <c r="CP12" s="1699" t="s">
        <v>6506</v>
      </c>
      <c r="CR12" s="1678" t="s">
        <v>8893</v>
      </c>
      <c r="CS12" s="1678" t="s">
        <v>8877</v>
      </c>
      <c r="CU12" s="1678" t="s">
        <v>12014</v>
      </c>
      <c r="CW12" s="2252">
        <v>535</v>
      </c>
      <c r="CX12" s="2149" t="s">
        <v>48</v>
      </c>
      <c r="DB12" s="1676"/>
      <c r="DE12" s="2560" t="s">
        <v>12932</v>
      </c>
      <c r="DF12" s="2562"/>
      <c r="DG12" s="2562">
        <v>2011</v>
      </c>
      <c r="DH12" s="2562">
        <v>184</v>
      </c>
    </row>
    <row r="13" spans="1:154" ht="25.5" x14ac:dyDescent="0.25">
      <c r="A13" s="121" t="s">
        <v>13035</v>
      </c>
      <c r="F13" s="740" t="s">
        <v>9604</v>
      </c>
      <c r="G13" s="740" t="s">
        <v>9614</v>
      </c>
      <c r="H13" s="848"/>
      <c r="I13" s="848"/>
      <c r="J13" s="848"/>
      <c r="K13" s="848"/>
      <c r="L13" s="848"/>
      <c r="M13" s="848"/>
      <c r="N13" s="848"/>
      <c r="O13" s="740" t="s">
        <v>274</v>
      </c>
      <c r="P13" s="740" t="s">
        <v>8963</v>
      </c>
      <c r="Q13" s="848"/>
      <c r="R13" s="848"/>
      <c r="S13" s="848"/>
      <c r="T13" s="848"/>
      <c r="U13" s="848"/>
      <c r="V13" s="848"/>
      <c r="W13" s="848"/>
      <c r="X13" s="848"/>
      <c r="Y13" s="848"/>
      <c r="Z13" s="1679" t="s">
        <v>9538</v>
      </c>
      <c r="AA13" s="740" t="s">
        <v>9549</v>
      </c>
      <c r="AB13" s="848"/>
      <c r="AC13" s="740" t="s">
        <v>9568</v>
      </c>
      <c r="AD13" s="848"/>
      <c r="AE13" s="848"/>
      <c r="AF13" s="848"/>
      <c r="AG13" s="1697"/>
      <c r="AH13" s="1697"/>
      <c r="AI13" s="1678" t="s">
        <v>9790</v>
      </c>
      <c r="AJ13" s="1678" t="s">
        <v>8380</v>
      </c>
      <c r="AM13" s="1678" t="s">
        <v>658</v>
      </c>
      <c r="AN13" s="1691" t="s">
        <v>1093</v>
      </c>
      <c r="AO13" s="1678" t="s">
        <v>1327</v>
      </c>
      <c r="AP13" s="1697"/>
      <c r="AQ13" s="1691" t="s">
        <v>7195</v>
      </c>
      <c r="AR13" s="1691" t="s">
        <v>8865</v>
      </c>
      <c r="AS13" s="2287" t="s">
        <v>12892</v>
      </c>
      <c r="AT13" s="1696" t="s">
        <v>7195</v>
      </c>
      <c r="AU13" s="1678" t="s">
        <v>8753</v>
      </c>
      <c r="AV13" s="1697"/>
      <c r="AW13" s="821" t="s">
        <v>9471</v>
      </c>
      <c r="AX13" s="1317" t="s">
        <v>9483</v>
      </c>
      <c r="AY13" s="1317" t="s">
        <v>9483</v>
      </c>
      <c r="AZ13" s="1317" t="s">
        <v>9487</v>
      </c>
      <c r="BA13" s="1691" t="s">
        <v>12891</v>
      </c>
      <c r="BB13" s="1678" t="s">
        <v>9471</v>
      </c>
      <c r="BC13" s="1678" t="s">
        <v>9506</v>
      </c>
      <c r="BD13" s="1693" t="s">
        <v>12893</v>
      </c>
      <c r="BE13" s="1317" t="s">
        <v>1191</v>
      </c>
      <c r="BF13" s="1317" t="s">
        <v>1326</v>
      </c>
      <c r="BG13" s="1317" t="s">
        <v>1186</v>
      </c>
      <c r="BH13" s="2283" t="s">
        <v>1330</v>
      </c>
      <c r="BI13" s="2285" t="s">
        <v>8394</v>
      </c>
      <c r="BJ13" s="1697"/>
      <c r="BK13" s="1695" t="s">
        <v>8993</v>
      </c>
      <c r="BL13" s="1695" t="s">
        <v>12074</v>
      </c>
      <c r="BS13" s="1697"/>
      <c r="BT13" s="1678" t="s">
        <v>56</v>
      </c>
      <c r="BU13" s="1693" t="s">
        <v>84</v>
      </c>
      <c r="BW13" s="1317" t="s">
        <v>84</v>
      </c>
      <c r="BY13" s="1317" t="s">
        <v>84</v>
      </c>
      <c r="CB13" s="1989" t="s">
        <v>8451</v>
      </c>
      <c r="CC13" s="1678" t="s">
        <v>8451</v>
      </c>
      <c r="CD13" s="1989" t="s">
        <v>8679</v>
      </c>
      <c r="CE13" s="1989" t="s">
        <v>8450</v>
      </c>
      <c r="CF13" s="1684" t="s">
        <v>9829</v>
      </c>
      <c r="CG13" s="1686" t="s">
        <v>10829</v>
      </c>
      <c r="CI13" s="1683" t="s">
        <v>6823</v>
      </c>
      <c r="CJ13" s="1678">
        <v>10</v>
      </c>
      <c r="CL13" s="1698" t="s">
        <v>2092</v>
      </c>
      <c r="CM13" s="1699" t="s">
        <v>4080</v>
      </c>
      <c r="CN13" s="1699" t="s">
        <v>4047</v>
      </c>
      <c r="CO13" s="1699" t="s">
        <v>7379</v>
      </c>
      <c r="CP13" s="1699" t="s">
        <v>6618</v>
      </c>
      <c r="CR13" s="1678" t="s">
        <v>8014</v>
      </c>
      <c r="CS13" s="1678" t="s">
        <v>6989</v>
      </c>
      <c r="CU13" s="1678" t="s">
        <v>12015</v>
      </c>
      <c r="CW13" s="2252">
        <v>518</v>
      </c>
      <c r="CX13" s="2149" t="s">
        <v>48</v>
      </c>
      <c r="DB13" s="1676"/>
      <c r="DE13" s="2560" t="s">
        <v>12933</v>
      </c>
      <c r="DF13" s="2562"/>
      <c r="DG13" s="2562">
        <v>2012</v>
      </c>
      <c r="DH13" s="2562">
        <v>200</v>
      </c>
    </row>
    <row r="14" spans="1:154" ht="18.75" x14ac:dyDescent="0.25">
      <c r="O14" s="740" t="s">
        <v>275</v>
      </c>
      <c r="P14" s="740" t="s">
        <v>8964</v>
      </c>
      <c r="Z14" s="1679" t="s">
        <v>9303</v>
      </c>
      <c r="AA14" s="740" t="s">
        <v>9550</v>
      </c>
      <c r="AC14" s="740" t="s">
        <v>9569</v>
      </c>
      <c r="AD14" s="848"/>
      <c r="AE14" s="848"/>
      <c r="AF14" s="848"/>
      <c r="AG14" s="1697"/>
      <c r="AH14" s="1697"/>
      <c r="AI14" s="1678" t="s">
        <v>9791</v>
      </c>
      <c r="AJ14" s="1678" t="s">
        <v>8381</v>
      </c>
      <c r="AM14" s="1678" t="s">
        <v>659</v>
      </c>
      <c r="AN14" s="1691" t="s">
        <v>1094</v>
      </c>
      <c r="AO14" s="1678" t="s">
        <v>1328</v>
      </c>
      <c r="AP14" s="1697"/>
      <c r="AQ14" s="1691" t="s">
        <v>7196</v>
      </c>
      <c r="AR14" s="1691" t="s">
        <v>1093</v>
      </c>
      <c r="AS14" s="2288" t="s">
        <v>9471</v>
      </c>
      <c r="AT14" s="1696" t="s">
        <v>7196</v>
      </c>
      <c r="AU14" s="1678" t="s">
        <v>8754</v>
      </c>
      <c r="AV14" s="1697"/>
      <c r="AW14" s="821" t="s">
        <v>13124</v>
      </c>
      <c r="AX14" s="1317" t="s">
        <v>11838</v>
      </c>
      <c r="AY14" s="1317" t="s">
        <v>11838</v>
      </c>
      <c r="AZ14" s="1678" t="s">
        <v>9472</v>
      </c>
      <c r="BA14" s="1691" t="s">
        <v>1330</v>
      </c>
      <c r="BB14" s="1678" t="s">
        <v>9472</v>
      </c>
      <c r="BC14" s="1678" t="s">
        <v>9507</v>
      </c>
      <c r="BD14" s="1693" t="s">
        <v>9485</v>
      </c>
      <c r="BE14" s="1317" t="s">
        <v>1192</v>
      </c>
      <c r="BF14" s="1317" t="s">
        <v>11836</v>
      </c>
      <c r="BG14" s="1317" t="s">
        <v>11846</v>
      </c>
      <c r="BH14" s="2283" t="s">
        <v>13119</v>
      </c>
      <c r="BI14" s="2285" t="s">
        <v>8395</v>
      </c>
      <c r="BJ14" s="1697"/>
      <c r="BK14" s="1695" t="s">
        <v>12069</v>
      </c>
      <c r="BL14" s="1695" t="s">
        <v>12075</v>
      </c>
      <c r="BS14" s="1697"/>
      <c r="BT14" s="1678" t="s">
        <v>57</v>
      </c>
      <c r="BU14" s="1693" t="s">
        <v>85</v>
      </c>
      <c r="BW14" s="1317" t="s">
        <v>85</v>
      </c>
      <c r="BY14" s="1317" t="s">
        <v>85</v>
      </c>
      <c r="CB14" s="1989" t="s">
        <v>8452</v>
      </c>
      <c r="CC14" s="1678" t="s">
        <v>8452</v>
      </c>
      <c r="CD14" s="1989" t="s">
        <v>8680</v>
      </c>
      <c r="CE14" s="1989" t="s">
        <v>8451</v>
      </c>
      <c r="CF14" s="1684" t="s">
        <v>9830</v>
      </c>
      <c r="CG14" s="1686" t="s">
        <v>10830</v>
      </c>
      <c r="CI14" s="1683" t="s">
        <v>6824</v>
      </c>
      <c r="CJ14" s="1678">
        <v>11</v>
      </c>
      <c r="CL14" s="1698" t="s">
        <v>2093</v>
      </c>
      <c r="CM14" s="1699" t="s">
        <v>4081</v>
      </c>
      <c r="CN14" s="1699" t="s">
        <v>4046</v>
      </c>
      <c r="CO14" s="1699" t="s">
        <v>4951</v>
      </c>
      <c r="CP14" s="1699" t="s">
        <v>6505</v>
      </c>
      <c r="CR14" s="1678" t="s">
        <v>9060</v>
      </c>
      <c r="CS14" s="1678" t="s">
        <v>6992</v>
      </c>
      <c r="CU14" s="1678" t="s">
        <v>12016</v>
      </c>
      <c r="CW14" s="2252">
        <v>505</v>
      </c>
      <c r="CX14" s="2149" t="s">
        <v>48</v>
      </c>
      <c r="DB14" s="1676"/>
      <c r="DE14" s="2560" t="s">
        <v>12934</v>
      </c>
      <c r="DF14" s="2562"/>
      <c r="DG14" s="2562">
        <v>2013</v>
      </c>
      <c r="DH14" s="2562">
        <v>220</v>
      </c>
    </row>
    <row r="15" spans="1:154" ht="25.5" x14ac:dyDescent="0.25">
      <c r="A15" s="2447" t="s">
        <v>13038</v>
      </c>
      <c r="O15" s="740" t="s">
        <v>277</v>
      </c>
      <c r="P15" s="740" t="s">
        <v>9558</v>
      </c>
      <c r="Z15" s="1679" t="s">
        <v>9539</v>
      </c>
      <c r="AA15" s="740" t="s">
        <v>489</v>
      </c>
      <c r="AC15" s="740" t="s">
        <v>9570</v>
      </c>
      <c r="AD15" s="848"/>
      <c r="AE15" s="848"/>
      <c r="AF15" s="848"/>
      <c r="AG15" s="1697"/>
      <c r="AH15" s="1697"/>
      <c r="AI15" s="1678" t="s">
        <v>9792</v>
      </c>
      <c r="AJ15" s="1678" t="s">
        <v>8372</v>
      </c>
      <c r="AM15" s="1678" t="s">
        <v>660</v>
      </c>
      <c r="AN15" s="1691" t="s">
        <v>1095</v>
      </c>
      <c r="AO15" s="1678" t="s">
        <v>13265</v>
      </c>
      <c r="AP15" s="1697"/>
      <c r="AQ15" s="1691" t="s">
        <v>13265</v>
      </c>
      <c r="AR15" s="1691" t="s">
        <v>1094</v>
      </c>
      <c r="AS15" s="2288" t="s">
        <v>13120</v>
      </c>
      <c r="AT15" s="1696" t="s">
        <v>13266</v>
      </c>
      <c r="AU15" s="2286" t="s">
        <v>12856</v>
      </c>
      <c r="AV15" s="1697"/>
      <c r="AW15" s="821" t="s">
        <v>13270</v>
      </c>
      <c r="AX15" s="1317" t="s">
        <v>13254</v>
      </c>
      <c r="AY15" s="1317" t="s">
        <v>13254</v>
      </c>
      <c r="AZ15" s="1678" t="s">
        <v>12892</v>
      </c>
      <c r="BA15" s="1691" t="s">
        <v>13115</v>
      </c>
      <c r="BB15" s="1678" t="s">
        <v>13124</v>
      </c>
      <c r="BC15" s="1678" t="s">
        <v>9508</v>
      </c>
      <c r="BD15" s="1317" t="s">
        <v>13127</v>
      </c>
      <c r="BE15" s="1317" t="s">
        <v>1194</v>
      </c>
      <c r="BF15" s="1317" t="s">
        <v>13255</v>
      </c>
      <c r="BG15" s="1317" t="s">
        <v>13263</v>
      </c>
      <c r="BH15" s="2283" t="s">
        <v>13274</v>
      </c>
      <c r="BI15" s="2285" t="s">
        <v>9284</v>
      </c>
      <c r="BJ15" s="1697"/>
      <c r="BK15" s="1695" t="s">
        <v>8994</v>
      </c>
      <c r="BL15" s="1697"/>
      <c r="BS15" s="1697"/>
      <c r="BT15" s="1678" t="s">
        <v>58</v>
      </c>
      <c r="BU15" s="1693" t="s">
        <v>86</v>
      </c>
      <c r="BW15" s="1317" t="s">
        <v>86</v>
      </c>
      <c r="BY15" s="1317" t="s">
        <v>86</v>
      </c>
      <c r="CB15" s="1989" t="s">
        <v>8453</v>
      </c>
      <c r="CC15" s="1678" t="s">
        <v>8453</v>
      </c>
      <c r="CD15" s="1989" t="s">
        <v>8681</v>
      </c>
      <c r="CE15" s="1989" t="s">
        <v>8452</v>
      </c>
      <c r="CF15" s="1684" t="s">
        <v>9831</v>
      </c>
      <c r="CG15" s="1686" t="s">
        <v>10831</v>
      </c>
      <c r="CI15" s="1683" t="s">
        <v>6825</v>
      </c>
      <c r="CJ15" s="1678">
        <v>12</v>
      </c>
      <c r="CL15" s="1698" t="s">
        <v>2094</v>
      </c>
      <c r="CM15" s="1699" t="s">
        <v>4082</v>
      </c>
      <c r="CN15" s="1699" t="s">
        <v>4045</v>
      </c>
      <c r="CO15" s="1699" t="s">
        <v>7378</v>
      </c>
      <c r="CP15" s="1699" t="s">
        <v>6791</v>
      </c>
      <c r="CR15" s="1678" t="s">
        <v>9136</v>
      </c>
      <c r="CS15" s="1678" t="s">
        <v>7083</v>
      </c>
      <c r="CU15" s="1678" t="s">
        <v>12017</v>
      </c>
      <c r="CW15" s="2252">
        <v>517</v>
      </c>
      <c r="CX15" s="2149" t="s">
        <v>48</v>
      </c>
      <c r="DB15" s="1676"/>
      <c r="DE15" s="2560" t="s">
        <v>12935</v>
      </c>
      <c r="DF15" s="2562"/>
      <c r="DG15" s="2562">
        <v>2014</v>
      </c>
      <c r="DH15" s="2562">
        <v>240</v>
      </c>
    </row>
    <row r="16" spans="1:154" ht="15" x14ac:dyDescent="0.25">
      <c r="A16" s="121" t="s">
        <v>12</v>
      </c>
      <c r="O16" s="740"/>
      <c r="P16" s="740" t="s">
        <v>9559</v>
      </c>
      <c r="Z16" s="1679" t="s">
        <v>9302</v>
      </c>
      <c r="AA16" s="740" t="s">
        <v>9551</v>
      </c>
      <c r="AC16" s="740" t="s">
        <v>9571</v>
      </c>
      <c r="AD16" s="848"/>
      <c r="AE16" s="848"/>
      <c r="AI16" s="1678" t="s">
        <v>9793</v>
      </c>
      <c r="AJ16" s="1678" t="s">
        <v>8382</v>
      </c>
      <c r="AM16" s="1678" t="s">
        <v>661</v>
      </c>
      <c r="AN16" s="1691" t="s">
        <v>1096</v>
      </c>
      <c r="AO16" s="1678" t="s">
        <v>1329</v>
      </c>
      <c r="AQ16" s="1691" t="s">
        <v>12894</v>
      </c>
      <c r="AR16" s="1691" t="s">
        <v>1095</v>
      </c>
      <c r="AS16" s="2287" t="s">
        <v>13270</v>
      </c>
      <c r="AT16" s="1696" t="s">
        <v>12894</v>
      </c>
      <c r="AU16" s="2286"/>
      <c r="AW16" s="821" t="s">
        <v>13123</v>
      </c>
      <c r="AX16" s="1317" t="s">
        <v>12893</v>
      </c>
      <c r="AY16" s="1317" t="s">
        <v>12893</v>
      </c>
      <c r="AZ16" s="1678" t="s">
        <v>9471</v>
      </c>
      <c r="BA16" s="1691" t="s">
        <v>13274</v>
      </c>
      <c r="BB16" s="1678" t="s">
        <v>13270</v>
      </c>
      <c r="BC16" s="1678" t="s">
        <v>13129</v>
      </c>
      <c r="BD16" s="1317" t="s">
        <v>13274</v>
      </c>
      <c r="BE16" s="1317" t="s">
        <v>13130</v>
      </c>
      <c r="BF16" s="1317" t="s">
        <v>12891</v>
      </c>
      <c r="BG16" s="1317" t="s">
        <v>1191</v>
      </c>
      <c r="BH16" s="2283" t="s">
        <v>13117</v>
      </c>
      <c r="BK16" s="1695" t="s">
        <v>8995</v>
      </c>
      <c r="BL16" s="1697"/>
      <c r="BT16" s="1678" t="s">
        <v>59</v>
      </c>
      <c r="BU16" s="1317" t="s">
        <v>7774</v>
      </c>
      <c r="BW16" s="1317" t="s">
        <v>7774</v>
      </c>
      <c r="BY16" s="1317" t="s">
        <v>7774</v>
      </c>
      <c r="CB16" s="1989" t="s">
        <v>8454</v>
      </c>
      <c r="CC16" s="1678" t="s">
        <v>8454</v>
      </c>
      <c r="CD16" s="1989" t="s">
        <v>8683</v>
      </c>
      <c r="CE16" s="1989" t="s">
        <v>8453</v>
      </c>
      <c r="CF16" s="1661" t="s">
        <v>9832</v>
      </c>
      <c r="CG16" s="1685" t="s">
        <v>10832</v>
      </c>
      <c r="CI16" s="1683" t="s">
        <v>6826</v>
      </c>
      <c r="CJ16" s="1678">
        <v>13</v>
      </c>
      <c r="CL16" s="1698" t="s">
        <v>2095</v>
      </c>
      <c r="CM16" s="1699" t="s">
        <v>4083</v>
      </c>
      <c r="CN16" s="1699" t="s">
        <v>4044</v>
      </c>
      <c r="CO16" s="1699" t="s">
        <v>7224</v>
      </c>
      <c r="CP16" s="1699" t="s">
        <v>6504</v>
      </c>
      <c r="CR16" s="1678" t="s">
        <v>8015</v>
      </c>
      <c r="CS16" s="1678" t="s">
        <v>6990</v>
      </c>
      <c r="CU16" s="1678" t="s">
        <v>12018</v>
      </c>
      <c r="CW16" s="2252">
        <v>523</v>
      </c>
      <c r="CX16" s="2149" t="s">
        <v>48</v>
      </c>
      <c r="DB16" s="1676"/>
      <c r="DE16" s="2560" t="s">
        <v>12936</v>
      </c>
      <c r="DF16" s="2562"/>
      <c r="DG16" s="2562">
        <v>2015</v>
      </c>
      <c r="DH16" s="2562">
        <v>254</v>
      </c>
    </row>
    <row r="17" spans="15:112" ht="15" x14ac:dyDescent="0.25">
      <c r="O17" s="740"/>
      <c r="P17" s="740" t="s">
        <v>8413</v>
      </c>
      <c r="Z17" s="1679" t="s">
        <v>9540</v>
      </c>
      <c r="AA17" s="740" t="s">
        <v>9552</v>
      </c>
      <c r="AI17" s="1678" t="s">
        <v>9794</v>
      </c>
      <c r="AM17" s="1678" t="s">
        <v>662</v>
      </c>
      <c r="AN17" s="1691" t="s">
        <v>1109</v>
      </c>
      <c r="AO17" s="1678" t="s">
        <v>12891</v>
      </c>
      <c r="AQ17" s="1691" t="s">
        <v>7259</v>
      </c>
      <c r="AR17" s="1691" t="s">
        <v>1096</v>
      </c>
      <c r="AS17" s="2287" t="s">
        <v>13122</v>
      </c>
      <c r="AT17" s="1696" t="s">
        <v>7259</v>
      </c>
      <c r="AW17" s="821" t="s">
        <v>9473</v>
      </c>
      <c r="AX17" s="1317" t="s">
        <v>9485</v>
      </c>
      <c r="AY17" s="1317" t="s">
        <v>9485</v>
      </c>
      <c r="AZ17" s="1678" t="s">
        <v>13122</v>
      </c>
      <c r="BA17" s="1691" t="s">
        <v>13116</v>
      </c>
      <c r="BB17" s="1678" t="s">
        <v>13122</v>
      </c>
      <c r="BC17" s="1678" t="s">
        <v>9511</v>
      </c>
      <c r="BD17" s="1317" t="s">
        <v>9516</v>
      </c>
      <c r="BE17" s="1317" t="s">
        <v>1196</v>
      </c>
      <c r="BF17" s="1317" t="s">
        <v>9488</v>
      </c>
      <c r="BG17" s="1706">
        <v>1</v>
      </c>
      <c r="BH17" s="2283" t="s">
        <v>1333</v>
      </c>
      <c r="BK17" s="1695" t="s">
        <v>9001</v>
      </c>
      <c r="BT17" s="1678" t="s">
        <v>60</v>
      </c>
      <c r="BU17" s="1317" t="s">
        <v>87</v>
      </c>
      <c r="BW17" s="1317" t="s">
        <v>87</v>
      </c>
      <c r="BY17" s="1317" t="s">
        <v>87</v>
      </c>
      <c r="CB17" s="1989" t="s">
        <v>8455</v>
      </c>
      <c r="CC17" s="1678" t="s">
        <v>8455</v>
      </c>
      <c r="CD17" s="1989" t="s">
        <v>8684</v>
      </c>
      <c r="CE17" s="1989" t="s">
        <v>8454</v>
      </c>
      <c r="CF17" s="1661" t="s">
        <v>9833</v>
      </c>
      <c r="CG17" s="1661" t="s">
        <v>10833</v>
      </c>
      <c r="CI17" s="1683" t="s">
        <v>6827</v>
      </c>
      <c r="CJ17" s="1678">
        <v>14</v>
      </c>
      <c r="CL17" s="1698" t="s">
        <v>2096</v>
      </c>
      <c r="CM17" s="1699" t="s">
        <v>4084</v>
      </c>
      <c r="CN17" s="1699" t="s">
        <v>4043</v>
      </c>
      <c r="CO17" s="1699" t="s">
        <v>7223</v>
      </c>
      <c r="CP17" s="1699" t="s">
        <v>7534</v>
      </c>
      <c r="CR17" s="1678" t="s">
        <v>8894</v>
      </c>
      <c r="CS17" s="1678" t="s">
        <v>8878</v>
      </c>
      <c r="CU17" s="1678" t="s">
        <v>12019</v>
      </c>
      <c r="CW17" s="2252">
        <v>504</v>
      </c>
      <c r="CX17" s="2149" t="s">
        <v>48</v>
      </c>
      <c r="DB17" s="1676"/>
      <c r="DE17" s="2560" t="s">
        <v>12937</v>
      </c>
      <c r="DF17" s="2562"/>
      <c r="DG17" s="2562">
        <v>2016</v>
      </c>
      <c r="DH17" s="2562">
        <v>264</v>
      </c>
    </row>
    <row r="18" spans="15:112" ht="26.25" x14ac:dyDescent="0.25">
      <c r="O18" s="740"/>
      <c r="P18" s="740" t="s">
        <v>13077</v>
      </c>
      <c r="Z18" s="1679" t="s">
        <v>9301</v>
      </c>
      <c r="AA18" s="740" t="s">
        <v>9553</v>
      </c>
      <c r="AC18" s="740" t="s">
        <v>12</v>
      </c>
      <c r="AI18" s="1678" t="s">
        <v>9795</v>
      </c>
      <c r="AM18" s="1678" t="s">
        <v>663</v>
      </c>
      <c r="AN18" s="1691" t="s">
        <v>6812</v>
      </c>
      <c r="AO18" s="1678" t="s">
        <v>1330</v>
      </c>
      <c r="AQ18" s="1691" t="s">
        <v>7197</v>
      </c>
      <c r="AR18" s="1691" t="s">
        <v>1109</v>
      </c>
      <c r="AS18" s="2287" t="s">
        <v>13123</v>
      </c>
      <c r="AT18" s="1696" t="s">
        <v>7197</v>
      </c>
      <c r="AW18" s="821" t="s">
        <v>12841</v>
      </c>
      <c r="AX18" s="1317" t="s">
        <v>13126</v>
      </c>
      <c r="AY18" s="1317" t="s">
        <v>13126</v>
      </c>
      <c r="AZ18" s="1691" t="s">
        <v>13123</v>
      </c>
      <c r="BA18" s="1691" t="s">
        <v>13117</v>
      </c>
      <c r="BB18" s="1678" t="s">
        <v>13123</v>
      </c>
      <c r="BC18" s="1678" t="s">
        <v>9512</v>
      </c>
      <c r="BD18" s="1317" t="s">
        <v>13128</v>
      </c>
      <c r="BE18" s="1317" t="s">
        <v>7669</v>
      </c>
      <c r="BF18" s="1317" t="s">
        <v>7667</v>
      </c>
      <c r="BG18" s="1317" t="s">
        <v>7669</v>
      </c>
      <c r="BH18" s="2283" t="s">
        <v>12838</v>
      </c>
      <c r="BK18" s="1695" t="s">
        <v>7154</v>
      </c>
      <c r="BT18" s="1678" t="s">
        <v>61</v>
      </c>
      <c r="BU18" s="1317" t="s">
        <v>88</v>
      </c>
      <c r="BW18" s="1317" t="s">
        <v>88</v>
      </c>
      <c r="BY18" s="1317" t="s">
        <v>88</v>
      </c>
      <c r="CB18" s="1989" t="s">
        <v>8456</v>
      </c>
      <c r="CC18" s="1678" t="s">
        <v>8456</v>
      </c>
      <c r="CD18" s="1989" t="s">
        <v>8685</v>
      </c>
      <c r="CE18" s="1989" t="s">
        <v>8455</v>
      </c>
      <c r="CF18" s="1661" t="s">
        <v>9834</v>
      </c>
      <c r="CG18" s="1661" t="s">
        <v>10834</v>
      </c>
      <c r="CI18" s="1683" t="s">
        <v>6828</v>
      </c>
      <c r="CJ18" s="1678">
        <v>15</v>
      </c>
      <c r="CL18" s="1698" t="s">
        <v>2097</v>
      </c>
      <c r="CM18" s="1699" t="s">
        <v>4085</v>
      </c>
      <c r="CN18" s="1699" t="s">
        <v>4042</v>
      </c>
      <c r="CO18" s="1699" t="s">
        <v>7222</v>
      </c>
      <c r="CP18" s="1699" t="s">
        <v>6503</v>
      </c>
      <c r="CR18" s="1678" t="s">
        <v>9134</v>
      </c>
      <c r="CS18" s="1678" t="s">
        <v>7081</v>
      </c>
      <c r="CU18" s="1678" t="s">
        <v>12020</v>
      </c>
      <c r="CW18" s="2252">
        <v>506</v>
      </c>
      <c r="CX18" s="2149" t="s">
        <v>48</v>
      </c>
      <c r="DB18" s="1676"/>
      <c r="DE18" s="2560" t="s">
        <v>12938</v>
      </c>
      <c r="DF18" s="2562"/>
      <c r="DG18" s="2562">
        <v>2017</v>
      </c>
      <c r="DH18" s="2562">
        <v>272</v>
      </c>
    </row>
    <row r="19" spans="15:112" ht="26.25" x14ac:dyDescent="0.25">
      <c r="O19" s="740"/>
      <c r="Z19" s="1679" t="s">
        <v>9541</v>
      </c>
      <c r="AA19" s="740" t="s">
        <v>13211</v>
      </c>
      <c r="AC19" s="740" t="s">
        <v>9560</v>
      </c>
      <c r="AI19" s="1678" t="s">
        <v>9796</v>
      </c>
      <c r="AM19" s="1678" t="s">
        <v>664</v>
      </c>
      <c r="AN19" s="1691" t="s">
        <v>7543</v>
      </c>
      <c r="AO19" s="1678" t="s">
        <v>1331</v>
      </c>
      <c r="AQ19" s="1691" t="s">
        <v>13271</v>
      </c>
      <c r="AR19" s="1691" t="s">
        <v>6812</v>
      </c>
      <c r="AS19" s="2287" t="s">
        <v>9473</v>
      </c>
      <c r="AT19" s="1696" t="s">
        <v>13271</v>
      </c>
      <c r="AW19" s="821" t="s">
        <v>12843</v>
      </c>
      <c r="AX19" s="1317" t="s">
        <v>13127</v>
      </c>
      <c r="AY19" s="1317" t="s">
        <v>13127</v>
      </c>
      <c r="AZ19" s="2283" t="s">
        <v>12838</v>
      </c>
      <c r="BA19" s="1691" t="s">
        <v>1333</v>
      </c>
      <c r="BB19" s="1678" t="s">
        <v>9473</v>
      </c>
      <c r="BC19" s="1678" t="s">
        <v>9513</v>
      </c>
      <c r="BD19" s="1317" t="s">
        <v>13131</v>
      </c>
      <c r="BE19" s="1317" t="s">
        <v>8173</v>
      </c>
      <c r="BF19" s="1317" t="s">
        <v>13274</v>
      </c>
      <c r="BG19" s="1317" t="s">
        <v>13130</v>
      </c>
      <c r="BH19" s="2283" t="s">
        <v>12839</v>
      </c>
      <c r="BK19" s="1695" t="s">
        <v>12073</v>
      </c>
      <c r="BT19" s="1678" t="s">
        <v>62</v>
      </c>
      <c r="BU19" s="1317" t="s">
        <v>89</v>
      </c>
      <c r="BW19" s="1317" t="s">
        <v>89</v>
      </c>
      <c r="BY19" s="1317" t="s">
        <v>89</v>
      </c>
      <c r="CB19" s="1989" t="s">
        <v>8457</v>
      </c>
      <c r="CC19" s="1678" t="s">
        <v>8457</v>
      </c>
      <c r="CD19" s="1989" t="s">
        <v>8689</v>
      </c>
      <c r="CE19" s="1989" t="s">
        <v>8456</v>
      </c>
      <c r="CF19" s="1661" t="s">
        <v>9835</v>
      </c>
      <c r="CG19" s="1661" t="s">
        <v>10835</v>
      </c>
      <c r="CI19" s="1683" t="s">
        <v>6829</v>
      </c>
      <c r="CJ19" s="1678">
        <v>16</v>
      </c>
      <c r="CL19" s="1698" t="s">
        <v>2098</v>
      </c>
      <c r="CM19" s="1699" t="s">
        <v>4086</v>
      </c>
      <c r="CN19" s="1699" t="s">
        <v>4041</v>
      </c>
      <c r="CO19" s="1699" t="s">
        <v>6720</v>
      </c>
      <c r="CP19" s="1699" t="s">
        <v>6502</v>
      </c>
      <c r="CR19" s="1678" t="s">
        <v>9059</v>
      </c>
      <c r="CS19" s="1678" t="s">
        <v>6991</v>
      </c>
      <c r="CU19" s="1678" t="s">
        <v>12021</v>
      </c>
      <c r="CW19" s="2252">
        <v>503</v>
      </c>
      <c r="CX19" s="2149" t="s">
        <v>48</v>
      </c>
      <c r="DB19" s="1676"/>
      <c r="DE19" s="2560" t="s">
        <v>12939</v>
      </c>
      <c r="DF19" s="2562"/>
      <c r="DG19" s="2562">
        <v>2018</v>
      </c>
      <c r="DH19" s="2562">
        <v>280</v>
      </c>
    </row>
    <row r="20" spans="15:112" ht="26.25" x14ac:dyDescent="0.25">
      <c r="O20" s="740"/>
      <c r="P20" s="2150" t="s">
        <v>12</v>
      </c>
      <c r="Z20" s="1679" t="s">
        <v>6976</v>
      </c>
      <c r="AA20" s="740" t="s">
        <v>12831</v>
      </c>
      <c r="AC20" s="740" t="s">
        <v>9561</v>
      </c>
      <c r="AI20" s="1678" t="s">
        <v>9797</v>
      </c>
      <c r="AM20" s="1678" t="s">
        <v>665</v>
      </c>
      <c r="AN20" s="1691" t="s">
        <v>7670</v>
      </c>
      <c r="AO20" s="1678" t="s">
        <v>1332</v>
      </c>
      <c r="AQ20" s="1691" t="s">
        <v>7198</v>
      </c>
      <c r="AR20" s="1691" t="s">
        <v>7543</v>
      </c>
      <c r="AS20" s="821" t="s">
        <v>12841</v>
      </c>
      <c r="AT20" s="1696" t="s">
        <v>7198</v>
      </c>
      <c r="AW20" s="821" t="s">
        <v>9469</v>
      </c>
      <c r="AX20" s="1317" t="s">
        <v>9486</v>
      </c>
      <c r="AY20" s="1317" t="s">
        <v>9486</v>
      </c>
      <c r="AZ20" s="2283" t="s">
        <v>12843</v>
      </c>
      <c r="BA20" s="1678" t="s">
        <v>12838</v>
      </c>
      <c r="BB20" s="1678" t="s">
        <v>9474</v>
      </c>
      <c r="BC20" s="1678" t="s">
        <v>9514</v>
      </c>
      <c r="BD20" s="1317" t="s">
        <v>9517</v>
      </c>
      <c r="BE20" s="1317" t="s">
        <v>1197</v>
      </c>
      <c r="BF20" s="1317" t="s">
        <v>1330</v>
      </c>
      <c r="BG20" s="1317" t="s">
        <v>1192</v>
      </c>
      <c r="BH20" s="2283" t="s">
        <v>7175</v>
      </c>
      <c r="BK20" s="1695" t="s">
        <v>12074</v>
      </c>
      <c r="BT20" s="1678" t="s">
        <v>63</v>
      </c>
      <c r="BU20" s="1317" t="s">
        <v>90</v>
      </c>
      <c r="BW20" s="1317" t="s">
        <v>90</v>
      </c>
      <c r="BY20" s="1317" t="s">
        <v>90</v>
      </c>
      <c r="CB20" s="1989" t="s">
        <v>8458</v>
      </c>
      <c r="CC20" s="1678" t="s">
        <v>8458</v>
      </c>
      <c r="CD20" s="1989" t="s">
        <v>8692</v>
      </c>
      <c r="CE20" s="1989" t="s">
        <v>8457</v>
      </c>
      <c r="CF20" s="1661" t="s">
        <v>9836</v>
      </c>
      <c r="CG20" s="1661" t="s">
        <v>10836</v>
      </c>
      <c r="CI20" s="1683" t="s">
        <v>6830</v>
      </c>
      <c r="CJ20" s="1678">
        <v>17</v>
      </c>
      <c r="CL20" s="1698" t="s">
        <v>2099</v>
      </c>
      <c r="CM20" s="1699" t="s">
        <v>4087</v>
      </c>
      <c r="CN20" s="1699" t="s">
        <v>4040</v>
      </c>
      <c r="CO20" s="1699" t="s">
        <v>6719</v>
      </c>
      <c r="CP20" s="1699" t="s">
        <v>6501</v>
      </c>
      <c r="CR20" s="1678" t="s">
        <v>8066</v>
      </c>
      <c r="CS20" s="1678" t="s">
        <v>8069</v>
      </c>
      <c r="CU20" s="1678" t="s">
        <v>12022</v>
      </c>
      <c r="CW20" s="2252">
        <v>521</v>
      </c>
      <c r="CX20" s="2149" t="s">
        <v>48</v>
      </c>
      <c r="DB20" s="1676"/>
      <c r="DE20" s="2560" t="s">
        <v>12940</v>
      </c>
      <c r="DF20" s="2562"/>
      <c r="DG20" s="2562">
        <v>2019</v>
      </c>
      <c r="DH20" s="2562">
        <v>289</v>
      </c>
    </row>
    <row r="21" spans="15:112" ht="25.5" x14ac:dyDescent="0.25">
      <c r="P21" s="2150" t="s">
        <v>9556</v>
      </c>
      <c r="AA21" s="740" t="s">
        <v>12832</v>
      </c>
      <c r="AC21" s="740" t="s">
        <v>9562</v>
      </c>
      <c r="AI21" s="1678" t="s">
        <v>9798</v>
      </c>
      <c r="AM21" s="1678" t="s">
        <v>666</v>
      </c>
      <c r="AN21" s="1691" t="s">
        <v>8213</v>
      </c>
      <c r="AO21" s="1678" t="s">
        <v>7667</v>
      </c>
      <c r="AQ21" s="2291" t="s">
        <v>12838</v>
      </c>
      <c r="AR21" s="2292" t="s">
        <v>7670</v>
      </c>
      <c r="AS21" s="2286" t="s">
        <v>12843</v>
      </c>
      <c r="AT21" s="1696" t="s">
        <v>1332</v>
      </c>
      <c r="AW21" s="821"/>
      <c r="AX21" s="1317" t="s">
        <v>13274</v>
      </c>
      <c r="AY21" s="1317" t="s">
        <v>13274</v>
      </c>
      <c r="AZ21" s="2283"/>
      <c r="BA21" s="2286" t="s">
        <v>12839</v>
      </c>
      <c r="BB21" s="1696" t="s">
        <v>9475</v>
      </c>
      <c r="BC21" s="1678" t="s">
        <v>9515</v>
      </c>
      <c r="BD21" s="1317" t="s">
        <v>9488</v>
      </c>
      <c r="BE21" s="1317">
        <v>1</v>
      </c>
      <c r="BF21" s="1317" t="s">
        <v>13119</v>
      </c>
      <c r="BG21" s="1317" t="s">
        <v>1194</v>
      </c>
      <c r="BH21" s="2283"/>
      <c r="BK21" s="1695" t="s">
        <v>12075</v>
      </c>
      <c r="BT21" s="1678" t="s">
        <v>64</v>
      </c>
      <c r="BU21" s="1317" t="s">
        <v>91</v>
      </c>
      <c r="BW21" s="1317" t="s">
        <v>91</v>
      </c>
      <c r="BY21" s="1317" t="s">
        <v>91</v>
      </c>
      <c r="CB21" s="1989" t="s">
        <v>8459</v>
      </c>
      <c r="CC21" s="1678" t="s">
        <v>8459</v>
      </c>
      <c r="CD21" s="1989" t="s">
        <v>12722</v>
      </c>
      <c r="CE21" s="1989" t="s">
        <v>8458</v>
      </c>
      <c r="CF21" s="1661" t="s">
        <v>9837</v>
      </c>
      <c r="CG21" s="1661" t="s">
        <v>10837</v>
      </c>
      <c r="CI21" s="1683" t="s">
        <v>6831</v>
      </c>
      <c r="CJ21" s="1678">
        <v>18</v>
      </c>
      <c r="CL21" s="1698" t="s">
        <v>2100</v>
      </c>
      <c r="CM21" s="1699" t="s">
        <v>4088</v>
      </c>
      <c r="CN21" s="1699" t="s">
        <v>4039</v>
      </c>
      <c r="CO21" s="1699" t="s">
        <v>6718</v>
      </c>
      <c r="CP21" s="1699" t="s">
        <v>6500</v>
      </c>
      <c r="CR21" s="1678" t="s">
        <v>9057</v>
      </c>
      <c r="CS21" s="1678" t="s">
        <v>6988</v>
      </c>
      <c r="CU21" s="1678" t="s">
        <v>12023</v>
      </c>
      <c r="CW21" s="2252">
        <v>509</v>
      </c>
      <c r="CX21" s="2149" t="s">
        <v>48</v>
      </c>
      <c r="DB21" s="1676"/>
      <c r="DE21" s="2560" t="s">
        <v>12941</v>
      </c>
      <c r="DF21" s="2562"/>
      <c r="DG21" s="2562">
        <v>2020</v>
      </c>
      <c r="DH21" s="2562">
        <v>301</v>
      </c>
    </row>
    <row r="22" spans="15:112" ht="15" x14ac:dyDescent="0.25">
      <c r="P22" s="2150" t="s">
        <v>8410</v>
      </c>
      <c r="AA22" s="740" t="s">
        <v>12833</v>
      </c>
      <c r="AC22" s="740" t="s">
        <v>9563</v>
      </c>
      <c r="AI22" s="1678" t="s">
        <v>6976</v>
      </c>
      <c r="AM22" s="1678" t="s">
        <v>667</v>
      </c>
      <c r="AN22" s="1691" t="s">
        <v>8904</v>
      </c>
      <c r="AO22" s="1678" t="s">
        <v>8788</v>
      </c>
      <c r="AQ22" s="2291" t="s">
        <v>12839</v>
      </c>
      <c r="AR22" s="2292" t="s">
        <v>8213</v>
      </c>
      <c r="AS22" s="2286" t="s">
        <v>9469</v>
      </c>
      <c r="AT22" s="1696" t="s">
        <v>1334</v>
      </c>
      <c r="AX22" s="1317" t="s">
        <v>9487</v>
      </c>
      <c r="AY22" s="1317" t="s">
        <v>9487</v>
      </c>
      <c r="AZ22" s="2283"/>
      <c r="BA22" s="2286" t="s">
        <v>7175</v>
      </c>
      <c r="BB22" s="821" t="s">
        <v>12841</v>
      </c>
      <c r="BC22" s="2291" t="s">
        <v>12852</v>
      </c>
      <c r="BD22" s="2283" t="s">
        <v>12860</v>
      </c>
      <c r="BE22" s="1678" t="s">
        <v>12850</v>
      </c>
      <c r="BF22" s="1317" t="s">
        <v>13117</v>
      </c>
      <c r="BG22" s="1317" t="s">
        <v>8173</v>
      </c>
      <c r="BT22" s="1678" t="s">
        <v>65</v>
      </c>
      <c r="BU22" s="1317" t="s">
        <v>92</v>
      </c>
      <c r="BW22" s="1317" t="s">
        <v>92</v>
      </c>
      <c r="BY22" s="1317" t="s">
        <v>92</v>
      </c>
      <c r="CB22" s="1989" t="s">
        <v>8460</v>
      </c>
      <c r="CC22" s="1678" t="s">
        <v>8460</v>
      </c>
      <c r="CD22" s="1989" t="s">
        <v>12717</v>
      </c>
      <c r="CE22" s="1989" t="s">
        <v>8459</v>
      </c>
      <c r="CF22" s="1661" t="s">
        <v>9838</v>
      </c>
      <c r="CG22" s="1661" t="s">
        <v>10838</v>
      </c>
      <c r="CI22" s="1683" t="s">
        <v>6832</v>
      </c>
      <c r="CJ22" s="1678">
        <v>19</v>
      </c>
      <c r="CL22" s="1698" t="s">
        <v>2101</v>
      </c>
      <c r="CM22" s="1699" t="s">
        <v>4089</v>
      </c>
      <c r="CN22" s="1699" t="s">
        <v>4038</v>
      </c>
      <c r="CO22" s="1699" t="s">
        <v>6717</v>
      </c>
      <c r="CP22" s="1699" t="s">
        <v>7624</v>
      </c>
      <c r="CR22" s="1678" t="s">
        <v>9063</v>
      </c>
      <c r="CS22" s="1678" t="s">
        <v>7003</v>
      </c>
      <c r="CU22" s="1678" t="s">
        <v>12024</v>
      </c>
      <c r="CW22" s="2252">
        <v>530</v>
      </c>
      <c r="CX22" s="2149" t="s">
        <v>48</v>
      </c>
      <c r="DB22" s="1676"/>
      <c r="DE22" s="2560" t="s">
        <v>12942</v>
      </c>
      <c r="DF22" s="2563"/>
      <c r="DG22" s="2563">
        <v>2021</v>
      </c>
      <c r="DH22" s="2563">
        <v>317</v>
      </c>
    </row>
    <row r="23" spans="15:112" ht="15" x14ac:dyDescent="0.25">
      <c r="P23" s="2150" t="s">
        <v>8411</v>
      </c>
      <c r="AA23" s="740" t="s">
        <v>9554</v>
      </c>
      <c r="AC23" s="740" t="s">
        <v>12688</v>
      </c>
      <c r="AM23" s="1678" t="s">
        <v>668</v>
      </c>
      <c r="AN23" s="1678" t="s">
        <v>11986</v>
      </c>
      <c r="AO23" s="1678" t="s">
        <v>1333</v>
      </c>
      <c r="AQ23" s="2291" t="s">
        <v>12840</v>
      </c>
      <c r="AS23" s="2286"/>
      <c r="AT23" s="1696" t="s">
        <v>8754</v>
      </c>
      <c r="AX23" s="1678" t="s">
        <v>9465</v>
      </c>
      <c r="AY23" s="1317" t="s">
        <v>13128</v>
      </c>
      <c r="AZ23" s="2283"/>
      <c r="BA23" s="2286"/>
      <c r="BB23" s="821" t="s">
        <v>12842</v>
      </c>
      <c r="BC23" s="1678" t="s">
        <v>12853</v>
      </c>
      <c r="BD23" s="2283" t="s">
        <v>12861</v>
      </c>
      <c r="BE23" s="2283" t="s">
        <v>12851</v>
      </c>
      <c r="BF23" s="1317" t="s">
        <v>1333</v>
      </c>
      <c r="BG23" s="1317" t="s">
        <v>1197</v>
      </c>
      <c r="BT23" s="1678" t="s">
        <v>66</v>
      </c>
      <c r="BU23" s="1317" t="s">
        <v>93</v>
      </c>
      <c r="BW23" s="1317" t="s">
        <v>93</v>
      </c>
      <c r="BY23" s="1317" t="s">
        <v>93</v>
      </c>
      <c r="CB23" s="1989" t="s">
        <v>8461</v>
      </c>
      <c r="CC23" s="1678" t="s">
        <v>8461</v>
      </c>
      <c r="CD23" s="1989" t="s">
        <v>8698</v>
      </c>
      <c r="CE23" s="1989" t="s">
        <v>8460</v>
      </c>
      <c r="CF23" s="1661" t="s">
        <v>9839</v>
      </c>
      <c r="CG23" s="1661" t="s">
        <v>10839</v>
      </c>
      <c r="CI23" s="1683" t="s">
        <v>6833</v>
      </c>
      <c r="CJ23" s="1678">
        <v>20</v>
      </c>
      <c r="CL23" s="1698" t="s">
        <v>2102</v>
      </c>
      <c r="CM23" s="1699" t="s">
        <v>4090</v>
      </c>
      <c r="CN23" s="1699" t="s">
        <v>4037</v>
      </c>
      <c r="CO23" s="1699" t="s">
        <v>6716</v>
      </c>
      <c r="CP23" s="1699" t="s">
        <v>6499</v>
      </c>
      <c r="CR23" s="1678" t="s">
        <v>7973</v>
      </c>
      <c r="CS23" s="1678" t="s">
        <v>7978</v>
      </c>
      <c r="CU23" s="1678" t="s">
        <v>12025</v>
      </c>
      <c r="CW23" s="2252">
        <v>520</v>
      </c>
      <c r="CX23" s="2149" t="s">
        <v>48</v>
      </c>
      <c r="DB23" s="1676"/>
      <c r="DE23" s="2316" t="s">
        <v>12943</v>
      </c>
    </row>
    <row r="24" spans="15:112" ht="26.25" x14ac:dyDescent="0.25">
      <c r="P24" s="2150" t="s">
        <v>8412</v>
      </c>
      <c r="AA24" s="740" t="s">
        <v>13212</v>
      </c>
      <c r="AC24" s="740" t="s">
        <v>12689</v>
      </c>
      <c r="AM24" s="1678" t="s">
        <v>669</v>
      </c>
      <c r="AN24" s="1676" t="s">
        <v>12790</v>
      </c>
      <c r="AO24" s="1678" t="s">
        <v>1334</v>
      </c>
      <c r="AS24" s="2286"/>
      <c r="AT24" s="1678" t="s">
        <v>12857</v>
      </c>
      <c r="AX24" s="1678" t="s">
        <v>9466</v>
      </c>
      <c r="AY24" s="1317" t="s">
        <v>9490</v>
      </c>
      <c r="AZ24" s="2283"/>
      <c r="BA24" s="2286"/>
      <c r="BB24" s="2283" t="s">
        <v>12843</v>
      </c>
      <c r="BC24" s="1678" t="s">
        <v>12855</v>
      </c>
      <c r="BD24" s="2283" t="s">
        <v>12862</v>
      </c>
      <c r="BE24" s="1678" t="s">
        <v>12854</v>
      </c>
      <c r="BF24" s="1317" t="s">
        <v>1329</v>
      </c>
      <c r="BG24" s="1317" t="s">
        <v>1190</v>
      </c>
      <c r="BT24" s="1678" t="s">
        <v>67</v>
      </c>
      <c r="BU24" s="1317" t="s">
        <v>94</v>
      </c>
      <c r="BW24" s="1317" t="s">
        <v>94</v>
      </c>
      <c r="BY24" s="1317" t="s">
        <v>94</v>
      </c>
      <c r="CB24" s="1989" t="s">
        <v>8462</v>
      </c>
      <c r="CC24" s="1678" t="s">
        <v>8462</v>
      </c>
      <c r="CD24" s="1989" t="s">
        <v>8699</v>
      </c>
      <c r="CE24" s="1989" t="s">
        <v>8461</v>
      </c>
      <c r="CF24" s="1661" t="s">
        <v>9840</v>
      </c>
      <c r="CG24" s="1661" t="s">
        <v>10840</v>
      </c>
      <c r="CI24" s="1683" t="s">
        <v>6834</v>
      </c>
      <c r="CJ24" s="1678">
        <v>21</v>
      </c>
      <c r="CL24" s="1698" t="s">
        <v>2103</v>
      </c>
      <c r="CM24" s="1699" t="s">
        <v>4091</v>
      </c>
      <c r="CN24" s="1699" t="s">
        <v>4036</v>
      </c>
      <c r="CO24" s="1699" t="s">
        <v>6635</v>
      </c>
      <c r="CP24" s="1699" t="s">
        <v>6498</v>
      </c>
      <c r="CR24" s="1678" t="s">
        <v>8018</v>
      </c>
      <c r="CS24" s="1678" t="s">
        <v>6996</v>
      </c>
      <c r="CU24" s="1678" t="s">
        <v>12026</v>
      </c>
      <c r="CW24" s="2252">
        <v>791</v>
      </c>
      <c r="CX24" s="2150" t="s">
        <v>49</v>
      </c>
      <c r="DB24" s="1676"/>
      <c r="DE24" s="2316" t="s">
        <v>12944</v>
      </c>
    </row>
    <row r="25" spans="15:112" ht="15" x14ac:dyDescent="0.25">
      <c r="P25" s="2150" t="s">
        <v>9557</v>
      </c>
      <c r="AC25" s="740" t="s">
        <v>9564</v>
      </c>
      <c r="AM25" s="1678" t="s">
        <v>670</v>
      </c>
      <c r="AN25" s="1676" t="s">
        <v>13029</v>
      </c>
      <c r="AO25" s="1678" t="s">
        <v>8754</v>
      </c>
      <c r="AT25" s="1678" t="s">
        <v>12858</v>
      </c>
      <c r="AX25" s="1678" t="s">
        <v>9467</v>
      </c>
      <c r="AY25" s="1678" t="s">
        <v>9465</v>
      </c>
      <c r="BB25" s="2283"/>
      <c r="BC25" s="1678"/>
      <c r="BD25" s="2283"/>
      <c r="BE25" s="1678"/>
      <c r="BF25" s="1317" t="s">
        <v>12994</v>
      </c>
      <c r="BG25" s="1317" t="s">
        <v>1193</v>
      </c>
      <c r="BT25" s="1678" t="s">
        <v>68</v>
      </c>
      <c r="BU25" s="1317" t="s">
        <v>95</v>
      </c>
      <c r="BW25" s="1317" t="s">
        <v>95</v>
      </c>
      <c r="BY25" s="1317" t="s">
        <v>95</v>
      </c>
      <c r="CB25" s="1989" t="s">
        <v>8463</v>
      </c>
      <c r="CC25" s="1678" t="s">
        <v>8463</v>
      </c>
      <c r="CD25" s="1989" t="s">
        <v>8700</v>
      </c>
      <c r="CE25" s="1989" t="s">
        <v>8462</v>
      </c>
      <c r="CF25" s="1661" t="s">
        <v>9841</v>
      </c>
      <c r="CG25" s="1661" t="s">
        <v>10841</v>
      </c>
      <c r="CI25" s="1683" t="s">
        <v>6835</v>
      </c>
      <c r="CJ25" s="1678">
        <v>22</v>
      </c>
      <c r="CL25" s="1698" t="s">
        <v>2104</v>
      </c>
      <c r="CM25" s="1699" t="s">
        <v>4092</v>
      </c>
      <c r="CN25" s="1699" t="s">
        <v>4035</v>
      </c>
      <c r="CO25" s="1699" t="s">
        <v>6634</v>
      </c>
      <c r="CP25" s="1699" t="s">
        <v>6497</v>
      </c>
      <c r="CR25" s="1678" t="s">
        <v>8022</v>
      </c>
      <c r="CS25" s="1678" t="s">
        <v>7002</v>
      </c>
      <c r="CU25" s="1678" t="s">
        <v>12027</v>
      </c>
      <c r="CW25" s="2252">
        <v>792</v>
      </c>
      <c r="CX25" s="2150" t="s">
        <v>49</v>
      </c>
      <c r="DB25" s="1676"/>
      <c r="DE25" s="2316" t="s">
        <v>12945</v>
      </c>
    </row>
    <row r="26" spans="15:112" ht="15" x14ac:dyDescent="0.25">
      <c r="P26" s="2150" t="s">
        <v>9779</v>
      </c>
      <c r="AC26" s="740" t="s">
        <v>9565</v>
      </c>
      <c r="AM26" s="1678" t="s">
        <v>671</v>
      </c>
      <c r="AO26" s="1678"/>
      <c r="AT26" s="1678" t="s">
        <v>12859</v>
      </c>
      <c r="AX26" s="1678" t="s">
        <v>13011</v>
      </c>
      <c r="AY26" s="1678" t="s">
        <v>9466</v>
      </c>
      <c r="BF26" s="1678" t="s">
        <v>9465</v>
      </c>
      <c r="BG26" s="1678" t="s">
        <v>9496</v>
      </c>
      <c r="BT26" s="1678" t="s">
        <v>69</v>
      </c>
      <c r="BU26" s="1317" t="s">
        <v>96</v>
      </c>
      <c r="BW26" s="1317" t="s">
        <v>96</v>
      </c>
      <c r="BY26" s="1317" t="s">
        <v>96</v>
      </c>
      <c r="CB26" s="1989" t="s">
        <v>8464</v>
      </c>
      <c r="CC26" s="1678" t="s">
        <v>8464</v>
      </c>
      <c r="CD26" s="1989" t="s">
        <v>8701</v>
      </c>
      <c r="CE26" s="1989" t="s">
        <v>8463</v>
      </c>
      <c r="CF26" s="1661" t="s">
        <v>9842</v>
      </c>
      <c r="CG26" s="1661" t="s">
        <v>10842</v>
      </c>
      <c r="CI26" s="1683" t="s">
        <v>6836</v>
      </c>
      <c r="CJ26" s="1678">
        <v>23</v>
      </c>
      <c r="CL26" s="1698" t="s">
        <v>2105</v>
      </c>
      <c r="CM26" s="1699" t="s">
        <v>4093</v>
      </c>
      <c r="CN26" s="1699" t="s">
        <v>4034</v>
      </c>
      <c r="CO26" s="1699" t="s">
        <v>6633</v>
      </c>
      <c r="CP26" s="1699" t="s">
        <v>6496</v>
      </c>
      <c r="CR26" s="1678" t="s">
        <v>9062</v>
      </c>
      <c r="CS26" s="1678" t="s">
        <v>6995</v>
      </c>
      <c r="CU26" s="1678" t="s">
        <v>12028</v>
      </c>
      <c r="CW26" s="2252">
        <v>790</v>
      </c>
      <c r="CX26" s="2150" t="s">
        <v>49</v>
      </c>
      <c r="DB26" s="1676"/>
      <c r="DE26" s="2316" t="s">
        <v>12946</v>
      </c>
      <c r="DF26" s="1705"/>
    </row>
    <row r="27" spans="15:112" ht="15" x14ac:dyDescent="0.25">
      <c r="P27" s="2150" t="s">
        <v>9778</v>
      </c>
      <c r="AC27" s="740" t="s">
        <v>9566</v>
      </c>
      <c r="AX27" s="1678" t="s">
        <v>9468</v>
      </c>
      <c r="AY27" s="1678" t="s">
        <v>9467</v>
      </c>
      <c r="BF27" s="1678" t="s">
        <v>9466</v>
      </c>
      <c r="BG27" s="1678" t="s">
        <v>9497</v>
      </c>
      <c r="BT27" s="1678" t="s">
        <v>12750</v>
      </c>
      <c r="BU27" s="1317" t="s">
        <v>97</v>
      </c>
      <c r="BW27" s="1317" t="s">
        <v>97</v>
      </c>
      <c r="BY27" s="1317" t="s">
        <v>97</v>
      </c>
      <c r="CB27" s="1989" t="s">
        <v>8465</v>
      </c>
      <c r="CC27" s="1678" t="s">
        <v>8465</v>
      </c>
      <c r="CD27" s="1989" t="s">
        <v>8702</v>
      </c>
      <c r="CE27" s="1989" t="s">
        <v>8464</v>
      </c>
      <c r="CF27" s="1661" t="s">
        <v>9843</v>
      </c>
      <c r="CG27" s="1661" t="s">
        <v>10843</v>
      </c>
      <c r="CI27" s="1683" t="s">
        <v>6837</v>
      </c>
      <c r="CJ27" s="1678">
        <v>24</v>
      </c>
      <c r="CL27" s="1698" t="s">
        <v>2106</v>
      </c>
      <c r="CM27" s="1699" t="s">
        <v>4094</v>
      </c>
      <c r="CN27" s="1699" t="s">
        <v>4033</v>
      </c>
      <c r="CO27" s="1699" t="s">
        <v>6632</v>
      </c>
      <c r="CP27" s="1699" t="s">
        <v>6617</v>
      </c>
      <c r="CR27" s="1678" t="s">
        <v>9065</v>
      </c>
      <c r="CS27" s="1678" t="s">
        <v>7086</v>
      </c>
      <c r="CU27" s="1678" t="s">
        <v>12029</v>
      </c>
      <c r="CW27" s="2252">
        <v>783</v>
      </c>
      <c r="CX27" s="2150" t="s">
        <v>50</v>
      </c>
      <c r="DB27" s="1676"/>
      <c r="DE27" s="2316" t="s">
        <v>12947</v>
      </c>
      <c r="DF27" s="1705" t="s">
        <v>9281</v>
      </c>
    </row>
    <row r="28" spans="15:112" ht="15" x14ac:dyDescent="0.25">
      <c r="P28" s="2150" t="s">
        <v>9420</v>
      </c>
      <c r="AC28" s="740" t="s">
        <v>12890</v>
      </c>
      <c r="AX28" s="1678" t="s">
        <v>9470</v>
      </c>
      <c r="AY28" s="1678" t="s">
        <v>13011</v>
      </c>
      <c r="BF28" s="1678" t="s">
        <v>9467</v>
      </c>
      <c r="BG28" s="1678" t="s">
        <v>9498</v>
      </c>
      <c r="BT28" s="1678" t="s">
        <v>12757</v>
      </c>
      <c r="BU28" s="1317" t="s">
        <v>7775</v>
      </c>
      <c r="BW28" s="1317" t="s">
        <v>7775</v>
      </c>
      <c r="BY28" s="1317" t="s">
        <v>7775</v>
      </c>
      <c r="CB28" s="1989" t="s">
        <v>8466</v>
      </c>
      <c r="CC28" s="1678" t="s">
        <v>8466</v>
      </c>
      <c r="CD28" s="1989" t="s">
        <v>8706</v>
      </c>
      <c r="CE28" s="1989" t="s">
        <v>8465</v>
      </c>
      <c r="CF28" s="1661" t="s">
        <v>9844</v>
      </c>
      <c r="CG28" s="1661" t="s">
        <v>10844</v>
      </c>
      <c r="CI28" s="1683" t="s">
        <v>6838</v>
      </c>
      <c r="CJ28" s="1678">
        <v>25</v>
      </c>
      <c r="CL28" s="1698" t="s">
        <v>2107</v>
      </c>
      <c r="CM28" s="1699" t="s">
        <v>4095</v>
      </c>
      <c r="CN28" s="1699" t="s">
        <v>4032</v>
      </c>
      <c r="CO28" s="1699" t="s">
        <v>6631</v>
      </c>
      <c r="CP28" s="1699" t="s">
        <v>6495</v>
      </c>
      <c r="CR28" s="1678" t="s">
        <v>8019</v>
      </c>
      <c r="CS28" s="1678" t="s">
        <v>6997</v>
      </c>
      <c r="CU28" s="1678" t="s">
        <v>12030</v>
      </c>
      <c r="CW28" s="2252">
        <v>788</v>
      </c>
      <c r="CX28" s="2150" t="s">
        <v>50</v>
      </c>
      <c r="DB28" s="1676"/>
      <c r="DE28" s="2316" t="s">
        <v>12948</v>
      </c>
    </row>
    <row r="29" spans="15:112" ht="15" x14ac:dyDescent="0.25">
      <c r="P29" s="2150" t="s">
        <v>8963</v>
      </c>
      <c r="AC29" s="740" t="s">
        <v>9567</v>
      </c>
      <c r="AX29" s="1678" t="s">
        <v>11837</v>
      </c>
      <c r="AY29" s="1678" t="s">
        <v>9468</v>
      </c>
      <c r="BF29" s="1678" t="s">
        <v>13011</v>
      </c>
      <c r="BG29" s="1678" t="s">
        <v>9499</v>
      </c>
      <c r="BT29" s="1678" t="s">
        <v>70</v>
      </c>
      <c r="BU29" s="1317" t="s">
        <v>98</v>
      </c>
      <c r="BW29" s="1317" t="s">
        <v>98</v>
      </c>
      <c r="BY29" s="1317" t="s">
        <v>98</v>
      </c>
      <c r="CB29" s="1989" t="s">
        <v>8467</v>
      </c>
      <c r="CC29" s="1678" t="s">
        <v>8467</v>
      </c>
      <c r="CD29" s="1989" t="s">
        <v>8837</v>
      </c>
      <c r="CE29" s="1989" t="s">
        <v>8466</v>
      </c>
      <c r="CF29" s="1661" t="s">
        <v>9845</v>
      </c>
      <c r="CG29" s="1661" t="s">
        <v>10845</v>
      </c>
      <c r="CI29" s="1683" t="s">
        <v>6839</v>
      </c>
      <c r="CJ29" s="1678">
        <v>26</v>
      </c>
      <c r="CL29" s="1698" t="s">
        <v>2108</v>
      </c>
      <c r="CM29" s="1699" t="s">
        <v>4096</v>
      </c>
      <c r="CN29" s="1699" t="s">
        <v>4031</v>
      </c>
      <c r="CO29" s="1699" t="s">
        <v>6630</v>
      </c>
      <c r="CP29" s="1699" t="s">
        <v>6494</v>
      </c>
      <c r="CR29" s="1678" t="s">
        <v>7536</v>
      </c>
      <c r="CS29" s="1678" t="s">
        <v>7539</v>
      </c>
      <c r="CU29" s="1678" t="s">
        <v>12031</v>
      </c>
      <c r="CW29" s="2252">
        <v>784</v>
      </c>
      <c r="CX29" s="2150" t="s">
        <v>50</v>
      </c>
      <c r="DB29" s="1676"/>
      <c r="DE29" s="2316" t="s">
        <v>12949</v>
      </c>
    </row>
    <row r="30" spans="15:112" ht="15" x14ac:dyDescent="0.25">
      <c r="P30" s="2150" t="s">
        <v>12834</v>
      </c>
      <c r="AC30" s="740" t="s">
        <v>9568</v>
      </c>
      <c r="AX30" s="1678" t="s">
        <v>13269</v>
      </c>
      <c r="AY30" s="1678" t="s">
        <v>9470</v>
      </c>
      <c r="BF30" s="1678" t="s">
        <v>9468</v>
      </c>
      <c r="BG30" s="1678" t="s">
        <v>9500</v>
      </c>
      <c r="BT30" s="1678" t="s">
        <v>71</v>
      </c>
      <c r="BU30" s="1317" t="s">
        <v>7776</v>
      </c>
      <c r="BW30" s="1317" t="s">
        <v>7776</v>
      </c>
      <c r="BY30" s="1317" t="s">
        <v>7776</v>
      </c>
      <c r="CB30" s="1989" t="s">
        <v>8468</v>
      </c>
      <c r="CC30" s="1678" t="s">
        <v>8468</v>
      </c>
      <c r="CD30" s="1989" t="s">
        <v>8707</v>
      </c>
      <c r="CE30" s="1989" t="s">
        <v>8467</v>
      </c>
      <c r="CF30" s="1661" t="s">
        <v>9846</v>
      </c>
      <c r="CG30" s="1661" t="s">
        <v>10846</v>
      </c>
      <c r="CI30" s="1683" t="s">
        <v>6840</v>
      </c>
      <c r="CJ30" s="1678">
        <v>27</v>
      </c>
      <c r="CL30" s="1698" t="s">
        <v>2109</v>
      </c>
      <c r="CM30" s="1699" t="s">
        <v>4097</v>
      </c>
      <c r="CN30" s="1699" t="s">
        <v>4030</v>
      </c>
      <c r="CO30" s="1699" t="s">
        <v>6629</v>
      </c>
      <c r="CP30" s="1699" t="s">
        <v>6493</v>
      </c>
      <c r="CR30" s="1678" t="s">
        <v>8028</v>
      </c>
      <c r="CS30" s="1678" t="s">
        <v>7017</v>
      </c>
      <c r="CU30" s="1678" t="s">
        <v>12032</v>
      </c>
      <c r="CW30" s="2252">
        <v>781</v>
      </c>
      <c r="CX30" s="2150" t="s">
        <v>50</v>
      </c>
      <c r="DB30" s="1676"/>
      <c r="DE30" s="2316" t="s">
        <v>12950</v>
      </c>
    </row>
    <row r="31" spans="15:112" ht="15" x14ac:dyDescent="0.25">
      <c r="P31" s="2150" t="s">
        <v>12835</v>
      </c>
      <c r="AC31" s="740" t="s">
        <v>9569</v>
      </c>
      <c r="AX31" s="1678" t="s">
        <v>12892</v>
      </c>
      <c r="AY31" s="1678" t="s">
        <v>11837</v>
      </c>
      <c r="BF31" s="1678" t="s">
        <v>9469</v>
      </c>
      <c r="BG31" s="1678" t="s">
        <v>9501</v>
      </c>
      <c r="BT31" s="1678" t="s">
        <v>72</v>
      </c>
      <c r="BU31" s="1317" t="s">
        <v>7777</v>
      </c>
      <c r="BW31" s="1317" t="s">
        <v>7777</v>
      </c>
      <c r="BY31" s="1317" t="s">
        <v>7777</v>
      </c>
      <c r="CB31" s="1989" t="s">
        <v>8469</v>
      </c>
      <c r="CC31" s="1678" t="s">
        <v>8469</v>
      </c>
      <c r="CD31" s="1989" t="s">
        <v>8708</v>
      </c>
      <c r="CE31" s="1989" t="s">
        <v>8468</v>
      </c>
      <c r="CF31" s="1661" t="s">
        <v>9847</v>
      </c>
      <c r="CG31" s="1661" t="s">
        <v>10847</v>
      </c>
      <c r="CI31" s="1683" t="s">
        <v>6841</v>
      </c>
      <c r="CJ31" s="1678">
        <v>28</v>
      </c>
      <c r="CL31" s="1698" t="s">
        <v>2110</v>
      </c>
      <c r="CM31" s="1699" t="s">
        <v>4098</v>
      </c>
      <c r="CN31" s="1699" t="s">
        <v>4029</v>
      </c>
      <c r="CO31" s="1699" t="s">
        <v>6628</v>
      </c>
      <c r="CP31" s="1699" t="s">
        <v>6492</v>
      </c>
      <c r="CR31" s="1678" t="s">
        <v>8020</v>
      </c>
      <c r="CS31" s="1678" t="s">
        <v>6998</v>
      </c>
      <c r="CU31" s="1678" t="s">
        <v>12033</v>
      </c>
      <c r="CW31" s="2252">
        <v>786</v>
      </c>
      <c r="CX31" s="2150" t="s">
        <v>50</v>
      </c>
      <c r="DB31" s="1676"/>
      <c r="DE31" s="2316" t="s">
        <v>12951</v>
      </c>
    </row>
    <row r="32" spans="15:112" ht="15" x14ac:dyDescent="0.25">
      <c r="P32" s="2150" t="s">
        <v>8413</v>
      </c>
      <c r="AC32" s="740" t="s">
        <v>9570</v>
      </c>
      <c r="AX32" s="1678" t="s">
        <v>9471</v>
      </c>
      <c r="AY32" s="1678" t="s">
        <v>13269</v>
      </c>
      <c r="BF32" s="1678" t="s">
        <v>9470</v>
      </c>
      <c r="BG32" s="1678" t="s">
        <v>9502</v>
      </c>
      <c r="BT32" s="1678" t="s">
        <v>73</v>
      </c>
      <c r="BU32" s="1317" t="s">
        <v>99</v>
      </c>
      <c r="BW32" s="1317" t="s">
        <v>99</v>
      </c>
      <c r="BY32" s="1317" t="s">
        <v>99</v>
      </c>
      <c r="CB32" s="1989" t="s">
        <v>8470</v>
      </c>
      <c r="CC32" s="1678" t="s">
        <v>8470</v>
      </c>
      <c r="CD32" s="1989" t="s">
        <v>8709</v>
      </c>
      <c r="CE32" s="1989" t="s">
        <v>8469</v>
      </c>
      <c r="CF32" s="1661" t="s">
        <v>9848</v>
      </c>
      <c r="CG32" s="1661" t="s">
        <v>10848</v>
      </c>
      <c r="CI32" s="1683" t="s">
        <v>6842</v>
      </c>
      <c r="CJ32" s="1678">
        <v>29</v>
      </c>
      <c r="CL32" s="1698" t="s">
        <v>2111</v>
      </c>
      <c r="CM32" s="1699" t="s">
        <v>4099</v>
      </c>
      <c r="CN32" s="1699" t="s">
        <v>4028</v>
      </c>
      <c r="CO32" s="1699" t="s">
        <v>4068</v>
      </c>
      <c r="CP32" s="1699" t="s">
        <v>6616</v>
      </c>
      <c r="CR32" s="1678" t="s">
        <v>9061</v>
      </c>
      <c r="CS32" s="1678" t="s">
        <v>7004</v>
      </c>
      <c r="CU32" s="1678" t="s">
        <v>12034</v>
      </c>
      <c r="CW32" s="2252">
        <v>785</v>
      </c>
      <c r="CX32" s="2150" t="s">
        <v>50</v>
      </c>
      <c r="DB32" s="1676"/>
      <c r="DE32" s="2316" t="s">
        <v>12952</v>
      </c>
    </row>
    <row r="33" spans="16:110" ht="15" x14ac:dyDescent="0.25">
      <c r="P33" s="740" t="s">
        <v>13077</v>
      </c>
      <c r="AC33" s="740" t="s">
        <v>9571</v>
      </c>
      <c r="AX33" s="1678" t="s">
        <v>13124</v>
      </c>
      <c r="AY33" s="1678" t="s">
        <v>12892</v>
      </c>
      <c r="BF33" s="1678" t="s">
        <v>11837</v>
      </c>
      <c r="BG33" s="1678" t="s">
        <v>11845</v>
      </c>
      <c r="BT33" s="1678" t="s">
        <v>74</v>
      </c>
      <c r="BU33" s="1317" t="s">
        <v>100</v>
      </c>
      <c r="BW33" s="1317" t="s">
        <v>100</v>
      </c>
      <c r="BY33" s="1317" t="s">
        <v>100</v>
      </c>
      <c r="CB33" s="1989" t="s">
        <v>8471</v>
      </c>
      <c r="CC33" s="1678" t="s">
        <v>8471</v>
      </c>
      <c r="CD33" s="1989" t="s">
        <v>8710</v>
      </c>
      <c r="CE33" s="1989" t="s">
        <v>8470</v>
      </c>
      <c r="CF33" s="1661" t="s">
        <v>9849</v>
      </c>
      <c r="CG33" s="1661" t="s">
        <v>10849</v>
      </c>
      <c r="CI33" s="1683" t="s">
        <v>6843</v>
      </c>
      <c r="CJ33" s="1678">
        <v>30</v>
      </c>
      <c r="CL33" s="1698" t="s">
        <v>2112</v>
      </c>
      <c r="CM33" s="1699" t="s">
        <v>4100</v>
      </c>
      <c r="CN33" s="1699" t="s">
        <v>4027</v>
      </c>
      <c r="CO33" s="1699" t="s">
        <v>4067</v>
      </c>
      <c r="CP33" s="1699" t="s">
        <v>6491</v>
      </c>
      <c r="CR33" s="1678" t="s">
        <v>9064</v>
      </c>
      <c r="CS33" s="1678" t="s">
        <v>9174</v>
      </c>
      <c r="CU33" s="1678" t="s">
        <v>12035</v>
      </c>
      <c r="CW33" s="2252">
        <v>787</v>
      </c>
      <c r="CX33" s="2150" t="s">
        <v>50</v>
      </c>
      <c r="DB33" s="1676"/>
      <c r="DE33" s="2316" t="s">
        <v>12953</v>
      </c>
    </row>
    <row r="34" spans="16:110" ht="15" x14ac:dyDescent="0.25">
      <c r="AC34" s="740" t="s">
        <v>12</v>
      </c>
      <c r="AX34" s="1678" t="s">
        <v>13270</v>
      </c>
      <c r="AY34" s="1678" t="s">
        <v>9471</v>
      </c>
      <c r="BF34" s="1678" t="s">
        <v>13269</v>
      </c>
      <c r="BG34" s="1678" t="s">
        <v>13264</v>
      </c>
      <c r="BT34" s="1678" t="s">
        <v>75</v>
      </c>
      <c r="BU34" s="1317" t="s">
        <v>7778</v>
      </c>
      <c r="BW34" s="1317" t="s">
        <v>7778</v>
      </c>
      <c r="BY34" s="1317" t="s">
        <v>7778</v>
      </c>
      <c r="CB34" s="1989" t="s">
        <v>8472</v>
      </c>
      <c r="CC34" s="1678" t="s">
        <v>8472</v>
      </c>
      <c r="CD34" s="1989" t="s">
        <v>8711</v>
      </c>
      <c r="CE34" s="1989" t="s">
        <v>8471</v>
      </c>
      <c r="CF34" s="1661" t="s">
        <v>9850</v>
      </c>
      <c r="CG34" s="1661" t="s">
        <v>10850</v>
      </c>
      <c r="CI34" s="1683" t="s">
        <v>6844</v>
      </c>
      <c r="CJ34" s="1678">
        <v>31</v>
      </c>
      <c r="CL34" s="1698" t="s">
        <v>2113</v>
      </c>
      <c r="CM34" s="1699" t="s">
        <v>4101</v>
      </c>
      <c r="CN34" s="1699" t="s">
        <v>4026</v>
      </c>
      <c r="CO34" s="1699" t="s">
        <v>4950</v>
      </c>
      <c r="CP34" s="1699" t="s">
        <v>6790</v>
      </c>
      <c r="CR34" s="1678" t="s">
        <v>8017</v>
      </c>
      <c r="CS34" s="1678" t="s">
        <v>6994</v>
      </c>
      <c r="CU34" s="1678" t="s">
        <v>12036</v>
      </c>
      <c r="CW34" s="2252">
        <v>782</v>
      </c>
      <c r="CX34" s="2150" t="s">
        <v>50</v>
      </c>
      <c r="DB34" s="1676"/>
      <c r="DE34" s="2316" t="s">
        <v>12954</v>
      </c>
    </row>
    <row r="35" spans="16:110" ht="15" x14ac:dyDescent="0.25">
      <c r="P35" s="740" t="s">
        <v>12</v>
      </c>
      <c r="AC35" s="740" t="s">
        <v>9560</v>
      </c>
      <c r="AX35" s="1678" t="s">
        <v>13123</v>
      </c>
      <c r="AY35" s="1678" t="s">
        <v>9472</v>
      </c>
      <c r="BF35" s="1678" t="s">
        <v>12892</v>
      </c>
      <c r="BG35" s="1678" t="s">
        <v>9505</v>
      </c>
      <c r="BT35" s="1678" t="s">
        <v>76</v>
      </c>
      <c r="BU35" s="1317" t="s">
        <v>101</v>
      </c>
      <c r="BW35" s="1317" t="s">
        <v>101</v>
      </c>
      <c r="BY35" s="1317" t="s">
        <v>101</v>
      </c>
      <c r="CB35" s="1989" t="s">
        <v>8807</v>
      </c>
      <c r="CC35" s="1678" t="s">
        <v>8807</v>
      </c>
      <c r="CD35" s="1989" t="s">
        <v>9774</v>
      </c>
      <c r="CE35" s="1989" t="s">
        <v>8472</v>
      </c>
      <c r="CF35" s="1661" t="s">
        <v>9851</v>
      </c>
      <c r="CG35" s="1661" t="s">
        <v>10851</v>
      </c>
      <c r="CI35" s="1683" t="s">
        <v>6845</v>
      </c>
      <c r="CJ35" s="1678">
        <v>32</v>
      </c>
      <c r="CL35" s="1698" t="s">
        <v>2114</v>
      </c>
      <c r="CM35" s="1699" t="s">
        <v>4102</v>
      </c>
      <c r="CN35" s="1699" t="s">
        <v>4025</v>
      </c>
      <c r="CO35" s="1699" t="s">
        <v>4949</v>
      </c>
      <c r="CP35" s="1699" t="s">
        <v>6789</v>
      </c>
      <c r="CR35" s="1678" t="s">
        <v>9108</v>
      </c>
      <c r="CS35" s="1678" t="s">
        <v>7001</v>
      </c>
      <c r="CU35" s="1678" t="s">
        <v>12037</v>
      </c>
      <c r="CW35" s="2252">
        <v>813</v>
      </c>
      <c r="CX35" s="2150" t="s">
        <v>51</v>
      </c>
      <c r="DB35" s="1676"/>
      <c r="DE35" s="2316" t="s">
        <v>12955</v>
      </c>
    </row>
    <row r="36" spans="16:110" ht="15" x14ac:dyDescent="0.25">
      <c r="P36" s="740" t="s">
        <v>9419</v>
      </c>
      <c r="AC36" s="740" t="s">
        <v>9561</v>
      </c>
      <c r="AX36" s="1678" t="s">
        <v>9473</v>
      </c>
      <c r="AY36" s="1678" t="s">
        <v>13124</v>
      </c>
      <c r="BF36" s="1678" t="s">
        <v>9471</v>
      </c>
      <c r="BG36" s="1678" t="s">
        <v>9506</v>
      </c>
      <c r="BT36" s="1678" t="s">
        <v>7954</v>
      </c>
      <c r="BU36" s="1317" t="s">
        <v>7779</v>
      </c>
      <c r="BW36" s="1317" t="s">
        <v>7779</v>
      </c>
      <c r="BY36" s="1317" t="s">
        <v>7779</v>
      </c>
      <c r="CB36" s="1989" t="s">
        <v>8473</v>
      </c>
      <c r="CC36" s="1678" t="s">
        <v>8473</v>
      </c>
      <c r="CD36" s="1989" t="s">
        <v>9775</v>
      </c>
      <c r="CE36" s="1989" t="s">
        <v>8807</v>
      </c>
      <c r="CF36" s="1661" t="s">
        <v>9852</v>
      </c>
      <c r="CG36" s="1661" t="s">
        <v>10852</v>
      </c>
      <c r="CI36" s="1683" t="s">
        <v>6846</v>
      </c>
      <c r="CJ36" s="1678">
        <v>33</v>
      </c>
      <c r="CL36" s="1698" t="s">
        <v>2115</v>
      </c>
      <c r="CM36" s="1699" t="s">
        <v>4103</v>
      </c>
      <c r="CN36" s="1699" t="s">
        <v>4024</v>
      </c>
      <c r="CO36" s="1699" t="s">
        <v>4948</v>
      </c>
      <c r="CP36" s="1699" t="s">
        <v>6615</v>
      </c>
      <c r="CR36" s="1678" t="s">
        <v>8025</v>
      </c>
      <c r="CS36" s="1678" t="s">
        <v>7008</v>
      </c>
      <c r="CU36" s="1678" t="s">
        <v>12038</v>
      </c>
      <c r="CW36" s="2252">
        <v>812</v>
      </c>
      <c r="CX36" s="2150" t="s">
        <v>51</v>
      </c>
      <c r="DB36" s="1676"/>
      <c r="DE36" s="2316" t="s">
        <v>12956</v>
      </c>
    </row>
    <row r="37" spans="16:110" ht="26.25" x14ac:dyDescent="0.25">
      <c r="P37" s="740" t="s">
        <v>9556</v>
      </c>
      <c r="AC37" s="740" t="s">
        <v>9562</v>
      </c>
      <c r="AX37" s="2283" t="s">
        <v>12838</v>
      </c>
      <c r="AY37" s="1678" t="s">
        <v>13270</v>
      </c>
      <c r="BF37" s="1678" t="s">
        <v>9472</v>
      </c>
      <c r="BG37" s="1678" t="s">
        <v>9507</v>
      </c>
      <c r="BT37" s="1678" t="s">
        <v>8144</v>
      </c>
      <c r="BU37" s="1317" t="s">
        <v>102</v>
      </c>
      <c r="BW37" s="1317" t="s">
        <v>102</v>
      </c>
      <c r="BY37" s="1317" t="s">
        <v>102</v>
      </c>
      <c r="CB37" s="1989" t="s">
        <v>8474</v>
      </c>
      <c r="CC37" s="1678" t="s">
        <v>8474</v>
      </c>
      <c r="CD37" s="1989" t="s">
        <v>9776</v>
      </c>
      <c r="CE37" s="1989" t="s">
        <v>8473</v>
      </c>
      <c r="CF37" s="1661" t="s">
        <v>9853</v>
      </c>
      <c r="CG37" s="1661" t="s">
        <v>10853</v>
      </c>
      <c r="CI37" s="1683" t="s">
        <v>6847</v>
      </c>
      <c r="CJ37" s="1678">
        <v>34</v>
      </c>
      <c r="CL37" s="1698" t="s">
        <v>2116</v>
      </c>
      <c r="CM37" s="1699" t="s">
        <v>4104</v>
      </c>
      <c r="CN37" s="1699" t="s">
        <v>4023</v>
      </c>
      <c r="CO37" s="1699" t="s">
        <v>4947</v>
      </c>
      <c r="CP37" s="1699" t="s">
        <v>6614</v>
      </c>
      <c r="CR37" s="1678" t="s">
        <v>9068</v>
      </c>
      <c r="CS37" s="1678" t="s">
        <v>7011</v>
      </c>
      <c r="CU37" s="1678" t="s">
        <v>12039</v>
      </c>
      <c r="CW37" s="2252">
        <v>853</v>
      </c>
      <c r="CX37" s="2150" t="s">
        <v>51</v>
      </c>
      <c r="DB37" s="1676"/>
      <c r="DE37" s="2316" t="s">
        <v>12957</v>
      </c>
    </row>
    <row r="38" spans="16:110" ht="15" x14ac:dyDescent="0.25">
      <c r="P38" s="740" t="s">
        <v>8410</v>
      </c>
      <c r="AC38" s="740" t="s">
        <v>9563</v>
      </c>
      <c r="AX38" s="2283" t="s">
        <v>12839</v>
      </c>
      <c r="AY38" s="1678" t="s">
        <v>13122</v>
      </c>
      <c r="BF38" s="1678" t="s">
        <v>13124</v>
      </c>
      <c r="BG38" s="1678" t="s">
        <v>9508</v>
      </c>
      <c r="BT38" s="1678" t="s">
        <v>77</v>
      </c>
      <c r="BU38" s="1317" t="s">
        <v>103</v>
      </c>
      <c r="BW38" s="1317" t="s">
        <v>103</v>
      </c>
      <c r="BY38" s="1317" t="s">
        <v>103</v>
      </c>
      <c r="CB38" s="1989" t="s">
        <v>8475</v>
      </c>
      <c r="CC38" s="1678" t="s">
        <v>8475</v>
      </c>
      <c r="CD38" s="1989" t="s">
        <v>9777</v>
      </c>
      <c r="CE38" s="1989" t="s">
        <v>8474</v>
      </c>
      <c r="CF38" s="1661" t="s">
        <v>9854</v>
      </c>
      <c r="CG38" s="1661" t="s">
        <v>10854</v>
      </c>
      <c r="CI38" s="1683" t="s">
        <v>6848</v>
      </c>
      <c r="CJ38" s="1678">
        <v>35</v>
      </c>
      <c r="CL38" s="1698" t="s">
        <v>2117</v>
      </c>
      <c r="CM38" s="1699" t="s">
        <v>4105</v>
      </c>
      <c r="CN38" s="1699" t="s">
        <v>4022</v>
      </c>
      <c r="CO38" s="1699" t="s">
        <v>4946</v>
      </c>
      <c r="CP38" s="1699" t="s">
        <v>6613</v>
      </c>
      <c r="CR38" s="1678" t="s">
        <v>9096</v>
      </c>
      <c r="CS38" s="1678" t="s">
        <v>7037</v>
      </c>
      <c r="CU38" s="1678" t="s">
        <v>12040</v>
      </c>
      <c r="CW38" s="2252">
        <v>848</v>
      </c>
      <c r="CX38" s="2150" t="s">
        <v>51</v>
      </c>
      <c r="DB38" s="1676"/>
      <c r="DE38" s="2316" t="s">
        <v>12958</v>
      </c>
    </row>
    <row r="39" spans="16:110" ht="15" x14ac:dyDescent="0.25">
      <c r="P39" s="740" t="s">
        <v>8411</v>
      </c>
      <c r="AC39" s="740" t="s">
        <v>9564</v>
      </c>
      <c r="AX39" s="2283" t="s">
        <v>12841</v>
      </c>
      <c r="AY39" s="1678" t="s">
        <v>13123</v>
      </c>
      <c r="BF39" s="1678" t="s">
        <v>13270</v>
      </c>
      <c r="BG39" s="1678" t="s">
        <v>13129</v>
      </c>
      <c r="BT39" s="1678" t="s">
        <v>78</v>
      </c>
      <c r="BU39" s="1317" t="s">
        <v>104</v>
      </c>
      <c r="BW39" s="1317" t="s">
        <v>104</v>
      </c>
      <c r="BY39" s="1317" t="s">
        <v>104</v>
      </c>
      <c r="CB39" s="1989" t="s">
        <v>8476</v>
      </c>
      <c r="CC39" s="1678" t="s">
        <v>8476</v>
      </c>
      <c r="CD39" s="1989" t="s">
        <v>8729</v>
      </c>
      <c r="CE39" s="1989" t="s">
        <v>8475</v>
      </c>
      <c r="CF39" s="1661" t="s">
        <v>9855</v>
      </c>
      <c r="CG39" s="1661" t="s">
        <v>10855</v>
      </c>
      <c r="CI39" s="1683" t="s">
        <v>6849</v>
      </c>
      <c r="CJ39" s="1678">
        <v>36</v>
      </c>
      <c r="CL39" s="1698" t="s">
        <v>2118</v>
      </c>
      <c r="CM39" s="1699" t="s">
        <v>4106</v>
      </c>
      <c r="CN39" s="1699" t="s">
        <v>4021</v>
      </c>
      <c r="CO39" s="1699" t="s">
        <v>4945</v>
      </c>
      <c r="CP39" s="1699" t="s">
        <v>6612</v>
      </c>
      <c r="CR39" s="1678" t="s">
        <v>8026</v>
      </c>
      <c r="CS39" s="1678" t="s">
        <v>7010</v>
      </c>
      <c r="CU39" s="1678" t="s">
        <v>12041</v>
      </c>
      <c r="CW39" s="2252">
        <v>851</v>
      </c>
      <c r="CX39" s="2150" t="s">
        <v>51</v>
      </c>
      <c r="DB39" s="1676"/>
      <c r="DE39" s="2316" t="s">
        <v>12959</v>
      </c>
    </row>
    <row r="40" spans="16:110" ht="26.25" x14ac:dyDescent="0.25">
      <c r="P40" s="740" t="s">
        <v>8412</v>
      </c>
      <c r="AC40" s="740" t="s">
        <v>9565</v>
      </c>
      <c r="AX40" s="2283" t="s">
        <v>12843</v>
      </c>
      <c r="AY40" s="2283" t="s">
        <v>9473</v>
      </c>
      <c r="BF40" s="1678" t="s">
        <v>13122</v>
      </c>
      <c r="BG40" s="1678" t="s">
        <v>9511</v>
      </c>
      <c r="BT40" s="1678" t="s">
        <v>11854</v>
      </c>
      <c r="BU40" s="1317" t="s">
        <v>105</v>
      </c>
      <c r="BW40" s="1317" t="s">
        <v>105</v>
      </c>
      <c r="BY40" s="1317" t="s">
        <v>105</v>
      </c>
      <c r="CB40" s="1989" t="s">
        <v>8477</v>
      </c>
      <c r="CC40" s="1678" t="s">
        <v>8477</v>
      </c>
      <c r="CD40" s="1989" t="s">
        <v>8730</v>
      </c>
      <c r="CE40" s="1989" t="s">
        <v>8476</v>
      </c>
      <c r="CF40" s="1661" t="s">
        <v>9856</v>
      </c>
      <c r="CG40" s="1661" t="s">
        <v>10856</v>
      </c>
      <c r="CI40" s="1683" t="s">
        <v>6850</v>
      </c>
      <c r="CJ40" s="1678">
        <v>37</v>
      </c>
      <c r="CL40" s="1698" t="s">
        <v>2119</v>
      </c>
      <c r="CM40" s="1699" t="s">
        <v>4107</v>
      </c>
      <c r="CN40" s="1699" t="s">
        <v>4020</v>
      </c>
      <c r="CO40" s="1699" t="s">
        <v>4944</v>
      </c>
      <c r="CP40" s="1699" t="s">
        <v>6490</v>
      </c>
      <c r="CR40" s="1678" t="s">
        <v>9069</v>
      </c>
      <c r="CS40" s="1678" t="s">
        <v>7012</v>
      </c>
      <c r="CW40" s="2252">
        <v>847</v>
      </c>
      <c r="CX40" s="2150" t="s">
        <v>51</v>
      </c>
      <c r="DB40" s="1676"/>
      <c r="DE40" s="2316" t="s">
        <v>12960</v>
      </c>
    </row>
    <row r="41" spans="16:110" ht="26.25" x14ac:dyDescent="0.25">
      <c r="P41" s="740" t="s">
        <v>9557</v>
      </c>
      <c r="AC41" s="740" t="s">
        <v>9567</v>
      </c>
      <c r="AX41" s="2283"/>
      <c r="AY41" s="2283" t="s">
        <v>12838</v>
      </c>
      <c r="BF41" s="1678" t="s">
        <v>13123</v>
      </c>
      <c r="BG41" s="1678" t="s">
        <v>9512</v>
      </c>
      <c r="BT41" s="1678" t="s">
        <v>9743</v>
      </c>
      <c r="BU41" s="1317" t="s">
        <v>7780</v>
      </c>
      <c r="BW41" s="1317" t="s">
        <v>7780</v>
      </c>
      <c r="BY41" s="1317" t="s">
        <v>7780</v>
      </c>
      <c r="CB41" s="1989" t="s">
        <v>8478</v>
      </c>
      <c r="CC41" s="1678" t="s">
        <v>8478</v>
      </c>
      <c r="CD41" s="1989" t="s">
        <v>8840</v>
      </c>
      <c r="CE41" s="1989" t="s">
        <v>8477</v>
      </c>
      <c r="CF41" s="1661" t="s">
        <v>9857</v>
      </c>
      <c r="CG41" s="1661" t="s">
        <v>10857</v>
      </c>
      <c r="CI41" s="1683" t="s">
        <v>6851</v>
      </c>
      <c r="CJ41" s="1678">
        <v>38</v>
      </c>
      <c r="CL41" s="1698" t="s">
        <v>2120</v>
      </c>
      <c r="CM41" s="1699" t="s">
        <v>4108</v>
      </c>
      <c r="CN41" s="1699" t="s">
        <v>4019</v>
      </c>
      <c r="CO41" s="1699" t="s">
        <v>4943</v>
      </c>
      <c r="CP41" s="1699" t="s">
        <v>6489</v>
      </c>
      <c r="CR41" s="1678" t="s">
        <v>8024</v>
      </c>
      <c r="CS41" s="1678" t="s">
        <v>7006</v>
      </c>
      <c r="CW41" s="2252">
        <v>846</v>
      </c>
      <c r="CX41" s="2150" t="s">
        <v>51</v>
      </c>
      <c r="DB41" s="1676"/>
      <c r="DE41" s="2316" t="s">
        <v>12961</v>
      </c>
    </row>
    <row r="42" spans="16:110" ht="15" x14ac:dyDescent="0.25">
      <c r="P42" s="740" t="s">
        <v>9779</v>
      </c>
      <c r="AC42" s="740" t="s">
        <v>12890</v>
      </c>
      <c r="AX42" s="2283"/>
      <c r="AY42" s="2283" t="s">
        <v>12839</v>
      </c>
      <c r="BF42" s="2291" t="s">
        <v>9473</v>
      </c>
      <c r="BG42" s="1678" t="s">
        <v>9513</v>
      </c>
      <c r="BU42" s="1317" t="s">
        <v>106</v>
      </c>
      <c r="BW42" s="1317" t="s">
        <v>106</v>
      </c>
      <c r="BY42" s="1317" t="s">
        <v>106</v>
      </c>
      <c r="CB42" s="1989" t="s">
        <v>8479</v>
      </c>
      <c r="CC42" s="1678" t="s">
        <v>8479</v>
      </c>
      <c r="CD42" s="1678"/>
      <c r="CE42" s="1989" t="s">
        <v>8478</v>
      </c>
      <c r="CF42" s="1661" t="s">
        <v>9858</v>
      </c>
      <c r="CG42" s="1661" t="s">
        <v>10858</v>
      </c>
      <c r="CI42" s="1683" t="s">
        <v>6852</v>
      </c>
      <c r="CJ42" s="1678">
        <v>39</v>
      </c>
      <c r="CL42" s="1698" t="s">
        <v>2121</v>
      </c>
      <c r="CM42" s="1699" t="s">
        <v>4109</v>
      </c>
      <c r="CN42" s="1699" t="s">
        <v>4018</v>
      </c>
      <c r="CO42" s="1699" t="s">
        <v>4942</v>
      </c>
      <c r="CP42" s="1699" t="s">
        <v>6488</v>
      </c>
      <c r="CR42" s="1678" t="s">
        <v>8023</v>
      </c>
      <c r="CS42" s="1678" t="s">
        <v>7005</v>
      </c>
      <c r="CW42" s="2252">
        <v>852</v>
      </c>
      <c r="CX42" s="2150" t="s">
        <v>51</v>
      </c>
      <c r="DB42" s="1676"/>
      <c r="DE42" s="2316" t="s">
        <v>12962</v>
      </c>
    </row>
    <row r="43" spans="16:110" ht="15" x14ac:dyDescent="0.25">
      <c r="P43" s="740" t="s">
        <v>9778</v>
      </c>
      <c r="AC43" s="740" t="s">
        <v>9568</v>
      </c>
      <c r="AX43" s="2283"/>
      <c r="AY43" s="2283" t="s">
        <v>12841</v>
      </c>
      <c r="BF43" s="821" t="s">
        <v>9474</v>
      </c>
      <c r="BG43" s="821" t="s">
        <v>9514</v>
      </c>
      <c r="BU43" s="1317" t="s">
        <v>107</v>
      </c>
      <c r="BW43" s="1317" t="s">
        <v>107</v>
      </c>
      <c r="BY43" s="1317" t="s">
        <v>107</v>
      </c>
      <c r="CB43" s="1989" t="s">
        <v>8480</v>
      </c>
      <c r="CC43" s="1678" t="s">
        <v>8480</v>
      </c>
      <c r="CD43" s="1678"/>
      <c r="CE43" s="1989" t="s">
        <v>8479</v>
      </c>
      <c r="CF43" s="1661" t="s">
        <v>9859</v>
      </c>
      <c r="CG43" s="1661" t="s">
        <v>10859</v>
      </c>
      <c r="CI43" s="1683" t="s">
        <v>6853</v>
      </c>
      <c r="CJ43" s="1678">
        <v>40</v>
      </c>
      <c r="CL43" s="1698" t="s">
        <v>2122</v>
      </c>
      <c r="CM43" s="1699" t="s">
        <v>4110</v>
      </c>
      <c r="CN43" s="1699" t="s">
        <v>4017</v>
      </c>
      <c r="CO43" s="1699" t="s">
        <v>4941</v>
      </c>
      <c r="CP43" s="1699" t="s">
        <v>6487</v>
      </c>
      <c r="CR43" s="1678" t="s">
        <v>8027</v>
      </c>
      <c r="CS43" s="1678" t="s">
        <v>7013</v>
      </c>
      <c r="CW43" s="2252">
        <v>845</v>
      </c>
      <c r="CX43" s="2150" t="s">
        <v>51</v>
      </c>
      <c r="DB43" s="1676"/>
      <c r="DE43" s="2316" t="s">
        <v>12963</v>
      </c>
    </row>
    <row r="44" spans="16:110" ht="26.25" x14ac:dyDescent="0.25">
      <c r="P44" s="740" t="s">
        <v>9420</v>
      </c>
      <c r="AC44" s="740" t="s">
        <v>9569</v>
      </c>
      <c r="AX44" s="2283"/>
      <c r="AY44" s="2283" t="s">
        <v>12843</v>
      </c>
      <c r="BF44" s="821" t="s">
        <v>12839</v>
      </c>
      <c r="BG44" s="821" t="s">
        <v>12850</v>
      </c>
      <c r="BU44" s="1317" t="s">
        <v>108</v>
      </c>
      <c r="BW44" s="1317" t="s">
        <v>108</v>
      </c>
      <c r="BY44" s="1317" t="s">
        <v>108</v>
      </c>
      <c r="CB44" s="1989" t="s">
        <v>8481</v>
      </c>
      <c r="CC44" s="1678" t="s">
        <v>8481</v>
      </c>
      <c r="CD44" s="1678"/>
      <c r="CE44" s="1989" t="s">
        <v>8480</v>
      </c>
      <c r="CF44" s="1661" t="s">
        <v>9860</v>
      </c>
      <c r="CG44" s="1661" t="s">
        <v>10860</v>
      </c>
      <c r="CI44" s="1683" t="s">
        <v>6854</v>
      </c>
      <c r="CJ44" s="1678">
        <v>41</v>
      </c>
      <c r="CL44" s="1698" t="s">
        <v>2123</v>
      </c>
      <c r="CM44" s="1699" t="s">
        <v>4111</v>
      </c>
      <c r="CN44" s="1699" t="s">
        <v>4016</v>
      </c>
      <c r="CO44" s="1699" t="s">
        <v>4940</v>
      </c>
      <c r="CP44" s="1699" t="s">
        <v>6486</v>
      </c>
      <c r="CR44" s="1678" t="s">
        <v>9137</v>
      </c>
      <c r="CS44" s="1678" t="s">
        <v>7087</v>
      </c>
      <c r="CW44" s="2252">
        <v>841</v>
      </c>
      <c r="CX44" s="2150" t="s">
        <v>51</v>
      </c>
      <c r="DB44" s="1676"/>
      <c r="DE44" s="2316" t="s">
        <v>12964</v>
      </c>
    </row>
    <row r="45" spans="16:110" ht="15" x14ac:dyDescent="0.25">
      <c r="P45" s="740" t="s">
        <v>8963</v>
      </c>
      <c r="AC45" s="740" t="s">
        <v>9570</v>
      </c>
      <c r="AY45" s="2283"/>
      <c r="BF45" s="821" t="s">
        <v>12840</v>
      </c>
      <c r="BG45" s="821" t="s">
        <v>12851</v>
      </c>
      <c r="BU45" s="1317" t="s">
        <v>7781</v>
      </c>
      <c r="BW45" s="1317" t="s">
        <v>7781</v>
      </c>
      <c r="BY45" s="1317" t="s">
        <v>7781</v>
      </c>
      <c r="CB45" s="1989" t="s">
        <v>8482</v>
      </c>
      <c r="CC45" s="1678" t="s">
        <v>8482</v>
      </c>
      <c r="CD45" s="1678"/>
      <c r="CE45" s="1989" t="s">
        <v>8481</v>
      </c>
      <c r="CF45" s="1661" t="s">
        <v>9861</v>
      </c>
      <c r="CG45" s="1661" t="s">
        <v>10861</v>
      </c>
      <c r="CI45" s="1683" t="s">
        <v>6855</v>
      </c>
      <c r="CJ45" s="1678">
        <v>42</v>
      </c>
      <c r="CL45" s="1698" t="s">
        <v>2124</v>
      </c>
      <c r="CM45" s="1699" t="s">
        <v>4112</v>
      </c>
      <c r="CN45" s="1699" t="s">
        <v>4015</v>
      </c>
      <c r="CO45" s="1699" t="s">
        <v>4939</v>
      </c>
      <c r="CP45" s="1699" t="s">
        <v>6485</v>
      </c>
      <c r="CR45" s="1678" t="s">
        <v>9071</v>
      </c>
      <c r="CS45" s="1678" t="s">
        <v>7015</v>
      </c>
      <c r="CW45" s="2252">
        <v>802</v>
      </c>
      <c r="CX45" s="2150" t="s">
        <v>51</v>
      </c>
      <c r="DB45" s="1676"/>
      <c r="DE45" s="2316" t="s">
        <v>12965</v>
      </c>
    </row>
    <row r="46" spans="16:110" ht="25.5" x14ac:dyDescent="0.25">
      <c r="P46" s="740" t="s">
        <v>8964</v>
      </c>
      <c r="AC46" s="740" t="s">
        <v>9571</v>
      </c>
      <c r="AY46" s="2283"/>
      <c r="BF46" s="821" t="s">
        <v>12838</v>
      </c>
      <c r="BG46" s="821" t="s">
        <v>12854</v>
      </c>
      <c r="BU46" s="1317" t="s">
        <v>109</v>
      </c>
      <c r="BW46" s="1317" t="s">
        <v>109</v>
      </c>
      <c r="BY46" s="1317" t="s">
        <v>109</v>
      </c>
      <c r="CB46" s="1989" t="s">
        <v>8483</v>
      </c>
      <c r="CC46" s="1678" t="s">
        <v>8483</v>
      </c>
      <c r="CD46" s="1678"/>
      <c r="CE46" s="1989" t="s">
        <v>8482</v>
      </c>
      <c r="CF46" s="1661" t="s">
        <v>9862</v>
      </c>
      <c r="CG46" s="1661" t="s">
        <v>10862</v>
      </c>
      <c r="CI46" s="1683" t="s">
        <v>6856</v>
      </c>
      <c r="CJ46" s="1678">
        <v>43</v>
      </c>
      <c r="CL46" s="1698" t="s">
        <v>2125</v>
      </c>
      <c r="CM46" s="1699" t="s">
        <v>4113</v>
      </c>
      <c r="CN46" s="1699" t="s">
        <v>4014</v>
      </c>
      <c r="CO46" s="1699" t="s">
        <v>4938</v>
      </c>
      <c r="CP46" s="1699" t="s">
        <v>6484</v>
      </c>
      <c r="CR46" s="1678" t="s">
        <v>9070</v>
      </c>
      <c r="CS46" s="1678" t="s">
        <v>7014</v>
      </c>
      <c r="CW46" s="2252">
        <v>804</v>
      </c>
      <c r="CX46" s="2150" t="s">
        <v>51</v>
      </c>
      <c r="DB46" s="1676"/>
      <c r="DE46" s="2316" t="s">
        <v>12966</v>
      </c>
      <c r="DF46" s="1705"/>
    </row>
    <row r="47" spans="16:110" ht="15" x14ac:dyDescent="0.25">
      <c r="P47" s="740" t="s">
        <v>9558</v>
      </c>
      <c r="AC47" s="740" t="s">
        <v>12</v>
      </c>
      <c r="AY47" s="2283"/>
      <c r="BF47" s="821" t="s">
        <v>12841</v>
      </c>
      <c r="BG47" s="2291" t="s">
        <v>12852</v>
      </c>
      <c r="BU47" s="1317" t="s">
        <v>110</v>
      </c>
      <c r="BW47" s="1317" t="s">
        <v>110</v>
      </c>
      <c r="BY47" s="1317" t="s">
        <v>110</v>
      </c>
      <c r="CB47" s="1989" t="s">
        <v>8484</v>
      </c>
      <c r="CC47" s="1678" t="s">
        <v>8484</v>
      </c>
      <c r="CD47" s="1678"/>
      <c r="CE47" s="1989" t="s">
        <v>8483</v>
      </c>
      <c r="CF47" s="1661" t="s">
        <v>9863</v>
      </c>
      <c r="CG47" s="1661" t="s">
        <v>10863</v>
      </c>
      <c r="CI47" s="1683" t="s">
        <v>6857</v>
      </c>
      <c r="CJ47" s="1678">
        <v>44</v>
      </c>
      <c r="CL47" s="1698" t="s">
        <v>2126</v>
      </c>
      <c r="CM47" s="1699" t="s">
        <v>4114</v>
      </c>
      <c r="CN47" s="1699" t="s">
        <v>4013</v>
      </c>
      <c r="CO47" s="1699" t="s">
        <v>4937</v>
      </c>
      <c r="CP47" s="1699" t="s">
        <v>6483</v>
      </c>
      <c r="CR47" s="1678" t="s">
        <v>9128</v>
      </c>
      <c r="CS47" s="1678" t="s">
        <v>7070</v>
      </c>
      <c r="CW47" s="2252">
        <v>811</v>
      </c>
      <c r="CX47" s="2150" t="s">
        <v>51</v>
      </c>
      <c r="DB47" s="1676"/>
      <c r="DE47" s="2316" t="s">
        <v>12967</v>
      </c>
    </row>
    <row r="48" spans="16:110" ht="15" x14ac:dyDescent="0.25">
      <c r="P48" s="740" t="s">
        <v>9559</v>
      </c>
      <c r="AC48" s="740" t="s">
        <v>9560</v>
      </c>
      <c r="AY48" s="2283"/>
      <c r="BF48" s="821" t="s">
        <v>12842</v>
      </c>
      <c r="BG48" s="821" t="s">
        <v>12853</v>
      </c>
      <c r="BU48" s="1317" t="s">
        <v>111</v>
      </c>
      <c r="BW48" s="1317" t="s">
        <v>111</v>
      </c>
      <c r="BY48" s="1317" t="s">
        <v>111</v>
      </c>
      <c r="CB48" s="1989" t="s">
        <v>8808</v>
      </c>
      <c r="CC48" s="1678" t="s">
        <v>8808</v>
      </c>
      <c r="CD48" s="1678"/>
      <c r="CE48" s="1989" t="s">
        <v>8484</v>
      </c>
      <c r="CF48" s="1661" t="s">
        <v>9864</v>
      </c>
      <c r="CG48" s="1661" t="s">
        <v>10864</v>
      </c>
      <c r="CI48" s="1683" t="s">
        <v>6858</v>
      </c>
      <c r="CJ48" s="1678">
        <v>45</v>
      </c>
      <c r="CL48" s="1698" t="s">
        <v>2127</v>
      </c>
      <c r="CM48" s="1699" t="s">
        <v>4115</v>
      </c>
      <c r="CN48" s="1699" t="s">
        <v>4012</v>
      </c>
      <c r="CO48" s="1699" t="s">
        <v>4936</v>
      </c>
      <c r="CP48" s="1699" t="s">
        <v>6482</v>
      </c>
      <c r="CR48" s="1678" t="s">
        <v>9066</v>
      </c>
      <c r="CS48" s="1678" t="s">
        <v>7007</v>
      </c>
      <c r="CW48" s="2252">
        <v>824</v>
      </c>
      <c r="CX48" s="2150" t="s">
        <v>51</v>
      </c>
      <c r="DB48" s="1676"/>
      <c r="DE48" s="2316" t="s">
        <v>12968</v>
      </c>
    </row>
    <row r="49" spans="16:110" ht="25.5" x14ac:dyDescent="0.25">
      <c r="P49" s="740" t="s">
        <v>8413</v>
      </c>
      <c r="AC49" s="740" t="s">
        <v>9561</v>
      </c>
      <c r="AY49" s="2283"/>
      <c r="BF49" s="821" t="s">
        <v>12843</v>
      </c>
      <c r="BG49" s="2291" t="s">
        <v>12855</v>
      </c>
      <c r="BU49" s="1317" t="s">
        <v>112</v>
      </c>
      <c r="BW49" s="1317" t="s">
        <v>112</v>
      </c>
      <c r="BY49" s="1317" t="s">
        <v>112</v>
      </c>
      <c r="CB49" s="1989" t="s">
        <v>8485</v>
      </c>
      <c r="CC49" s="1678" t="s">
        <v>8485</v>
      </c>
      <c r="CD49" s="1678"/>
      <c r="CE49" s="1989" t="s">
        <v>8808</v>
      </c>
      <c r="CF49" s="1661" t="s">
        <v>9865</v>
      </c>
      <c r="CG49" s="1661" t="s">
        <v>10865</v>
      </c>
      <c r="CI49" s="1683" t="s">
        <v>6859</v>
      </c>
      <c r="CJ49" s="1678">
        <v>46</v>
      </c>
      <c r="CL49" s="1698" t="s">
        <v>2128</v>
      </c>
      <c r="CM49" s="1699" t="s">
        <v>4116</v>
      </c>
      <c r="CN49" s="1699" t="s">
        <v>4011</v>
      </c>
      <c r="CO49" s="1699" t="s">
        <v>4935</v>
      </c>
      <c r="CP49" s="1699" t="s">
        <v>6481</v>
      </c>
      <c r="CR49" s="1678" t="s">
        <v>9067</v>
      </c>
      <c r="CS49" s="1678" t="s">
        <v>7009</v>
      </c>
      <c r="CW49" s="2252">
        <v>821</v>
      </c>
      <c r="CX49" s="2150" t="s">
        <v>51</v>
      </c>
      <c r="DB49" s="1676"/>
      <c r="DE49" s="2316" t="s">
        <v>12969</v>
      </c>
    </row>
    <row r="50" spans="16:110" ht="15" x14ac:dyDescent="0.25">
      <c r="AC50" s="740" t="s">
        <v>9562</v>
      </c>
      <c r="AY50" s="2283"/>
      <c r="BF50" s="821"/>
      <c r="BG50" s="2291"/>
      <c r="BU50" s="1317" t="s">
        <v>7782</v>
      </c>
      <c r="BW50" s="1317" t="s">
        <v>7782</v>
      </c>
      <c r="BY50" s="1317" t="s">
        <v>7782</v>
      </c>
      <c r="CB50" s="1989" t="s">
        <v>8486</v>
      </c>
      <c r="CC50" s="1678" t="s">
        <v>8486</v>
      </c>
      <c r="CD50" s="1678"/>
      <c r="CE50" s="1989" t="s">
        <v>8485</v>
      </c>
      <c r="CF50" s="1661" t="s">
        <v>9866</v>
      </c>
      <c r="CG50" s="1661" t="s">
        <v>10866</v>
      </c>
      <c r="CI50" s="1683" t="s">
        <v>6860</v>
      </c>
      <c r="CJ50" s="1678">
        <v>47</v>
      </c>
      <c r="CL50" s="1698" t="s">
        <v>2129</v>
      </c>
      <c r="CM50" s="1699" t="s">
        <v>4117</v>
      </c>
      <c r="CN50" s="1699" t="s">
        <v>4010</v>
      </c>
      <c r="CO50" s="1699" t="s">
        <v>4934</v>
      </c>
      <c r="CP50" s="1699" t="s">
        <v>8204</v>
      </c>
      <c r="CR50" s="1678" t="s">
        <v>9374</v>
      </c>
      <c r="CS50" s="1678" t="s">
        <v>7016</v>
      </c>
      <c r="CW50" s="2252">
        <v>844</v>
      </c>
      <c r="CX50" s="2150" t="s">
        <v>51</v>
      </c>
      <c r="DB50" s="1676"/>
      <c r="DE50" s="2316" t="s">
        <v>12970</v>
      </c>
    </row>
    <row r="51" spans="16:110" ht="15" x14ac:dyDescent="0.25">
      <c r="AC51" s="740" t="s">
        <v>9563</v>
      </c>
      <c r="BF51" s="821"/>
      <c r="BG51" s="2291"/>
      <c r="BU51" s="1317" t="s">
        <v>7783</v>
      </c>
      <c r="BW51" s="1317" t="s">
        <v>7783</v>
      </c>
      <c r="BY51" s="1317" t="s">
        <v>7783</v>
      </c>
      <c r="CB51" s="1989" t="s">
        <v>8487</v>
      </c>
      <c r="CC51" s="1678" t="s">
        <v>8487</v>
      </c>
      <c r="CD51" s="1678"/>
      <c r="CE51" s="1989" t="s">
        <v>8486</v>
      </c>
      <c r="CF51" s="1661" t="s">
        <v>9867</v>
      </c>
      <c r="CG51" s="1661" t="s">
        <v>10867</v>
      </c>
      <c r="CI51" s="1683" t="s">
        <v>6861</v>
      </c>
      <c r="CJ51" s="1678">
        <v>48</v>
      </c>
      <c r="CL51" s="1698" t="s">
        <v>2130</v>
      </c>
      <c r="CM51" s="1699" t="s">
        <v>4118</v>
      </c>
      <c r="CN51" s="1699" t="s">
        <v>4009</v>
      </c>
      <c r="CO51" s="1699" t="s">
        <v>4933</v>
      </c>
      <c r="CP51" s="1699" t="s">
        <v>6480</v>
      </c>
      <c r="CR51" s="1678" t="s">
        <v>9074</v>
      </c>
      <c r="CS51" s="1678" t="s">
        <v>7016</v>
      </c>
      <c r="CW51" s="2252">
        <v>855</v>
      </c>
      <c r="CX51" s="2150" t="s">
        <v>51</v>
      </c>
      <c r="DB51" s="1676"/>
      <c r="DE51" s="2316" t="s">
        <v>12971</v>
      </c>
    </row>
    <row r="52" spans="16:110" ht="15" x14ac:dyDescent="0.25">
      <c r="P52" s="2150" t="s">
        <v>12</v>
      </c>
      <c r="AC52" s="740" t="s">
        <v>12688</v>
      </c>
      <c r="BU52" s="1317" t="s">
        <v>113</v>
      </c>
      <c r="BW52" s="1317" t="s">
        <v>113</v>
      </c>
      <c r="BY52" s="1317" t="s">
        <v>113</v>
      </c>
      <c r="CB52" s="1989" t="s">
        <v>8488</v>
      </c>
      <c r="CC52" s="1678" t="s">
        <v>8488</v>
      </c>
      <c r="CD52" s="1678"/>
      <c r="CE52" s="1989" t="s">
        <v>8487</v>
      </c>
      <c r="CF52" s="1661" t="s">
        <v>9868</v>
      </c>
      <c r="CG52" s="1661" t="s">
        <v>10868</v>
      </c>
      <c r="CI52" s="1683" t="s">
        <v>6862</v>
      </c>
      <c r="CJ52" s="1678">
        <v>49</v>
      </c>
      <c r="CL52" s="1698" t="s">
        <v>2131</v>
      </c>
      <c r="CM52" s="1699" t="s">
        <v>4119</v>
      </c>
      <c r="CN52" s="1699" t="s">
        <v>4008</v>
      </c>
      <c r="CO52" s="1699" t="s">
        <v>4932</v>
      </c>
      <c r="CP52" s="1699" t="s">
        <v>6479</v>
      </c>
      <c r="CR52" s="1678" t="s">
        <v>9072</v>
      </c>
      <c r="CS52" s="1678" t="s">
        <v>7019</v>
      </c>
      <c r="CW52" s="2252">
        <v>843</v>
      </c>
      <c r="CX52" s="2150" t="s">
        <v>51</v>
      </c>
      <c r="DB52" s="1676"/>
    </row>
    <row r="53" spans="16:110" ht="15" x14ac:dyDescent="0.25">
      <c r="P53" s="2150" t="s">
        <v>9556</v>
      </c>
      <c r="AC53" s="740" t="s">
        <v>12689</v>
      </c>
      <c r="BU53" s="1317" t="s">
        <v>114</v>
      </c>
      <c r="BW53" s="1317" t="s">
        <v>114</v>
      </c>
      <c r="BY53" s="1317" t="s">
        <v>114</v>
      </c>
      <c r="CB53" s="1989" t="s">
        <v>8489</v>
      </c>
      <c r="CC53" s="1678" t="s">
        <v>8489</v>
      </c>
      <c r="CD53" s="1678"/>
      <c r="CE53" s="1989" t="s">
        <v>8488</v>
      </c>
      <c r="CF53" s="1661" t="s">
        <v>9869</v>
      </c>
      <c r="CG53" s="1661" t="s">
        <v>10869</v>
      </c>
      <c r="CI53" s="1683" t="s">
        <v>6863</v>
      </c>
      <c r="CJ53" s="1678">
        <v>50</v>
      </c>
      <c r="CL53" s="1698" t="s">
        <v>2132</v>
      </c>
      <c r="CM53" s="1699" t="s">
        <v>4120</v>
      </c>
      <c r="CN53" s="1699" t="s">
        <v>4007</v>
      </c>
      <c r="CO53" s="1699" t="s">
        <v>4931</v>
      </c>
      <c r="CP53" s="1699" t="s">
        <v>6478</v>
      </c>
      <c r="CR53" s="1678" t="s">
        <v>7640</v>
      </c>
      <c r="CS53" s="1678" t="s">
        <v>7642</v>
      </c>
      <c r="CW53" s="2252">
        <v>842</v>
      </c>
      <c r="CX53" s="2150" t="s">
        <v>51</v>
      </c>
      <c r="DB53" s="1676"/>
    </row>
    <row r="54" spans="16:110" ht="15" x14ac:dyDescent="0.25">
      <c r="P54" s="2150" t="s">
        <v>8410</v>
      </c>
      <c r="AC54" s="740" t="s">
        <v>9564</v>
      </c>
      <c r="BU54" s="1317" t="s">
        <v>7784</v>
      </c>
      <c r="BW54" s="1317" t="s">
        <v>7784</v>
      </c>
      <c r="BY54" s="1317" t="s">
        <v>7784</v>
      </c>
      <c r="CB54" s="1989" t="s">
        <v>8490</v>
      </c>
      <c r="CC54" s="1678" t="s">
        <v>8490</v>
      </c>
      <c r="CD54" s="1678"/>
      <c r="CE54" s="1989" t="s">
        <v>8489</v>
      </c>
      <c r="CF54" s="1661" t="s">
        <v>9870</v>
      </c>
      <c r="CG54" s="1661" t="s">
        <v>10870</v>
      </c>
      <c r="CI54" s="1683" t="s">
        <v>6864</v>
      </c>
      <c r="CJ54" s="1678">
        <v>51</v>
      </c>
      <c r="CL54" s="1698" t="s">
        <v>2133</v>
      </c>
      <c r="CM54" s="1699" t="s">
        <v>4121</v>
      </c>
      <c r="CN54" s="1699" t="s">
        <v>4006</v>
      </c>
      <c r="CO54" s="1699" t="s">
        <v>4930</v>
      </c>
      <c r="CP54" s="1699" t="s">
        <v>6477</v>
      </c>
      <c r="CR54" s="1678" t="s">
        <v>9073</v>
      </c>
      <c r="CS54" s="1678" t="s">
        <v>7018</v>
      </c>
      <c r="CW54" s="2252">
        <v>854</v>
      </c>
      <c r="CX54" s="2150" t="s">
        <v>51</v>
      </c>
      <c r="DB54" s="1676"/>
    </row>
    <row r="55" spans="16:110" ht="15" x14ac:dyDescent="0.25">
      <c r="P55" s="2150" t="s">
        <v>8411</v>
      </c>
      <c r="AC55" s="740" t="s">
        <v>9565</v>
      </c>
      <c r="BU55" s="1317" t="s">
        <v>7785</v>
      </c>
      <c r="BW55" s="1317" t="s">
        <v>7785</v>
      </c>
      <c r="BY55" s="1317" t="s">
        <v>7785</v>
      </c>
      <c r="CB55" s="1989" t="s">
        <v>8491</v>
      </c>
      <c r="CC55" s="1678" t="s">
        <v>8491</v>
      </c>
      <c r="CD55" s="1678"/>
      <c r="CE55" s="1989" t="s">
        <v>8490</v>
      </c>
      <c r="CF55" s="1661" t="s">
        <v>9871</v>
      </c>
      <c r="CG55" s="1661" t="s">
        <v>10871</v>
      </c>
      <c r="CI55" s="1683" t="s">
        <v>6865</v>
      </c>
      <c r="CJ55" s="1678">
        <v>52</v>
      </c>
      <c r="CL55" s="1698" t="s">
        <v>2134</v>
      </c>
      <c r="CM55" s="1699" t="s">
        <v>4122</v>
      </c>
      <c r="CN55" s="1699" t="s">
        <v>4005</v>
      </c>
      <c r="CO55" s="1699" t="s">
        <v>4929</v>
      </c>
      <c r="CP55" s="1699" t="s">
        <v>6476</v>
      </c>
      <c r="CR55" s="1678" t="s">
        <v>8029</v>
      </c>
      <c r="CS55" s="1678" t="s">
        <v>7021</v>
      </c>
      <c r="CW55" s="2252">
        <v>805</v>
      </c>
      <c r="CX55" s="2150" t="s">
        <v>51</v>
      </c>
      <c r="DB55" s="1676"/>
    </row>
    <row r="56" spans="16:110" ht="15" x14ac:dyDescent="0.25">
      <c r="P56" s="2150" t="s">
        <v>8412</v>
      </c>
      <c r="AC56" s="740" t="s">
        <v>12890</v>
      </c>
      <c r="BU56" s="1317" t="s">
        <v>7786</v>
      </c>
      <c r="BW56" s="1317" t="s">
        <v>7786</v>
      </c>
      <c r="BY56" s="1317" t="s">
        <v>7786</v>
      </c>
      <c r="CB56" s="1989" t="s">
        <v>8492</v>
      </c>
      <c r="CC56" s="1678" t="s">
        <v>8492</v>
      </c>
      <c r="CD56" s="1678"/>
      <c r="CE56" s="1989" t="s">
        <v>8491</v>
      </c>
      <c r="CF56" s="1661" t="s">
        <v>9872</v>
      </c>
      <c r="CG56" s="1661" t="s">
        <v>10872</v>
      </c>
      <c r="CI56" s="1683" t="s">
        <v>6866</v>
      </c>
      <c r="CJ56" s="1678">
        <v>53</v>
      </c>
      <c r="CL56" s="1698" t="s">
        <v>2135</v>
      </c>
      <c r="CM56" s="1699" t="s">
        <v>4123</v>
      </c>
      <c r="CN56" s="1699" t="s">
        <v>4004</v>
      </c>
      <c r="CO56" s="1699" t="s">
        <v>4928</v>
      </c>
      <c r="CP56" s="1699" t="s">
        <v>6475</v>
      </c>
      <c r="CR56" s="1678" t="s">
        <v>9138</v>
      </c>
      <c r="CS56" s="1678" t="s">
        <v>7088</v>
      </c>
      <c r="CW56" s="2252">
        <v>800</v>
      </c>
      <c r="CX56" s="2150" t="s">
        <v>51</v>
      </c>
      <c r="DB56" s="1676"/>
    </row>
    <row r="57" spans="16:110" ht="15" x14ac:dyDescent="0.25">
      <c r="P57" s="2150" t="s">
        <v>9557</v>
      </c>
      <c r="AC57" s="740" t="s">
        <v>9567</v>
      </c>
      <c r="BU57" s="1317" t="s">
        <v>115</v>
      </c>
      <c r="BW57" s="1317" t="s">
        <v>115</v>
      </c>
      <c r="BY57" s="1317" t="s">
        <v>115</v>
      </c>
      <c r="CB57" s="1989" t="s">
        <v>8493</v>
      </c>
      <c r="CC57" s="1678" t="s">
        <v>8493</v>
      </c>
      <c r="CD57" s="1678"/>
      <c r="CE57" s="1989" t="s">
        <v>8492</v>
      </c>
      <c r="CF57" s="1661" t="s">
        <v>9873</v>
      </c>
      <c r="CG57" s="1661" t="s">
        <v>10873</v>
      </c>
      <c r="CI57" s="1683" t="s">
        <v>6867</v>
      </c>
      <c r="CJ57" s="1678">
        <v>54</v>
      </c>
      <c r="CL57" s="1698" t="s">
        <v>2136</v>
      </c>
      <c r="CM57" s="1699" t="s">
        <v>4124</v>
      </c>
      <c r="CN57" s="1699" t="s">
        <v>4003</v>
      </c>
      <c r="CO57" s="1699" t="s">
        <v>4927</v>
      </c>
      <c r="CP57" s="1699" t="s">
        <v>6474</v>
      </c>
      <c r="CR57" s="1678" t="s">
        <v>9075</v>
      </c>
      <c r="CS57" s="1678" t="s">
        <v>7020</v>
      </c>
      <c r="CW57" s="2252">
        <v>803</v>
      </c>
      <c r="CX57" s="2150" t="s">
        <v>51</v>
      </c>
      <c r="DB57" s="1676"/>
    </row>
    <row r="58" spans="16:110" ht="15" x14ac:dyDescent="0.25">
      <c r="P58" s="2150" t="s">
        <v>9779</v>
      </c>
      <c r="AC58" s="740" t="s">
        <v>9568</v>
      </c>
      <c r="BU58" s="1317" t="s">
        <v>7948</v>
      </c>
      <c r="BW58" s="1317" t="s">
        <v>7948</v>
      </c>
      <c r="BY58" s="1317" t="s">
        <v>7948</v>
      </c>
      <c r="CB58" s="1989" t="s">
        <v>8494</v>
      </c>
      <c r="CC58" s="1678" t="s">
        <v>8494</v>
      </c>
      <c r="CD58" s="1678"/>
      <c r="CE58" s="1989" t="s">
        <v>8493</v>
      </c>
      <c r="CF58" s="1661" t="s">
        <v>9874</v>
      </c>
      <c r="CG58" s="1661" t="s">
        <v>10874</v>
      </c>
      <c r="CI58" s="1683" t="s">
        <v>6868</v>
      </c>
      <c r="CJ58" s="1678">
        <v>55</v>
      </c>
      <c r="CL58" s="1698" t="s">
        <v>2137</v>
      </c>
      <c r="CM58" s="1699" t="s">
        <v>4125</v>
      </c>
      <c r="CN58" s="1699" t="s">
        <v>4002</v>
      </c>
      <c r="CO58" s="1699" t="s">
        <v>4926</v>
      </c>
      <c r="CP58" s="1699" t="s">
        <v>6473</v>
      </c>
      <c r="CR58" s="1678" t="s">
        <v>8240</v>
      </c>
      <c r="CS58" s="1678" t="s">
        <v>8237</v>
      </c>
      <c r="CW58" s="2252">
        <v>801</v>
      </c>
      <c r="CX58" s="2150" t="s">
        <v>51</v>
      </c>
      <c r="DB58" s="1676"/>
      <c r="DF58" s="1705"/>
    </row>
    <row r="59" spans="16:110" ht="15" x14ac:dyDescent="0.25">
      <c r="P59" s="2150" t="s">
        <v>9778</v>
      </c>
      <c r="AC59" s="740" t="s">
        <v>9569</v>
      </c>
      <c r="BU59" s="1317" t="s">
        <v>116</v>
      </c>
      <c r="BW59" s="1317" t="s">
        <v>116</v>
      </c>
      <c r="BY59" s="1317" t="s">
        <v>116</v>
      </c>
      <c r="CB59" s="1989" t="s">
        <v>8495</v>
      </c>
      <c r="CC59" s="1678" t="s">
        <v>8495</v>
      </c>
      <c r="CD59" s="1678"/>
      <c r="CE59" s="1989" t="s">
        <v>8494</v>
      </c>
      <c r="CF59" s="1661" t="s">
        <v>9875</v>
      </c>
      <c r="CG59" s="1661" t="s">
        <v>10875</v>
      </c>
      <c r="CI59" s="1683" t="s">
        <v>6869</v>
      </c>
      <c r="CJ59" s="1678">
        <v>56</v>
      </c>
      <c r="CL59" s="1698" t="s">
        <v>2138</v>
      </c>
      <c r="CM59" s="1699" t="s">
        <v>4126</v>
      </c>
      <c r="CN59" s="1699" t="s">
        <v>4001</v>
      </c>
      <c r="CO59" s="1699" t="s">
        <v>4925</v>
      </c>
      <c r="CP59" s="1699" t="s">
        <v>6472</v>
      </c>
      <c r="CR59" s="1678" t="s">
        <v>9077</v>
      </c>
      <c r="CS59" s="1678" t="s">
        <v>7022</v>
      </c>
      <c r="CW59" s="2252">
        <v>823</v>
      </c>
      <c r="CX59" s="2150" t="s">
        <v>51</v>
      </c>
      <c r="DB59" s="1676"/>
      <c r="DF59" s="1705"/>
    </row>
    <row r="60" spans="16:110" ht="15" x14ac:dyDescent="0.25">
      <c r="P60" s="2150" t="s">
        <v>9420</v>
      </c>
      <c r="AC60" s="740" t="s">
        <v>9570</v>
      </c>
      <c r="BU60" s="1317" t="s">
        <v>117</v>
      </c>
      <c r="BW60" s="1317" t="s">
        <v>117</v>
      </c>
      <c r="BY60" s="1317" t="s">
        <v>117</v>
      </c>
      <c r="CB60" s="1989" t="s">
        <v>8496</v>
      </c>
      <c r="CC60" s="1678" t="s">
        <v>8496</v>
      </c>
      <c r="CD60" s="1678"/>
      <c r="CE60" s="1989" t="s">
        <v>8495</v>
      </c>
      <c r="CF60" s="1661" t="s">
        <v>9876</v>
      </c>
      <c r="CG60" s="1661" t="s">
        <v>10876</v>
      </c>
      <c r="CI60" s="1683" t="s">
        <v>6870</v>
      </c>
      <c r="CJ60" s="1678">
        <v>57</v>
      </c>
      <c r="CL60" s="1698" t="s">
        <v>2139</v>
      </c>
      <c r="CM60" s="1699" t="s">
        <v>4127</v>
      </c>
      <c r="CN60" s="1699" t="s">
        <v>4000</v>
      </c>
      <c r="CO60" s="1699" t="s">
        <v>4924</v>
      </c>
      <c r="CP60" s="1699" t="s">
        <v>6471</v>
      </c>
      <c r="CR60" s="1678" t="s">
        <v>8154</v>
      </c>
      <c r="CS60" s="1678" t="s">
        <v>7251</v>
      </c>
      <c r="CW60" s="2252">
        <v>814</v>
      </c>
      <c r="CX60" s="2150" t="s">
        <v>51</v>
      </c>
      <c r="DB60" s="1676"/>
      <c r="DF60" s="1705"/>
    </row>
    <row r="61" spans="16:110" ht="15" x14ac:dyDescent="0.25">
      <c r="P61" s="2150" t="s">
        <v>8963</v>
      </c>
      <c r="AC61" s="740" t="s">
        <v>9571</v>
      </c>
      <c r="BU61" s="1317" t="s">
        <v>7949</v>
      </c>
      <c r="BW61" s="1317" t="s">
        <v>7949</v>
      </c>
      <c r="BY61" s="1317" t="s">
        <v>7949</v>
      </c>
      <c r="CB61" s="1989" t="s">
        <v>8497</v>
      </c>
      <c r="CC61" s="1678" t="s">
        <v>8497</v>
      </c>
      <c r="CD61" s="1678"/>
      <c r="CE61" s="1989" t="s">
        <v>8496</v>
      </c>
      <c r="CF61" s="1661" t="s">
        <v>9877</v>
      </c>
      <c r="CG61" s="1661" t="s">
        <v>10877</v>
      </c>
      <c r="CI61" s="1683" t="s">
        <v>6871</v>
      </c>
      <c r="CJ61" s="1678">
        <v>58</v>
      </c>
      <c r="CL61" s="1698" t="s">
        <v>2140</v>
      </c>
      <c r="CM61" s="1699" t="s">
        <v>4128</v>
      </c>
      <c r="CN61" s="1699" t="s">
        <v>3999</v>
      </c>
      <c r="CO61" s="1699" t="s">
        <v>4923</v>
      </c>
      <c r="CP61" s="1699" t="s">
        <v>6470</v>
      </c>
      <c r="CR61" s="1678" t="s">
        <v>9076</v>
      </c>
      <c r="CS61" s="1678" t="s">
        <v>7251</v>
      </c>
      <c r="CW61" s="2252">
        <v>160</v>
      </c>
      <c r="CX61" s="2150" t="s">
        <v>52</v>
      </c>
      <c r="DB61" s="1676"/>
      <c r="DF61" s="1705"/>
    </row>
    <row r="62" spans="16:110" ht="15" x14ac:dyDescent="0.25">
      <c r="P62" s="2150" t="s">
        <v>12834</v>
      </c>
      <c r="AC62" s="740"/>
      <c r="BU62" s="1317" t="s">
        <v>118</v>
      </c>
      <c r="BW62" s="1317" t="s">
        <v>118</v>
      </c>
      <c r="BY62" s="1317" t="s">
        <v>118</v>
      </c>
      <c r="CB62" s="1989" t="s">
        <v>8498</v>
      </c>
      <c r="CC62" s="1678" t="s">
        <v>8498</v>
      </c>
      <c r="CD62" s="1678"/>
      <c r="CE62" s="1989" t="s">
        <v>8497</v>
      </c>
      <c r="CF62" s="1661" t="s">
        <v>9878</v>
      </c>
      <c r="CG62" s="1661" t="s">
        <v>10878</v>
      </c>
      <c r="CI62" s="1683" t="s">
        <v>6872</v>
      </c>
      <c r="CJ62" s="1678">
        <v>59</v>
      </c>
      <c r="CL62" s="1698" t="s">
        <v>2141</v>
      </c>
      <c r="CM62" s="1699" t="s">
        <v>4129</v>
      </c>
      <c r="CN62" s="1699" t="s">
        <v>3998</v>
      </c>
      <c r="CO62" s="1699" t="s">
        <v>4922</v>
      </c>
      <c r="CP62" s="1699" t="s">
        <v>6469</v>
      </c>
      <c r="CR62" s="1678" t="s">
        <v>8884</v>
      </c>
      <c r="CS62" s="1678" t="s">
        <v>8868</v>
      </c>
      <c r="CW62" s="2252">
        <v>495</v>
      </c>
      <c r="CX62" s="2150" t="s">
        <v>7954</v>
      </c>
      <c r="DB62" s="1676"/>
      <c r="DF62" s="1705"/>
    </row>
    <row r="63" spans="16:110" ht="15" x14ac:dyDescent="0.25">
      <c r="P63" s="2150" t="s">
        <v>12835</v>
      </c>
      <c r="BU63" s="1317" t="s">
        <v>7787</v>
      </c>
      <c r="BW63" s="1317" t="s">
        <v>7787</v>
      </c>
      <c r="BY63" s="1317" t="s">
        <v>7787</v>
      </c>
      <c r="CB63" s="1989" t="s">
        <v>8499</v>
      </c>
      <c r="CC63" s="1678" t="s">
        <v>8499</v>
      </c>
      <c r="CD63" s="1678"/>
      <c r="CE63" s="1989" t="s">
        <v>8498</v>
      </c>
      <c r="CF63" s="1661" t="s">
        <v>9879</v>
      </c>
      <c r="CG63" s="1661" t="s">
        <v>10879</v>
      </c>
      <c r="CI63" s="1683" t="s">
        <v>6873</v>
      </c>
      <c r="CJ63" s="1678">
        <v>60</v>
      </c>
      <c r="CL63" s="1698" t="s">
        <v>2142</v>
      </c>
      <c r="CM63" s="1699" t="s">
        <v>4130</v>
      </c>
      <c r="CN63" s="1699" t="s">
        <v>3997</v>
      </c>
      <c r="CO63" s="1699" t="s">
        <v>4921</v>
      </c>
      <c r="CP63" s="1699" t="s">
        <v>6468</v>
      </c>
      <c r="CR63" s="1678" t="s">
        <v>8882</v>
      </c>
      <c r="CS63" s="1678" t="s">
        <v>8866</v>
      </c>
      <c r="CW63" s="2252">
        <v>491</v>
      </c>
      <c r="CX63" s="2150" t="s">
        <v>7954</v>
      </c>
      <c r="DB63" s="1676"/>
      <c r="DF63" s="1705"/>
    </row>
    <row r="64" spans="16:110" ht="15" x14ac:dyDescent="0.25">
      <c r="P64" s="2150" t="s">
        <v>8413</v>
      </c>
      <c r="BU64" s="1317" t="s">
        <v>119</v>
      </c>
      <c r="BW64" s="1317" t="s">
        <v>119</v>
      </c>
      <c r="BY64" s="1317" t="s">
        <v>119</v>
      </c>
      <c r="CB64" s="1989" t="s">
        <v>8500</v>
      </c>
      <c r="CC64" s="1678" t="s">
        <v>8500</v>
      </c>
      <c r="CD64" s="1678"/>
      <c r="CE64" s="1989" t="s">
        <v>8499</v>
      </c>
      <c r="CF64" s="1661" t="s">
        <v>9880</v>
      </c>
      <c r="CG64" s="1661" t="s">
        <v>10880</v>
      </c>
      <c r="CI64" s="1683" t="s">
        <v>6874</v>
      </c>
      <c r="CJ64" s="1678">
        <v>61</v>
      </c>
      <c r="CL64" s="1698" t="s">
        <v>2143</v>
      </c>
      <c r="CM64" s="1699" t="s">
        <v>4131</v>
      </c>
      <c r="CN64" s="1699" t="s">
        <v>3996</v>
      </c>
      <c r="CO64" s="1699" t="s">
        <v>4920</v>
      </c>
      <c r="CP64" s="1699" t="s">
        <v>6467</v>
      </c>
      <c r="CR64" s="1678" t="s">
        <v>8030</v>
      </c>
      <c r="CS64" s="1678" t="s">
        <v>7252</v>
      </c>
      <c r="CW64" s="2252">
        <v>494</v>
      </c>
      <c r="CX64" s="2150" t="s">
        <v>7954</v>
      </c>
      <c r="DB64" s="1676"/>
      <c r="DF64" s="1705"/>
    </row>
    <row r="65" spans="73:110" ht="15" x14ac:dyDescent="0.25">
      <c r="BU65" s="1317" t="s">
        <v>120</v>
      </c>
      <c r="BW65" s="1317" t="s">
        <v>120</v>
      </c>
      <c r="BY65" s="1317" t="s">
        <v>120</v>
      </c>
      <c r="CB65" s="1989" t="s">
        <v>8809</v>
      </c>
      <c r="CC65" s="1678" t="s">
        <v>8809</v>
      </c>
      <c r="CD65" s="1678"/>
      <c r="CE65" s="1989" t="s">
        <v>8500</v>
      </c>
      <c r="CF65" s="1661" t="s">
        <v>9881</v>
      </c>
      <c r="CG65" s="1661" t="s">
        <v>10881</v>
      </c>
      <c r="CI65" s="1683" t="s">
        <v>6875</v>
      </c>
      <c r="CJ65" s="1678">
        <v>62</v>
      </c>
      <c r="CL65" s="1698" t="s">
        <v>2144</v>
      </c>
      <c r="CM65" s="1699" t="s">
        <v>4132</v>
      </c>
      <c r="CN65" s="1699" t="s">
        <v>3995</v>
      </c>
      <c r="CO65" s="1699" t="s">
        <v>4919</v>
      </c>
      <c r="CP65" s="1699" t="s">
        <v>6466</v>
      </c>
      <c r="CR65" s="1678" t="s">
        <v>7759</v>
      </c>
      <c r="CS65" s="1678" t="s">
        <v>7764</v>
      </c>
      <c r="CW65" s="2252">
        <v>493</v>
      </c>
      <c r="CX65" s="2150" t="s">
        <v>7954</v>
      </c>
      <c r="DB65" s="1676"/>
      <c r="DF65" s="1705"/>
    </row>
    <row r="66" spans="73:110" ht="15" x14ac:dyDescent="0.25">
      <c r="BU66" s="1317" t="s">
        <v>121</v>
      </c>
      <c r="BW66" s="1317" t="s">
        <v>121</v>
      </c>
      <c r="BY66" s="1317" t="s">
        <v>121</v>
      </c>
      <c r="CB66" s="1989" t="s">
        <v>8501</v>
      </c>
      <c r="CC66" s="1678" t="s">
        <v>8501</v>
      </c>
      <c r="CD66" s="1678"/>
      <c r="CE66" s="1989" t="s">
        <v>8809</v>
      </c>
      <c r="CF66" s="1661" t="s">
        <v>9882</v>
      </c>
      <c r="CG66" s="1661" t="s">
        <v>10882</v>
      </c>
      <c r="CI66" s="1683" t="s">
        <v>6876</v>
      </c>
      <c r="CJ66" s="1678">
        <v>63</v>
      </c>
      <c r="CL66" s="1698" t="s">
        <v>2145</v>
      </c>
      <c r="CM66" s="1699" t="s">
        <v>4133</v>
      </c>
      <c r="CN66" s="1699" t="s">
        <v>3994</v>
      </c>
      <c r="CO66" s="1699" t="s">
        <v>4918</v>
      </c>
      <c r="CP66" s="1699" t="s">
        <v>6465</v>
      </c>
      <c r="CR66" s="1678" t="s">
        <v>7974</v>
      </c>
      <c r="CS66" s="1678" t="s">
        <v>7979</v>
      </c>
      <c r="CW66" s="2252">
        <v>490</v>
      </c>
      <c r="CX66" s="2150" t="s">
        <v>7954</v>
      </c>
      <c r="DB66" s="1676"/>
      <c r="DF66" s="1705"/>
    </row>
    <row r="67" spans="73:110" ht="15" x14ac:dyDescent="0.25">
      <c r="BU67" s="1317" t="s">
        <v>122</v>
      </c>
      <c r="BW67" s="1317" t="s">
        <v>122</v>
      </c>
      <c r="BY67" s="1317" t="s">
        <v>122</v>
      </c>
      <c r="CB67" s="1989" t="s">
        <v>8502</v>
      </c>
      <c r="CC67" s="1678" t="s">
        <v>8502</v>
      </c>
      <c r="CD67" s="1678"/>
      <c r="CE67" s="1989" t="s">
        <v>8501</v>
      </c>
      <c r="CF67" s="1661" t="s">
        <v>9883</v>
      </c>
      <c r="CG67" s="1661" t="s">
        <v>10883</v>
      </c>
      <c r="CI67" s="1683" t="s">
        <v>6877</v>
      </c>
      <c r="CJ67" s="1678">
        <v>64</v>
      </c>
      <c r="CL67" s="1698" t="s">
        <v>2146</v>
      </c>
      <c r="CM67" s="1699" t="s">
        <v>4134</v>
      </c>
      <c r="CN67" s="1699" t="s">
        <v>3993</v>
      </c>
      <c r="CO67" s="1699" t="s">
        <v>4917</v>
      </c>
      <c r="CP67" s="1699" t="s">
        <v>6464</v>
      </c>
      <c r="CR67" s="1678" t="s">
        <v>9078</v>
      </c>
      <c r="CS67" s="1678" t="s">
        <v>7089</v>
      </c>
      <c r="CW67" s="2252">
        <v>496</v>
      </c>
      <c r="CX67" s="2150" t="s">
        <v>7954</v>
      </c>
      <c r="DB67" s="1676"/>
      <c r="DF67" s="1705"/>
    </row>
    <row r="68" spans="73:110" ht="15" x14ac:dyDescent="0.25">
      <c r="BU68" s="1317" t="s">
        <v>123</v>
      </c>
      <c r="BW68" s="1317" t="s">
        <v>123</v>
      </c>
      <c r="BY68" s="1317" t="s">
        <v>123</v>
      </c>
      <c r="CB68" s="1989" t="s">
        <v>8503</v>
      </c>
      <c r="CC68" s="1678" t="s">
        <v>8503</v>
      </c>
      <c r="CD68" s="1678"/>
      <c r="CE68" s="1989" t="s">
        <v>8502</v>
      </c>
      <c r="CF68" s="1661" t="s">
        <v>9884</v>
      </c>
      <c r="CG68" s="1661" t="s">
        <v>10884</v>
      </c>
      <c r="CI68" s="1683" t="s">
        <v>6878</v>
      </c>
      <c r="CJ68" s="1678">
        <v>65</v>
      </c>
      <c r="CL68" s="1698" t="s">
        <v>2147</v>
      </c>
      <c r="CM68" s="1699" t="s">
        <v>4135</v>
      </c>
      <c r="CN68" s="1699" t="s">
        <v>3992</v>
      </c>
      <c r="CO68" s="1699" t="s">
        <v>4916</v>
      </c>
      <c r="CP68" s="1699" t="s">
        <v>6463</v>
      </c>
      <c r="CR68" s="1678" t="s">
        <v>8074</v>
      </c>
      <c r="CS68" s="1678" t="s">
        <v>8075</v>
      </c>
      <c r="CW68" s="2252">
        <v>497</v>
      </c>
      <c r="CX68" s="2150" t="s">
        <v>7954</v>
      </c>
      <c r="DB68" s="1676"/>
      <c r="DF68" s="1705"/>
    </row>
    <row r="69" spans="73:110" ht="15" x14ac:dyDescent="0.25">
      <c r="BU69" s="1317" t="s">
        <v>124</v>
      </c>
      <c r="BW69" s="1317" t="s">
        <v>124</v>
      </c>
      <c r="BY69" s="1317" t="s">
        <v>124</v>
      </c>
      <c r="CB69" s="1989" t="s">
        <v>8504</v>
      </c>
      <c r="CC69" s="1678" t="s">
        <v>8504</v>
      </c>
      <c r="CD69" s="1678"/>
      <c r="CE69" s="1989" t="s">
        <v>8503</v>
      </c>
      <c r="CF69" s="1661" t="s">
        <v>9885</v>
      </c>
      <c r="CG69" s="1661" t="s">
        <v>10885</v>
      </c>
      <c r="CI69" s="1683" t="s">
        <v>6879</v>
      </c>
      <c r="CJ69" s="1678">
        <v>66</v>
      </c>
      <c r="CL69" s="1698" t="s">
        <v>2148</v>
      </c>
      <c r="CM69" s="1699" t="s">
        <v>4136</v>
      </c>
      <c r="CN69" s="1699" t="s">
        <v>3991</v>
      </c>
      <c r="CO69" s="1699" t="s">
        <v>4915</v>
      </c>
      <c r="CP69" s="1699" t="s">
        <v>6462</v>
      </c>
      <c r="CR69" s="1678" t="s">
        <v>9080</v>
      </c>
      <c r="CS69" s="1678" t="s">
        <v>7023</v>
      </c>
      <c r="CW69" s="2252">
        <v>492</v>
      </c>
      <c r="CX69" s="2150" t="s">
        <v>7954</v>
      </c>
      <c r="DB69" s="1676"/>
      <c r="DF69" s="1705"/>
    </row>
    <row r="70" spans="73:110" ht="15" x14ac:dyDescent="0.25">
      <c r="BU70" s="1317" t="s">
        <v>125</v>
      </c>
      <c r="BW70" s="1317" t="s">
        <v>125</v>
      </c>
      <c r="BY70" s="1317" t="s">
        <v>125</v>
      </c>
      <c r="CB70" s="1989" t="s">
        <v>8505</v>
      </c>
      <c r="CC70" s="1678" t="s">
        <v>8505</v>
      </c>
      <c r="CD70" s="1678"/>
      <c r="CE70" s="1989" t="s">
        <v>8504</v>
      </c>
      <c r="CF70" s="1661" t="s">
        <v>9886</v>
      </c>
      <c r="CG70" s="1661" t="s">
        <v>10886</v>
      </c>
      <c r="CI70" s="1683" t="s">
        <v>6880</v>
      </c>
      <c r="CJ70" s="1678">
        <v>67</v>
      </c>
      <c r="CL70" s="1698" t="s">
        <v>2149</v>
      </c>
      <c r="CM70" s="1699" t="s">
        <v>4137</v>
      </c>
      <c r="CN70" s="1699" t="s">
        <v>3990</v>
      </c>
      <c r="CO70" s="1699" t="s">
        <v>4914</v>
      </c>
      <c r="CP70" s="1699" t="s">
        <v>6461</v>
      </c>
      <c r="CR70" s="1678" t="s">
        <v>8155</v>
      </c>
      <c r="CS70" s="1678" t="s">
        <v>8152</v>
      </c>
      <c r="CW70" s="2252">
        <v>110</v>
      </c>
      <c r="CX70" s="2150" t="s">
        <v>55</v>
      </c>
      <c r="DB70" s="1676"/>
      <c r="DF70" s="1705"/>
    </row>
    <row r="71" spans="73:110" ht="15" x14ac:dyDescent="0.25">
      <c r="BU71" s="1317" t="s">
        <v>126</v>
      </c>
      <c r="BW71" s="1317" t="s">
        <v>126</v>
      </c>
      <c r="BY71" s="1317" t="s">
        <v>126</v>
      </c>
      <c r="CB71" s="1989" t="s">
        <v>8506</v>
      </c>
      <c r="CC71" s="1678" t="s">
        <v>8506</v>
      </c>
      <c r="CD71" s="1678"/>
      <c r="CE71" s="1989" t="s">
        <v>8505</v>
      </c>
      <c r="CF71" s="1661" t="s">
        <v>9887</v>
      </c>
      <c r="CG71" s="1661" t="s">
        <v>10887</v>
      </c>
      <c r="CI71" s="1683" t="s">
        <v>6881</v>
      </c>
      <c r="CJ71" s="1678">
        <v>68</v>
      </c>
      <c r="CL71" s="1698" t="s">
        <v>2150</v>
      </c>
      <c r="CM71" s="1699" t="s">
        <v>4138</v>
      </c>
      <c r="CN71" s="1699" t="s">
        <v>3989</v>
      </c>
      <c r="CO71" s="1699" t="s">
        <v>4913</v>
      </c>
      <c r="CP71" s="1699" t="s">
        <v>6460</v>
      </c>
      <c r="CR71" s="1678" t="s">
        <v>9140</v>
      </c>
      <c r="CS71" s="1678" t="s">
        <v>7091</v>
      </c>
      <c r="CW71" s="2252">
        <v>403</v>
      </c>
      <c r="CX71" s="2150" t="s">
        <v>56</v>
      </c>
      <c r="DB71" s="1676"/>
      <c r="DF71" s="1705"/>
    </row>
    <row r="72" spans="73:110" ht="15" x14ac:dyDescent="0.25">
      <c r="BU72" s="1317" t="s">
        <v>127</v>
      </c>
      <c r="BW72" s="1317" t="s">
        <v>127</v>
      </c>
      <c r="BY72" s="1317" t="s">
        <v>127</v>
      </c>
      <c r="CB72" s="1989" t="s">
        <v>8507</v>
      </c>
      <c r="CC72" s="1678" t="s">
        <v>8507</v>
      </c>
      <c r="CD72" s="1678"/>
      <c r="CE72" s="1989" t="s">
        <v>8506</v>
      </c>
      <c r="CF72" s="1661" t="s">
        <v>9888</v>
      </c>
      <c r="CG72" s="1661" t="s">
        <v>10888</v>
      </c>
      <c r="CI72" s="1683" t="s">
        <v>6882</v>
      </c>
      <c r="CJ72" s="1678">
        <v>69</v>
      </c>
      <c r="CL72" s="1698" t="s">
        <v>2151</v>
      </c>
      <c r="CM72" s="1699" t="s">
        <v>4139</v>
      </c>
      <c r="CN72" s="1699" t="s">
        <v>3988</v>
      </c>
      <c r="CO72" s="1699" t="s">
        <v>4912</v>
      </c>
      <c r="CP72" s="1699" t="s">
        <v>6459</v>
      </c>
      <c r="CR72" s="1678" t="s">
        <v>9139</v>
      </c>
      <c r="CS72" s="1678" t="s">
        <v>7090</v>
      </c>
      <c r="CW72" s="2252">
        <v>385</v>
      </c>
      <c r="CX72" s="2150" t="s">
        <v>57</v>
      </c>
      <c r="DB72" s="1676"/>
      <c r="DF72" s="1705"/>
    </row>
    <row r="73" spans="73:110" ht="15" x14ac:dyDescent="0.25">
      <c r="BU73" s="1317" t="s">
        <v>128</v>
      </c>
      <c r="BW73" s="1317" t="s">
        <v>128</v>
      </c>
      <c r="BY73" s="1317" t="s">
        <v>128</v>
      </c>
      <c r="CB73" s="1989" t="s">
        <v>8508</v>
      </c>
      <c r="CC73" s="1678" t="s">
        <v>8508</v>
      </c>
      <c r="CD73" s="1678"/>
      <c r="CE73" s="1989" t="s">
        <v>8507</v>
      </c>
      <c r="CF73" s="1661" t="s">
        <v>9889</v>
      </c>
      <c r="CG73" s="1661" t="s">
        <v>10889</v>
      </c>
      <c r="CI73" s="1683" t="s">
        <v>6883</v>
      </c>
      <c r="CJ73" s="1678">
        <v>70</v>
      </c>
      <c r="CL73" s="1698" t="s">
        <v>2152</v>
      </c>
      <c r="CM73" s="1699" t="s">
        <v>4140</v>
      </c>
      <c r="CN73" s="1699" t="s">
        <v>3987</v>
      </c>
      <c r="CO73" s="1699" t="s">
        <v>4911</v>
      </c>
      <c r="CP73" s="1699" t="s">
        <v>6458</v>
      </c>
      <c r="CR73" s="1678" t="s">
        <v>9141</v>
      </c>
      <c r="CS73" s="1678" t="s">
        <v>7092</v>
      </c>
      <c r="CW73" s="2252">
        <v>384</v>
      </c>
      <c r="CX73" s="2150" t="s">
        <v>57</v>
      </c>
      <c r="DB73" s="1676"/>
      <c r="DF73" s="1705"/>
    </row>
    <row r="74" spans="73:110" ht="15" x14ac:dyDescent="0.25">
      <c r="BU74" s="1317" t="s">
        <v>129</v>
      </c>
      <c r="BW74" s="1317" t="s">
        <v>129</v>
      </c>
      <c r="BY74" s="1317" t="s">
        <v>129</v>
      </c>
      <c r="CB74" s="1989" t="s">
        <v>8509</v>
      </c>
      <c r="CC74" s="1678" t="s">
        <v>8509</v>
      </c>
      <c r="CD74" s="1678"/>
      <c r="CE74" s="1989" t="s">
        <v>8508</v>
      </c>
      <c r="CF74" s="1661" t="s">
        <v>9890</v>
      </c>
      <c r="CG74" s="1661" t="s">
        <v>10890</v>
      </c>
      <c r="CI74" s="1683" t="s">
        <v>6884</v>
      </c>
      <c r="CJ74" s="1678">
        <v>71</v>
      </c>
      <c r="CL74" s="1698" t="s">
        <v>2153</v>
      </c>
      <c r="CM74" s="1699" t="s">
        <v>4141</v>
      </c>
      <c r="CN74" s="1699" t="s">
        <v>3986</v>
      </c>
      <c r="CO74" s="1699" t="s">
        <v>4910</v>
      </c>
      <c r="CP74" s="1699" t="s">
        <v>6457</v>
      </c>
      <c r="CR74" s="1678" t="s">
        <v>8895</v>
      </c>
      <c r="CS74" s="1678" t="s">
        <v>8879</v>
      </c>
      <c r="CW74" s="2252">
        <v>383</v>
      </c>
      <c r="CX74" s="2150" t="s">
        <v>57</v>
      </c>
      <c r="DB74" s="1676"/>
      <c r="DF74" s="1705"/>
    </row>
    <row r="75" spans="73:110" ht="15" x14ac:dyDescent="0.25">
      <c r="BU75" s="1317" t="s">
        <v>7788</v>
      </c>
      <c r="BW75" s="1317" t="s">
        <v>7788</v>
      </c>
      <c r="BY75" s="1317" t="s">
        <v>7788</v>
      </c>
      <c r="CB75" s="1989" t="s">
        <v>8510</v>
      </c>
      <c r="CC75" s="1678" t="s">
        <v>8510</v>
      </c>
      <c r="CD75" s="1678"/>
      <c r="CE75" s="1989" t="s">
        <v>8509</v>
      </c>
      <c r="CF75" s="1661" t="s">
        <v>9891</v>
      </c>
      <c r="CG75" s="1661" t="s">
        <v>10891</v>
      </c>
      <c r="CI75" s="1683" t="s">
        <v>6885</v>
      </c>
      <c r="CJ75" s="1678">
        <v>72</v>
      </c>
      <c r="CL75" s="1698" t="s">
        <v>2154</v>
      </c>
      <c r="CM75" s="1699" t="s">
        <v>4142</v>
      </c>
      <c r="CN75" s="1699" t="s">
        <v>3985</v>
      </c>
      <c r="CO75" s="1699" t="s">
        <v>4909</v>
      </c>
      <c r="CP75" s="1699" t="s">
        <v>6456</v>
      </c>
      <c r="CR75" s="1678" t="s">
        <v>9142</v>
      </c>
      <c r="CS75" s="1678" t="s">
        <v>7390</v>
      </c>
      <c r="CW75" s="2252">
        <v>393</v>
      </c>
      <c r="CX75" s="2150" t="s">
        <v>57</v>
      </c>
      <c r="DB75" s="1676"/>
      <c r="DF75" s="1705"/>
    </row>
    <row r="76" spans="73:110" ht="15" x14ac:dyDescent="0.25">
      <c r="BU76" s="1317" t="s">
        <v>7789</v>
      </c>
      <c r="BW76" s="1317" t="s">
        <v>7789</v>
      </c>
      <c r="BY76" s="1317" t="s">
        <v>7789</v>
      </c>
      <c r="CB76" s="1989" t="s">
        <v>8511</v>
      </c>
      <c r="CC76" s="1678" t="s">
        <v>8511</v>
      </c>
      <c r="CD76" s="1678"/>
      <c r="CE76" s="1989" t="s">
        <v>8510</v>
      </c>
      <c r="CF76" s="1661" t="s">
        <v>9892</v>
      </c>
      <c r="CG76" s="1661" t="s">
        <v>10892</v>
      </c>
      <c r="CI76" s="1683" t="s">
        <v>6886</v>
      </c>
      <c r="CJ76" s="1678">
        <v>73</v>
      </c>
      <c r="CL76" s="1698" t="s">
        <v>2155</v>
      </c>
      <c r="CM76" s="1699" t="s">
        <v>4143</v>
      </c>
      <c r="CN76" s="1699" t="s">
        <v>3984</v>
      </c>
      <c r="CO76" s="1699" t="s">
        <v>4908</v>
      </c>
      <c r="CP76" s="1699" t="s">
        <v>6455</v>
      </c>
      <c r="CR76" s="1678" t="s">
        <v>9082</v>
      </c>
      <c r="CS76" s="1678" t="s">
        <v>7025</v>
      </c>
      <c r="CW76" s="2252">
        <v>394</v>
      </c>
      <c r="CX76" s="2150" t="s">
        <v>57</v>
      </c>
      <c r="DB76" s="1676"/>
      <c r="DF76" s="1705"/>
    </row>
    <row r="77" spans="73:110" ht="15" x14ac:dyDescent="0.25">
      <c r="BU77" s="1317" t="s">
        <v>7790</v>
      </c>
      <c r="BW77" s="1317" t="s">
        <v>7790</v>
      </c>
      <c r="BY77" s="1317" t="s">
        <v>7790</v>
      </c>
      <c r="CB77" s="1989" t="s">
        <v>8512</v>
      </c>
      <c r="CC77" s="1678" t="s">
        <v>8512</v>
      </c>
      <c r="CD77" s="1678"/>
      <c r="CE77" s="1989" t="s">
        <v>8511</v>
      </c>
      <c r="CF77" s="1661" t="s">
        <v>9893</v>
      </c>
      <c r="CG77" s="1661" t="s">
        <v>10893</v>
      </c>
      <c r="CI77" s="1683" t="s">
        <v>6887</v>
      </c>
      <c r="CJ77" s="1678">
        <v>74</v>
      </c>
      <c r="CL77" s="1698" t="s">
        <v>2156</v>
      </c>
      <c r="CM77" s="1699" t="s">
        <v>4144</v>
      </c>
      <c r="CN77" s="1699" t="s">
        <v>3983</v>
      </c>
      <c r="CO77" s="1699" t="s">
        <v>4907</v>
      </c>
      <c r="CP77" s="1699" t="s">
        <v>6454</v>
      </c>
      <c r="CR77" s="1678" t="s">
        <v>7641</v>
      </c>
      <c r="CS77" s="1678" t="s">
        <v>7643</v>
      </c>
      <c r="CW77" s="2252">
        <v>392</v>
      </c>
      <c r="CX77" s="2150" t="s">
        <v>57</v>
      </c>
      <c r="DB77" s="1676"/>
      <c r="DF77" s="1705"/>
    </row>
    <row r="78" spans="73:110" ht="15" x14ac:dyDescent="0.25">
      <c r="BU78" s="1317" t="s">
        <v>130</v>
      </c>
      <c r="BW78" s="1317" t="s">
        <v>130</v>
      </c>
      <c r="BY78" s="1317" t="s">
        <v>130</v>
      </c>
      <c r="CB78" s="1989" t="s">
        <v>8513</v>
      </c>
      <c r="CC78" s="1678" t="s">
        <v>8513</v>
      </c>
      <c r="CD78" s="1678"/>
      <c r="CE78" s="1989" t="s">
        <v>8512</v>
      </c>
      <c r="CF78" s="1661" t="s">
        <v>9894</v>
      </c>
      <c r="CG78" s="1661" t="s">
        <v>10894</v>
      </c>
      <c r="CI78" s="1683" t="s">
        <v>6888</v>
      </c>
      <c r="CJ78" s="1678">
        <v>75</v>
      </c>
      <c r="CL78" s="1698" t="s">
        <v>2157</v>
      </c>
      <c r="CM78" s="1699" t="s">
        <v>4145</v>
      </c>
      <c r="CN78" s="1699" t="s">
        <v>3982</v>
      </c>
      <c r="CO78" s="1699" t="s">
        <v>4906</v>
      </c>
      <c r="CP78" s="1699" t="s">
        <v>6453</v>
      </c>
      <c r="CR78" s="1678" t="s">
        <v>9083</v>
      </c>
      <c r="CS78" s="1678" t="s">
        <v>6859</v>
      </c>
      <c r="CW78" s="2252">
        <v>387</v>
      </c>
      <c r="CX78" s="2150" t="s">
        <v>57</v>
      </c>
      <c r="DB78" s="1676"/>
      <c r="DF78" s="1705"/>
    </row>
    <row r="79" spans="73:110" ht="15" x14ac:dyDescent="0.25">
      <c r="BU79" s="1317" t="s">
        <v>131</v>
      </c>
      <c r="BW79" s="1317" t="s">
        <v>131</v>
      </c>
      <c r="BY79" s="1317" t="s">
        <v>131</v>
      </c>
      <c r="CB79" s="1989" t="s">
        <v>8514</v>
      </c>
      <c r="CC79" s="1678" t="s">
        <v>8514</v>
      </c>
      <c r="CD79" s="1678"/>
      <c r="CE79" s="1989" t="s">
        <v>8513</v>
      </c>
      <c r="CF79" s="1661" t="s">
        <v>9895</v>
      </c>
      <c r="CG79" s="1661" t="s">
        <v>10895</v>
      </c>
      <c r="CI79" s="1683" t="s">
        <v>6889</v>
      </c>
      <c r="CJ79" s="1678">
        <v>76</v>
      </c>
      <c r="CL79" s="1698" t="s">
        <v>2158</v>
      </c>
      <c r="CM79" s="1699" t="s">
        <v>4146</v>
      </c>
      <c r="CN79" s="1699" t="s">
        <v>3981</v>
      </c>
      <c r="CO79" s="1699" t="s">
        <v>4905</v>
      </c>
      <c r="CP79" s="1699" t="s">
        <v>6452</v>
      </c>
      <c r="CR79" s="1678" t="s">
        <v>8065</v>
      </c>
      <c r="CS79" s="1678" t="s">
        <v>7130</v>
      </c>
      <c r="CW79" s="2252">
        <v>388</v>
      </c>
      <c r="CX79" s="2150" t="s">
        <v>57</v>
      </c>
      <c r="DB79" s="1676"/>
      <c r="DF79" s="1705"/>
    </row>
    <row r="80" spans="73:110" ht="15" x14ac:dyDescent="0.25">
      <c r="BU80" s="1317" t="s">
        <v>7791</v>
      </c>
      <c r="BW80" s="1317" t="s">
        <v>7791</v>
      </c>
      <c r="BY80" s="1317" t="s">
        <v>7791</v>
      </c>
      <c r="CB80" s="1989" t="s">
        <v>8515</v>
      </c>
      <c r="CC80" s="1678" t="s">
        <v>8515</v>
      </c>
      <c r="CD80" s="1678"/>
      <c r="CE80" s="1989" t="s">
        <v>8514</v>
      </c>
      <c r="CF80" s="1661" t="s">
        <v>9896</v>
      </c>
      <c r="CG80" s="1661" t="s">
        <v>10896</v>
      </c>
      <c r="CI80" s="1683" t="s">
        <v>6890</v>
      </c>
      <c r="CJ80" s="1678">
        <v>77</v>
      </c>
      <c r="CL80" s="1698" t="s">
        <v>2159</v>
      </c>
      <c r="CM80" s="1699" t="s">
        <v>4147</v>
      </c>
      <c r="CN80" s="1699" t="s">
        <v>3980</v>
      </c>
      <c r="CO80" s="1699" t="s">
        <v>4904</v>
      </c>
      <c r="CP80" s="1699" t="s">
        <v>6451</v>
      </c>
      <c r="CR80" s="1678" t="s">
        <v>9117</v>
      </c>
      <c r="CS80" s="1678" t="s">
        <v>6999</v>
      </c>
      <c r="CW80" s="2252">
        <v>396</v>
      </c>
      <c r="CX80" s="2150" t="s">
        <v>57</v>
      </c>
      <c r="DB80" s="1676"/>
      <c r="DF80" s="1705"/>
    </row>
    <row r="81" spans="73:110" ht="15" x14ac:dyDescent="0.25">
      <c r="BU81" s="1317" t="s">
        <v>7792</v>
      </c>
      <c r="BW81" s="1317" t="s">
        <v>7792</v>
      </c>
      <c r="BY81" s="1317" t="s">
        <v>7792</v>
      </c>
      <c r="CB81" s="1989" t="s">
        <v>8516</v>
      </c>
      <c r="CC81" s="1678" t="s">
        <v>8516</v>
      </c>
      <c r="CD81" s="1678"/>
      <c r="CE81" s="1989" t="s">
        <v>8515</v>
      </c>
      <c r="CF81" s="1661" t="s">
        <v>9897</v>
      </c>
      <c r="CG81" s="1661" t="s">
        <v>10897</v>
      </c>
      <c r="CI81" s="1683" t="s">
        <v>6891</v>
      </c>
      <c r="CJ81" s="1678">
        <v>78</v>
      </c>
      <c r="CL81" s="1698" t="s">
        <v>2160</v>
      </c>
      <c r="CM81" s="1699" t="s">
        <v>4148</v>
      </c>
      <c r="CN81" s="1699" t="s">
        <v>3979</v>
      </c>
      <c r="CO81" s="1699" t="s">
        <v>4903</v>
      </c>
      <c r="CP81" s="1699" t="s">
        <v>6450</v>
      </c>
      <c r="CR81" s="1678" t="s">
        <v>9085</v>
      </c>
      <c r="CS81" s="1678" t="s">
        <v>7027</v>
      </c>
      <c r="CW81" s="2252">
        <v>382</v>
      </c>
      <c r="CX81" s="2150" t="s">
        <v>57</v>
      </c>
      <c r="DB81" s="1676"/>
      <c r="DF81" s="1705"/>
    </row>
    <row r="82" spans="73:110" ht="15" x14ac:dyDescent="0.25">
      <c r="BU82" s="1317" t="s">
        <v>7793</v>
      </c>
      <c r="BW82" s="1317" t="s">
        <v>7793</v>
      </c>
      <c r="BY82" s="1317" t="s">
        <v>7793</v>
      </c>
      <c r="CB82" s="1989" t="s">
        <v>8517</v>
      </c>
      <c r="CC82" s="1678" t="s">
        <v>8517</v>
      </c>
      <c r="CD82" s="1678"/>
      <c r="CE82" s="1989" t="s">
        <v>8516</v>
      </c>
      <c r="CF82" s="1661" t="s">
        <v>9898</v>
      </c>
      <c r="CG82" s="1661" t="s">
        <v>10898</v>
      </c>
      <c r="CI82" s="1683" t="s">
        <v>6892</v>
      </c>
      <c r="CJ82" s="1678">
        <v>79</v>
      </c>
      <c r="CL82" s="1698" t="s">
        <v>2161</v>
      </c>
      <c r="CM82" s="1699" t="s">
        <v>4149</v>
      </c>
      <c r="CN82" s="1699" t="s">
        <v>3978</v>
      </c>
      <c r="CO82" s="1699" t="s">
        <v>4902</v>
      </c>
      <c r="CP82" s="1699" t="s">
        <v>6449</v>
      </c>
      <c r="CR82" s="1678" t="s">
        <v>7537</v>
      </c>
      <c r="CS82" s="1678" t="s">
        <v>7540</v>
      </c>
      <c r="CW82" s="2252">
        <v>360</v>
      </c>
      <c r="CX82" s="2150" t="s">
        <v>57</v>
      </c>
      <c r="DB82" s="1676"/>
      <c r="DF82" s="1705"/>
    </row>
    <row r="83" spans="73:110" ht="15" x14ac:dyDescent="0.25">
      <c r="BU83" s="1317" t="s">
        <v>132</v>
      </c>
      <c r="BW83" s="1317" t="s">
        <v>132</v>
      </c>
      <c r="BY83" s="1317" t="s">
        <v>132</v>
      </c>
      <c r="CB83" s="1989" t="s">
        <v>8518</v>
      </c>
      <c r="CC83" s="1678" t="s">
        <v>8518</v>
      </c>
      <c r="CD83" s="1678"/>
      <c r="CE83" s="1989" t="s">
        <v>8517</v>
      </c>
      <c r="CF83" s="1661" t="s">
        <v>9899</v>
      </c>
      <c r="CG83" s="1661" t="s">
        <v>10899</v>
      </c>
      <c r="CI83" s="1683" t="s">
        <v>6893</v>
      </c>
      <c r="CJ83" s="1678">
        <v>80</v>
      </c>
      <c r="CK83" s="1707"/>
      <c r="CL83" s="1698" t="s">
        <v>2162</v>
      </c>
      <c r="CM83" s="1699" t="s">
        <v>4150</v>
      </c>
      <c r="CN83" s="1699" t="s">
        <v>3977</v>
      </c>
      <c r="CO83" s="1699" t="s">
        <v>4901</v>
      </c>
      <c r="CP83" s="1699" t="s">
        <v>6448</v>
      </c>
      <c r="CR83" s="1678" t="s">
        <v>9088</v>
      </c>
      <c r="CS83" s="1678" t="s">
        <v>7031</v>
      </c>
      <c r="CW83" s="2252">
        <v>363</v>
      </c>
      <c r="CX83" s="2150" t="s">
        <v>57</v>
      </c>
      <c r="DB83" s="1676"/>
      <c r="DF83" s="1705"/>
    </row>
    <row r="84" spans="73:110" ht="15" x14ac:dyDescent="0.25">
      <c r="BU84" s="1317" t="s">
        <v>133</v>
      </c>
      <c r="BW84" s="1317" t="s">
        <v>133</v>
      </c>
      <c r="BY84" s="1317" t="s">
        <v>133</v>
      </c>
      <c r="CB84" s="1989" t="s">
        <v>8519</v>
      </c>
      <c r="CC84" s="1678" t="s">
        <v>8519</v>
      </c>
      <c r="CD84" s="1678"/>
      <c r="CE84" s="1989" t="s">
        <v>8518</v>
      </c>
      <c r="CF84" s="1661" t="s">
        <v>9900</v>
      </c>
      <c r="CG84" s="1661" t="s">
        <v>10900</v>
      </c>
      <c r="CI84" s="1683" t="s">
        <v>6894</v>
      </c>
      <c r="CJ84" s="1678">
        <v>81</v>
      </c>
      <c r="CK84" s="1708"/>
      <c r="CL84" s="1698" t="s">
        <v>2163</v>
      </c>
      <c r="CM84" s="1699" t="s">
        <v>4151</v>
      </c>
      <c r="CN84" s="1699" t="s">
        <v>3976</v>
      </c>
      <c r="CO84" s="1699" t="s">
        <v>4900</v>
      </c>
      <c r="CP84" s="1699" t="s">
        <v>6447</v>
      </c>
      <c r="CR84" s="1678" t="s">
        <v>9084</v>
      </c>
      <c r="CS84" s="1678" t="s">
        <v>7026</v>
      </c>
      <c r="CW84" s="2252">
        <v>364</v>
      </c>
      <c r="CX84" s="2150" t="s">
        <v>57</v>
      </c>
      <c r="DB84" s="1676"/>
      <c r="DF84" s="1705"/>
    </row>
    <row r="85" spans="73:110" ht="15" x14ac:dyDescent="0.25">
      <c r="BU85" s="1317" t="s">
        <v>134</v>
      </c>
      <c r="BW85" s="1317" t="s">
        <v>134</v>
      </c>
      <c r="BY85" s="1317" t="s">
        <v>134</v>
      </c>
      <c r="CB85" s="1989" t="s">
        <v>8520</v>
      </c>
      <c r="CC85" s="1678" t="s">
        <v>8520</v>
      </c>
      <c r="CD85" s="1678"/>
      <c r="CE85" s="1989" t="s">
        <v>8519</v>
      </c>
      <c r="CF85" s="1661" t="s">
        <v>9901</v>
      </c>
      <c r="CG85" s="1661" t="s">
        <v>10901</v>
      </c>
      <c r="CI85" s="1683" t="s">
        <v>6895</v>
      </c>
      <c r="CJ85" s="1678">
        <v>82</v>
      </c>
      <c r="CK85" s="1708"/>
      <c r="CL85" s="1698" t="s">
        <v>2164</v>
      </c>
      <c r="CM85" s="1699" t="s">
        <v>4152</v>
      </c>
      <c r="CN85" s="1699" t="s">
        <v>3975</v>
      </c>
      <c r="CO85" s="1699" t="s">
        <v>4899</v>
      </c>
      <c r="CP85" s="1699" t="s">
        <v>6446</v>
      </c>
      <c r="CR85" s="1678" t="s">
        <v>9375</v>
      </c>
      <c r="CS85" s="1678" t="s">
        <v>7541</v>
      </c>
      <c r="CW85" s="2252">
        <v>380</v>
      </c>
      <c r="CX85" s="2150" t="s">
        <v>57</v>
      </c>
      <c r="DB85" s="1676"/>
      <c r="DF85" s="1705"/>
    </row>
    <row r="86" spans="73:110" ht="15" x14ac:dyDescent="0.25">
      <c r="BU86" s="1317" t="s">
        <v>135</v>
      </c>
      <c r="BW86" s="1317" t="s">
        <v>135</v>
      </c>
      <c r="BY86" s="1317" t="s">
        <v>135</v>
      </c>
      <c r="CB86" s="1989" t="s">
        <v>8521</v>
      </c>
      <c r="CC86" s="1678" t="s">
        <v>8521</v>
      </c>
      <c r="CD86" s="1678"/>
      <c r="CE86" s="1989" t="s">
        <v>8520</v>
      </c>
      <c r="CF86" s="1661" t="s">
        <v>9902</v>
      </c>
      <c r="CG86" s="1661" t="s">
        <v>10902</v>
      </c>
      <c r="CI86" s="1683" t="s">
        <v>6896</v>
      </c>
      <c r="CJ86" s="1678">
        <v>83</v>
      </c>
      <c r="CK86" s="1708"/>
      <c r="CL86" s="1698" t="s">
        <v>2165</v>
      </c>
      <c r="CM86" s="1699" t="s">
        <v>4153</v>
      </c>
      <c r="CN86" s="1699" t="s">
        <v>3974</v>
      </c>
      <c r="CO86" s="1699" t="s">
        <v>4898</v>
      </c>
      <c r="CP86" s="1699" t="s">
        <v>6445</v>
      </c>
      <c r="CR86" s="1678" t="s">
        <v>8032</v>
      </c>
      <c r="CS86" s="1678" t="s">
        <v>7028</v>
      </c>
      <c r="CW86" s="2252">
        <v>365</v>
      </c>
      <c r="CX86" s="2150" t="s">
        <v>57</v>
      </c>
      <c r="DB86" s="1676"/>
      <c r="DF86" s="1705"/>
    </row>
    <row r="87" spans="73:110" ht="15" x14ac:dyDescent="0.25">
      <c r="BU87" s="1317" t="s">
        <v>136</v>
      </c>
      <c r="BW87" s="1317" t="s">
        <v>136</v>
      </c>
      <c r="BY87" s="1317" t="s">
        <v>136</v>
      </c>
      <c r="CB87" s="1989" t="s">
        <v>8810</v>
      </c>
      <c r="CC87" s="1678" t="s">
        <v>8810</v>
      </c>
      <c r="CD87" s="1678"/>
      <c r="CE87" s="1989" t="s">
        <v>8521</v>
      </c>
      <c r="CF87" s="1661" t="s">
        <v>9903</v>
      </c>
      <c r="CG87" s="1661" t="s">
        <v>10903</v>
      </c>
      <c r="CI87" s="1683" t="s">
        <v>6897</v>
      </c>
      <c r="CJ87" s="1678">
        <v>84</v>
      </c>
      <c r="CL87" s="1698" t="s">
        <v>2166</v>
      </c>
      <c r="CM87" s="1699" t="s">
        <v>4154</v>
      </c>
      <c r="CN87" s="1699" t="s">
        <v>3973</v>
      </c>
      <c r="CO87" s="1699" t="s">
        <v>4897</v>
      </c>
      <c r="CP87" s="1699" t="s">
        <v>6444</v>
      </c>
      <c r="CR87" s="1678" t="s">
        <v>7760</v>
      </c>
      <c r="CS87" s="1678" t="s">
        <v>7765</v>
      </c>
      <c r="CW87" s="2252">
        <v>362</v>
      </c>
      <c r="CX87" s="2150" t="s">
        <v>57</v>
      </c>
      <c r="DB87" s="1676"/>
      <c r="DF87" s="1705"/>
    </row>
    <row r="88" spans="73:110" ht="15" x14ac:dyDescent="0.25">
      <c r="BU88" s="1317" t="s">
        <v>7794</v>
      </c>
      <c r="BW88" s="1317" t="s">
        <v>7794</v>
      </c>
      <c r="BY88" s="1317" t="s">
        <v>7794</v>
      </c>
      <c r="CB88" s="1989" t="s">
        <v>8522</v>
      </c>
      <c r="CC88" s="1678" t="s">
        <v>8522</v>
      </c>
      <c r="CD88" s="1678"/>
      <c r="CE88" s="1989" t="s">
        <v>8810</v>
      </c>
      <c r="CF88" s="1661" t="s">
        <v>9904</v>
      </c>
      <c r="CG88" s="1661" t="s">
        <v>10904</v>
      </c>
      <c r="CI88" s="1683" t="s">
        <v>6898</v>
      </c>
      <c r="CJ88" s="1678">
        <v>85</v>
      </c>
      <c r="CL88" s="1698" t="s">
        <v>2167</v>
      </c>
      <c r="CM88" s="1699" t="s">
        <v>4155</v>
      </c>
      <c r="CN88" s="1699" t="s">
        <v>3972</v>
      </c>
      <c r="CO88" s="1699" t="s">
        <v>4896</v>
      </c>
      <c r="CP88" s="1699" t="s">
        <v>6443</v>
      </c>
      <c r="CR88" s="1678" t="s">
        <v>9087</v>
      </c>
      <c r="CS88" s="1678" t="s">
        <v>7030</v>
      </c>
      <c r="CW88" s="2252">
        <v>391</v>
      </c>
      <c r="CX88" s="2150" t="s">
        <v>57</v>
      </c>
      <c r="DB88" s="1676"/>
      <c r="DF88" s="1705"/>
    </row>
    <row r="89" spans="73:110" ht="15" x14ac:dyDescent="0.25">
      <c r="BU89" s="1317" t="s">
        <v>137</v>
      </c>
      <c r="BW89" s="1317" t="s">
        <v>137</v>
      </c>
      <c r="BY89" s="1317" t="s">
        <v>137</v>
      </c>
      <c r="CB89" s="1989" t="s">
        <v>8523</v>
      </c>
      <c r="CC89" s="1678" t="s">
        <v>8523</v>
      </c>
      <c r="CD89" s="1678"/>
      <c r="CE89" s="1989" t="s">
        <v>8522</v>
      </c>
      <c r="CF89" s="1661" t="s">
        <v>9905</v>
      </c>
      <c r="CG89" s="1661" t="s">
        <v>10905</v>
      </c>
      <c r="CI89" s="1683" t="s">
        <v>6899</v>
      </c>
      <c r="CJ89" s="1678">
        <v>86</v>
      </c>
      <c r="CL89" s="1698" t="s">
        <v>2168</v>
      </c>
      <c r="CM89" s="1699" t="s">
        <v>4156</v>
      </c>
      <c r="CN89" s="1699" t="s">
        <v>3971</v>
      </c>
      <c r="CO89" s="1699" t="s">
        <v>4895</v>
      </c>
      <c r="CP89" s="1699" t="s">
        <v>6442</v>
      </c>
      <c r="CR89" s="1678" t="s">
        <v>8033</v>
      </c>
      <c r="CS89" s="1678" t="s">
        <v>7029</v>
      </c>
      <c r="CW89" s="2252">
        <v>361</v>
      </c>
      <c r="CX89" s="2150" t="s">
        <v>57</v>
      </c>
      <c r="DB89" s="1676"/>
      <c r="DF89" s="1705"/>
    </row>
    <row r="90" spans="73:110" ht="15" x14ac:dyDescent="0.25">
      <c r="BU90" s="1317" t="s">
        <v>7795</v>
      </c>
      <c r="BW90" s="1317" t="s">
        <v>7795</v>
      </c>
      <c r="BY90" s="1317" t="s">
        <v>7795</v>
      </c>
      <c r="CB90" s="1989" t="s">
        <v>8524</v>
      </c>
      <c r="CC90" s="1678" t="s">
        <v>8524</v>
      </c>
      <c r="CD90" s="1678"/>
      <c r="CE90" s="1989" t="s">
        <v>8523</v>
      </c>
      <c r="CF90" s="1661" t="s">
        <v>9906</v>
      </c>
      <c r="CG90" s="1661" t="s">
        <v>10906</v>
      </c>
      <c r="CI90" s="1683" t="s">
        <v>6900</v>
      </c>
      <c r="CJ90" s="1678">
        <v>87</v>
      </c>
      <c r="CL90" s="1698" t="s">
        <v>2169</v>
      </c>
      <c r="CM90" s="1699" t="s">
        <v>4157</v>
      </c>
      <c r="CN90" s="1699" t="s">
        <v>3970</v>
      </c>
      <c r="CO90" s="1699" t="s">
        <v>4894</v>
      </c>
      <c r="CP90" s="1699" t="s">
        <v>6441</v>
      </c>
      <c r="CR90" s="1678" t="s">
        <v>8885</v>
      </c>
      <c r="CS90" s="1678" t="s">
        <v>8869</v>
      </c>
      <c r="CW90" s="2252">
        <v>395</v>
      </c>
      <c r="CX90" s="2150" t="s">
        <v>57</v>
      </c>
      <c r="DB90" s="1676"/>
      <c r="DF90" s="1705"/>
    </row>
    <row r="91" spans="73:110" ht="15" x14ac:dyDescent="0.25">
      <c r="BU91" s="1317" t="s">
        <v>138</v>
      </c>
      <c r="BW91" s="1317" t="s">
        <v>138</v>
      </c>
      <c r="BY91" s="1317" t="s">
        <v>138</v>
      </c>
      <c r="CB91" s="1989" t="s">
        <v>8525</v>
      </c>
      <c r="CC91" s="1678" t="s">
        <v>8525</v>
      </c>
      <c r="CD91" s="1678"/>
      <c r="CE91" s="1989" t="s">
        <v>8524</v>
      </c>
      <c r="CF91" s="1661" t="s">
        <v>9907</v>
      </c>
      <c r="CG91" s="1661" t="s">
        <v>10907</v>
      </c>
      <c r="CI91" s="1683" t="s">
        <v>6901</v>
      </c>
      <c r="CJ91" s="1678">
        <v>88</v>
      </c>
      <c r="CL91" s="1698" t="s">
        <v>2170</v>
      </c>
      <c r="CM91" s="1699" t="s">
        <v>4158</v>
      </c>
      <c r="CN91" s="1699" t="s">
        <v>3969</v>
      </c>
      <c r="CO91" s="1699" t="s">
        <v>4893</v>
      </c>
      <c r="CP91" s="1699" t="s">
        <v>6440</v>
      </c>
      <c r="CR91" s="1678" t="s">
        <v>9089</v>
      </c>
      <c r="CS91" s="1678" t="s">
        <v>9176</v>
      </c>
      <c r="CW91" s="2252">
        <v>370</v>
      </c>
      <c r="CX91" s="2150" t="s">
        <v>57</v>
      </c>
      <c r="DB91" s="1676"/>
      <c r="DF91" s="1705"/>
    </row>
    <row r="92" spans="73:110" ht="15" x14ac:dyDescent="0.25">
      <c r="BU92" s="1317" t="s">
        <v>7796</v>
      </c>
      <c r="BW92" s="1317" t="s">
        <v>7796</v>
      </c>
      <c r="BY92" s="1317" t="s">
        <v>7796</v>
      </c>
      <c r="CB92" s="1989" t="s">
        <v>8526</v>
      </c>
      <c r="CC92" s="1678" t="s">
        <v>8526</v>
      </c>
      <c r="CD92" s="1678"/>
      <c r="CE92" s="1989" t="s">
        <v>8525</v>
      </c>
      <c r="CF92" s="1661" t="s">
        <v>9908</v>
      </c>
      <c r="CG92" s="1661" t="s">
        <v>10908</v>
      </c>
      <c r="CI92" s="1683" t="s">
        <v>6902</v>
      </c>
      <c r="CJ92" s="1678">
        <v>89</v>
      </c>
      <c r="CL92" s="1698" t="s">
        <v>2171</v>
      </c>
      <c r="CM92" s="1699" t="s">
        <v>4159</v>
      </c>
      <c r="CN92" s="1699" t="s">
        <v>3968</v>
      </c>
      <c r="CO92" s="1699" t="s">
        <v>4892</v>
      </c>
      <c r="CP92" s="1699" t="s">
        <v>6439</v>
      </c>
      <c r="CR92" s="1678" t="s">
        <v>9091</v>
      </c>
      <c r="CS92" s="1678" t="s">
        <v>7094</v>
      </c>
      <c r="CW92" s="2252">
        <v>389</v>
      </c>
      <c r="CX92" s="2150" t="s">
        <v>57</v>
      </c>
      <c r="DB92" s="1676"/>
      <c r="DF92" s="1705"/>
    </row>
    <row r="93" spans="73:110" ht="15" x14ac:dyDescent="0.25">
      <c r="BU93" s="1317" t="s">
        <v>7797</v>
      </c>
      <c r="BW93" s="1317" t="s">
        <v>7797</v>
      </c>
      <c r="BY93" s="1317" t="s">
        <v>7797</v>
      </c>
      <c r="CB93" s="1989" t="s">
        <v>8527</v>
      </c>
      <c r="CC93" s="1678" t="s">
        <v>8527</v>
      </c>
      <c r="CD93" s="1678"/>
      <c r="CE93" s="1989" t="s">
        <v>8526</v>
      </c>
      <c r="CF93" s="1661" t="s">
        <v>9909</v>
      </c>
      <c r="CG93" s="1661" t="s">
        <v>10909</v>
      </c>
      <c r="CI93" s="1683" t="s">
        <v>6903</v>
      </c>
      <c r="CJ93" s="1678">
        <v>90</v>
      </c>
      <c r="CL93" s="1698" t="s">
        <v>2172</v>
      </c>
      <c r="CM93" s="1699" t="s">
        <v>4160</v>
      </c>
      <c r="CN93" s="1699" t="s">
        <v>3967</v>
      </c>
      <c r="CO93" s="1699" t="s">
        <v>4891</v>
      </c>
      <c r="CP93" s="1699" t="s">
        <v>6438</v>
      </c>
      <c r="CR93" s="1678" t="s">
        <v>9094</v>
      </c>
      <c r="CS93" s="1678" t="s">
        <v>7035</v>
      </c>
      <c r="CW93" s="2252">
        <v>390</v>
      </c>
      <c r="CX93" s="2150" t="s">
        <v>57</v>
      </c>
      <c r="DB93" s="1676"/>
      <c r="DF93" s="1705"/>
    </row>
    <row r="94" spans="73:110" ht="15" x14ac:dyDescent="0.25">
      <c r="BU94" s="1317" t="s">
        <v>139</v>
      </c>
      <c r="BW94" s="1317" t="s">
        <v>139</v>
      </c>
      <c r="BY94" s="1317" t="s">
        <v>139</v>
      </c>
      <c r="CB94" s="1989" t="s">
        <v>8528</v>
      </c>
      <c r="CC94" s="1678" t="s">
        <v>8528</v>
      </c>
      <c r="CD94" s="1678"/>
      <c r="CE94" s="1989" t="s">
        <v>8527</v>
      </c>
      <c r="CF94" s="1661" t="s">
        <v>9910</v>
      </c>
      <c r="CG94" s="1661" t="s">
        <v>10910</v>
      </c>
      <c r="CI94" s="1683" t="s">
        <v>6904</v>
      </c>
      <c r="CJ94" s="1678">
        <v>91</v>
      </c>
      <c r="CL94" s="1698" t="s">
        <v>2173</v>
      </c>
      <c r="CM94" s="1699" t="s">
        <v>4161</v>
      </c>
      <c r="CN94" s="1699" t="s">
        <v>3966</v>
      </c>
      <c r="CO94" s="1699" t="s">
        <v>4890</v>
      </c>
      <c r="CP94" s="1699" t="s">
        <v>6437</v>
      </c>
      <c r="CR94" s="1678" t="s">
        <v>9093</v>
      </c>
      <c r="CS94" s="1678" t="s">
        <v>7036</v>
      </c>
      <c r="CW94" s="2252">
        <v>126</v>
      </c>
      <c r="CX94" s="2150" t="s">
        <v>58</v>
      </c>
      <c r="DB94" s="1676"/>
      <c r="DF94" s="1705"/>
    </row>
    <row r="95" spans="73:110" ht="15" x14ac:dyDescent="0.25">
      <c r="BU95" s="1317" t="s">
        <v>7798</v>
      </c>
      <c r="BW95" s="1317" t="s">
        <v>7798</v>
      </c>
      <c r="BY95" s="1317" t="s">
        <v>7798</v>
      </c>
      <c r="CB95" s="1989" t="s">
        <v>8811</v>
      </c>
      <c r="CC95" s="1678" t="s">
        <v>8811</v>
      </c>
      <c r="CD95" s="1678"/>
      <c r="CE95" s="1989" t="s">
        <v>8528</v>
      </c>
      <c r="CF95" s="1661" t="s">
        <v>9911</v>
      </c>
      <c r="CG95" s="1661" t="s">
        <v>10911</v>
      </c>
      <c r="CI95" s="1683" t="s">
        <v>6905</v>
      </c>
      <c r="CJ95" s="1678">
        <v>92</v>
      </c>
      <c r="CL95" s="1698" t="s">
        <v>2174</v>
      </c>
      <c r="CM95" s="1699" t="s">
        <v>4162</v>
      </c>
      <c r="CN95" s="1699" t="s">
        <v>3965</v>
      </c>
      <c r="CO95" s="1699" t="s">
        <v>4889</v>
      </c>
      <c r="CP95" s="1699" t="s">
        <v>6436</v>
      </c>
      <c r="CR95" s="1678" t="s">
        <v>8883</v>
      </c>
      <c r="CS95" s="1678" t="s">
        <v>8867</v>
      </c>
      <c r="CW95" s="2252">
        <v>121</v>
      </c>
      <c r="CX95" s="2150" t="s">
        <v>58</v>
      </c>
      <c r="DB95" s="1676"/>
      <c r="DF95" s="1705"/>
    </row>
    <row r="96" spans="73:110" ht="15" x14ac:dyDescent="0.25">
      <c r="BU96" s="1317" t="s">
        <v>140</v>
      </c>
      <c r="BW96" s="1317" t="s">
        <v>140</v>
      </c>
      <c r="BY96" s="1317" t="s">
        <v>140</v>
      </c>
      <c r="CB96" s="1989" t="s">
        <v>8529</v>
      </c>
      <c r="CC96" s="1678" t="s">
        <v>8529</v>
      </c>
      <c r="CD96" s="1678"/>
      <c r="CE96" s="1989" t="s">
        <v>8811</v>
      </c>
      <c r="CF96" s="1661" t="s">
        <v>9912</v>
      </c>
      <c r="CG96" s="1661" t="s">
        <v>10912</v>
      </c>
      <c r="CI96" s="1683" t="s">
        <v>6906</v>
      </c>
      <c r="CJ96" s="1678">
        <v>93</v>
      </c>
      <c r="CK96" s="1697"/>
      <c r="CL96" s="1698" t="s">
        <v>2175</v>
      </c>
      <c r="CM96" s="1699" t="s">
        <v>4163</v>
      </c>
      <c r="CN96" s="1699" t="s">
        <v>3964</v>
      </c>
      <c r="CO96" s="1699" t="s">
        <v>4888</v>
      </c>
      <c r="CP96" s="1699" t="s">
        <v>6435</v>
      </c>
      <c r="CR96" s="1678" t="s">
        <v>9090</v>
      </c>
      <c r="CS96" s="1678" t="s">
        <v>7032</v>
      </c>
      <c r="CW96" s="2252">
        <v>123</v>
      </c>
      <c r="CX96" s="2150" t="s">
        <v>58</v>
      </c>
      <c r="DB96" s="1676"/>
      <c r="DF96" s="1705"/>
    </row>
    <row r="97" spans="8:110" ht="15" x14ac:dyDescent="0.25">
      <c r="BU97" s="1317" t="s">
        <v>141</v>
      </c>
      <c r="BW97" s="1317" t="s">
        <v>141</v>
      </c>
      <c r="BY97" s="1317" t="s">
        <v>141</v>
      </c>
      <c r="CB97" s="1989" t="s">
        <v>8530</v>
      </c>
      <c r="CC97" s="1678" t="s">
        <v>8530</v>
      </c>
      <c r="CD97" s="1678"/>
      <c r="CE97" s="1989" t="s">
        <v>8529</v>
      </c>
      <c r="CF97" s="1661" t="s">
        <v>9913</v>
      </c>
      <c r="CG97" s="1661" t="s">
        <v>10913</v>
      </c>
      <c r="CI97" s="1683" t="s">
        <v>6907</v>
      </c>
      <c r="CJ97" s="1678">
        <v>94</v>
      </c>
      <c r="CK97" s="1697"/>
      <c r="CL97" s="1698" t="s">
        <v>2176</v>
      </c>
      <c r="CM97" s="1699" t="s">
        <v>4164</v>
      </c>
      <c r="CN97" s="1699" t="s">
        <v>3963</v>
      </c>
      <c r="CO97" s="1699" t="s">
        <v>4887</v>
      </c>
      <c r="CP97" s="1699" t="s">
        <v>6434</v>
      </c>
      <c r="CR97" s="1678" t="s">
        <v>9143</v>
      </c>
      <c r="CS97" s="1678" t="s">
        <v>7093</v>
      </c>
      <c r="CW97" s="2252">
        <v>125</v>
      </c>
      <c r="CX97" s="2150" t="s">
        <v>58</v>
      </c>
      <c r="DB97" s="1676"/>
      <c r="DF97" s="1705"/>
    </row>
    <row r="98" spans="8:110" ht="15" x14ac:dyDescent="0.25">
      <c r="H98" s="1323"/>
      <c r="I98" s="1323"/>
      <c r="J98" s="1323"/>
      <c r="K98" s="1323"/>
      <c r="L98" s="1323"/>
      <c r="M98" s="1323"/>
      <c r="N98" s="1323"/>
      <c r="O98" s="1323"/>
      <c r="P98" s="1323"/>
      <c r="Q98" s="1323"/>
      <c r="R98" s="1323"/>
      <c r="S98" s="1323"/>
      <c r="T98" s="1323"/>
      <c r="U98" s="1323"/>
      <c r="V98" s="1323"/>
      <c r="W98" s="1323"/>
      <c r="X98" s="1323"/>
      <c r="Y98" s="1323"/>
      <c r="Z98" s="1323"/>
      <c r="AA98" s="1323"/>
      <c r="AB98" s="1323"/>
      <c r="AF98" s="1323"/>
      <c r="AG98" s="1323"/>
      <c r="AH98" s="1323"/>
      <c r="AI98" s="1323"/>
      <c r="AJ98" s="1323"/>
      <c r="AK98" s="1323"/>
      <c r="AL98" s="1323"/>
      <c r="AM98" s="1323"/>
      <c r="AN98" s="1323"/>
      <c r="AO98" s="1323"/>
      <c r="AP98" s="1323"/>
      <c r="AQ98" s="1323"/>
      <c r="AR98" s="1323"/>
      <c r="AS98" s="1323"/>
      <c r="AT98" s="1323"/>
      <c r="AU98" s="1323"/>
      <c r="AV98" s="1323"/>
      <c r="AW98" s="1323"/>
      <c r="AX98" s="1323"/>
      <c r="AY98" s="1323"/>
      <c r="AZ98" s="1323"/>
      <c r="BA98" s="1323"/>
      <c r="BB98" s="1323"/>
      <c r="BC98" s="1323"/>
      <c r="BD98" s="1323"/>
      <c r="BE98" s="1323"/>
      <c r="BF98" s="1323"/>
      <c r="BG98" s="1323"/>
      <c r="BH98" s="1323"/>
      <c r="BM98" s="1323"/>
      <c r="BN98" s="1323"/>
      <c r="BO98" s="1323"/>
      <c r="BP98" s="1323"/>
      <c r="BQ98" s="1323"/>
      <c r="BR98" s="1323"/>
      <c r="BS98" s="1323"/>
      <c r="BU98" s="1317" t="s">
        <v>142</v>
      </c>
      <c r="BW98" s="1317" t="s">
        <v>142</v>
      </c>
      <c r="BY98" s="1317" t="s">
        <v>142</v>
      </c>
      <c r="CB98" s="1989" t="s">
        <v>8531</v>
      </c>
      <c r="CC98" s="1678" t="s">
        <v>8531</v>
      </c>
      <c r="CD98" s="1678"/>
      <c r="CE98" s="1989" t="s">
        <v>8530</v>
      </c>
      <c r="CF98" s="1661" t="s">
        <v>9914</v>
      </c>
      <c r="CG98" s="1661" t="s">
        <v>10914</v>
      </c>
      <c r="CI98" s="1683" t="s">
        <v>6908</v>
      </c>
      <c r="CJ98" s="1678">
        <v>95</v>
      </c>
      <c r="CL98" s="1698" t="s">
        <v>2177</v>
      </c>
      <c r="CM98" s="1699" t="s">
        <v>4165</v>
      </c>
      <c r="CN98" s="1699" t="s">
        <v>3962</v>
      </c>
      <c r="CO98" s="1699" t="s">
        <v>4886</v>
      </c>
      <c r="CP98" s="1699" t="s">
        <v>6433</v>
      </c>
      <c r="CR98" s="1678" t="s">
        <v>9092</v>
      </c>
      <c r="CS98" s="1678" t="s">
        <v>7033</v>
      </c>
      <c r="CW98" s="2252">
        <v>134</v>
      </c>
      <c r="CX98" s="2150" t="s">
        <v>58</v>
      </c>
      <c r="DB98" s="1676"/>
      <c r="DF98" s="1705"/>
    </row>
    <row r="99" spans="8:110" ht="15" x14ac:dyDescent="0.25">
      <c r="AC99" s="1323"/>
      <c r="AD99" s="1323"/>
      <c r="AE99" s="1323"/>
      <c r="BU99" s="1317" t="s">
        <v>143</v>
      </c>
      <c r="BW99" s="1317" t="s">
        <v>143</v>
      </c>
      <c r="BY99" s="1317" t="s">
        <v>143</v>
      </c>
      <c r="CB99" s="1989" t="s">
        <v>8532</v>
      </c>
      <c r="CC99" s="1678" t="s">
        <v>8532</v>
      </c>
      <c r="CD99" s="1678"/>
      <c r="CE99" s="1989" t="s">
        <v>8531</v>
      </c>
      <c r="CF99" s="1661" t="s">
        <v>9915</v>
      </c>
      <c r="CG99" s="1661" t="s">
        <v>10915</v>
      </c>
      <c r="CI99" s="1683" t="s">
        <v>6909</v>
      </c>
      <c r="CJ99" s="1678">
        <v>96</v>
      </c>
      <c r="CL99" s="1698" t="s">
        <v>2178</v>
      </c>
      <c r="CM99" s="1699" t="s">
        <v>4166</v>
      </c>
      <c r="CN99" s="1699" t="s">
        <v>3961</v>
      </c>
      <c r="CO99" s="1699" t="s">
        <v>4885</v>
      </c>
      <c r="CP99" s="1699" t="s">
        <v>6432</v>
      </c>
      <c r="CR99" s="1678" t="s">
        <v>9095</v>
      </c>
      <c r="CS99" s="1678" t="s">
        <v>7034</v>
      </c>
      <c r="CW99" s="2252">
        <v>133</v>
      </c>
      <c r="CX99" s="2150" t="s">
        <v>58</v>
      </c>
      <c r="DB99" s="1676"/>
      <c r="DF99" s="1705"/>
    </row>
    <row r="100" spans="8:110" ht="15" x14ac:dyDescent="0.25">
      <c r="BU100" s="1317" t="s">
        <v>7799</v>
      </c>
      <c r="BW100" s="1317" t="s">
        <v>7799</v>
      </c>
      <c r="BY100" s="1317" t="s">
        <v>7799</v>
      </c>
      <c r="CB100" s="1989" t="s">
        <v>8812</v>
      </c>
      <c r="CC100" s="1678" t="s">
        <v>8812</v>
      </c>
      <c r="CD100" s="1678"/>
      <c r="CE100" s="1989" t="s">
        <v>8532</v>
      </c>
      <c r="CF100" s="1661" t="s">
        <v>9916</v>
      </c>
      <c r="CG100" s="1661" t="s">
        <v>10916</v>
      </c>
      <c r="CI100" s="1683" t="s">
        <v>6910</v>
      </c>
      <c r="CJ100" s="1678">
        <v>97</v>
      </c>
      <c r="CL100" s="1698" t="s">
        <v>2179</v>
      </c>
      <c r="CM100" s="1699" t="s">
        <v>4167</v>
      </c>
      <c r="CN100" s="1699" t="s">
        <v>3960</v>
      </c>
      <c r="CO100" s="1699" t="s">
        <v>4884</v>
      </c>
      <c r="CP100" s="1699" t="s">
        <v>6431</v>
      </c>
      <c r="CR100" s="1678" t="s">
        <v>8886</v>
      </c>
      <c r="CS100" s="1678" t="s">
        <v>8870</v>
      </c>
      <c r="CW100" s="2252">
        <v>136</v>
      </c>
      <c r="CX100" s="2150" t="s">
        <v>58</v>
      </c>
      <c r="DB100" s="1676"/>
      <c r="DF100" s="1705"/>
    </row>
    <row r="101" spans="8:110" ht="15" x14ac:dyDescent="0.25">
      <c r="BU101" s="1317" t="s">
        <v>7800</v>
      </c>
      <c r="BW101" s="1317" t="s">
        <v>7800</v>
      </c>
      <c r="BY101" s="1317" t="s">
        <v>7800</v>
      </c>
      <c r="CB101" s="1989" t="s">
        <v>8813</v>
      </c>
      <c r="CC101" s="1678" t="s">
        <v>8813</v>
      </c>
      <c r="CD101" s="1678"/>
      <c r="CE101" s="1989" t="s">
        <v>8812</v>
      </c>
      <c r="CF101" s="1661" t="s">
        <v>9917</v>
      </c>
      <c r="CG101" s="1661" t="s">
        <v>10917</v>
      </c>
      <c r="CI101" s="1683" t="s">
        <v>6911</v>
      </c>
      <c r="CJ101" s="1678">
        <v>98</v>
      </c>
      <c r="CL101" s="1698" t="s">
        <v>2180</v>
      </c>
      <c r="CM101" s="1699" t="s">
        <v>4168</v>
      </c>
      <c r="CN101" s="1699" t="s">
        <v>3959</v>
      </c>
      <c r="CO101" s="1699" t="s">
        <v>4883</v>
      </c>
      <c r="CP101" s="1699" t="s">
        <v>6430</v>
      </c>
      <c r="CR101" s="1678" t="s">
        <v>9144</v>
      </c>
      <c r="CS101" s="1678" t="s">
        <v>7099</v>
      </c>
      <c r="CW101" s="2252">
        <v>124</v>
      </c>
      <c r="CX101" s="2150" t="s">
        <v>58</v>
      </c>
      <c r="DB101" s="1676"/>
      <c r="DF101" s="1705"/>
    </row>
    <row r="102" spans="8:110" ht="15" x14ac:dyDescent="0.25">
      <c r="BU102" s="1317" t="s">
        <v>144</v>
      </c>
      <c r="BW102" s="1317" t="s">
        <v>144</v>
      </c>
      <c r="BY102" s="1317" t="s">
        <v>144</v>
      </c>
      <c r="CB102" s="1989" t="s">
        <v>8533</v>
      </c>
      <c r="CC102" s="1678" t="s">
        <v>8533</v>
      </c>
      <c r="CD102" s="1678"/>
      <c r="CE102" s="1989" t="s">
        <v>8813</v>
      </c>
      <c r="CF102" s="1661" t="s">
        <v>9918</v>
      </c>
      <c r="CG102" s="1661" t="s">
        <v>10918</v>
      </c>
      <c r="CI102" s="1683" t="s">
        <v>6912</v>
      </c>
      <c r="CJ102" s="1678">
        <v>99</v>
      </c>
      <c r="CL102" s="1698" t="s">
        <v>2181</v>
      </c>
      <c r="CM102" s="1699" t="s">
        <v>4169</v>
      </c>
      <c r="CN102" s="1699" t="s">
        <v>3958</v>
      </c>
      <c r="CO102" s="1699" t="s">
        <v>4882</v>
      </c>
      <c r="CP102" s="1699" t="s">
        <v>6429</v>
      </c>
      <c r="CR102" s="1678" t="s">
        <v>9097</v>
      </c>
      <c r="CS102" s="1678" t="s">
        <v>7038</v>
      </c>
      <c r="CW102" s="2252">
        <v>131</v>
      </c>
      <c r="CX102" s="2150" t="s">
        <v>58</v>
      </c>
      <c r="DB102" s="1676"/>
      <c r="DF102" s="1705"/>
    </row>
    <row r="103" spans="8:110" ht="15" x14ac:dyDescent="0.25">
      <c r="BU103" s="1317" t="s">
        <v>7801</v>
      </c>
      <c r="BW103" s="1317" t="s">
        <v>7801</v>
      </c>
      <c r="BY103" s="1317" t="s">
        <v>7801</v>
      </c>
      <c r="CB103" s="1989" t="s">
        <v>8534</v>
      </c>
      <c r="CC103" s="1678" t="s">
        <v>8534</v>
      </c>
      <c r="CD103" s="1678"/>
      <c r="CE103" s="1989" t="s">
        <v>8533</v>
      </c>
      <c r="CF103" s="1661" t="s">
        <v>9919</v>
      </c>
      <c r="CG103" s="1661" t="s">
        <v>10919</v>
      </c>
      <c r="CI103" s="1683" t="s">
        <v>6913</v>
      </c>
      <c r="CJ103" s="1678">
        <v>100</v>
      </c>
      <c r="CL103" s="1698" t="s">
        <v>2182</v>
      </c>
      <c r="CM103" s="1699" t="s">
        <v>4170</v>
      </c>
      <c r="CN103" s="1699" t="s">
        <v>3957</v>
      </c>
      <c r="CO103" s="1699" t="s">
        <v>4881</v>
      </c>
      <c r="CP103" s="1699" t="s">
        <v>6428</v>
      </c>
      <c r="CR103" s="1678" t="s">
        <v>9145</v>
      </c>
      <c r="CS103" s="1678" t="s">
        <v>7100</v>
      </c>
      <c r="CW103" s="2252">
        <v>132</v>
      </c>
      <c r="CX103" s="2150" t="s">
        <v>58</v>
      </c>
      <c r="DB103" s="1676"/>
      <c r="DF103" s="1705"/>
    </row>
    <row r="104" spans="8:110" ht="15" x14ac:dyDescent="0.25">
      <c r="BU104" s="1317" t="s">
        <v>145</v>
      </c>
      <c r="BW104" s="1317" t="s">
        <v>145</v>
      </c>
      <c r="BY104" s="1317" t="s">
        <v>145</v>
      </c>
      <c r="CB104" s="1989" t="s">
        <v>8535</v>
      </c>
      <c r="CC104" s="1678" t="s">
        <v>8535</v>
      </c>
      <c r="CD104" s="1678"/>
      <c r="CE104" s="1989" t="s">
        <v>8534</v>
      </c>
      <c r="CF104" s="1661" t="s">
        <v>9920</v>
      </c>
      <c r="CG104" s="1661" t="s">
        <v>10920</v>
      </c>
      <c r="CI104" s="1683" t="s">
        <v>6914</v>
      </c>
      <c r="CJ104" s="1678">
        <v>101</v>
      </c>
      <c r="CL104" s="1698" t="s">
        <v>2183</v>
      </c>
      <c r="CM104" s="1699" t="s">
        <v>4171</v>
      </c>
      <c r="CN104" s="1699" t="s">
        <v>3956</v>
      </c>
      <c r="CO104" s="1699" t="s">
        <v>4880</v>
      </c>
      <c r="CP104" s="1699" t="s">
        <v>6427</v>
      </c>
      <c r="CR104" s="1678" t="s">
        <v>9099</v>
      </c>
      <c r="CS104" s="1678" t="s">
        <v>7039</v>
      </c>
      <c r="CW104" s="2252">
        <v>122</v>
      </c>
      <c r="CX104" s="2150" t="s">
        <v>58</v>
      </c>
      <c r="DB104" s="1676"/>
      <c r="DF104" s="1705"/>
    </row>
    <row r="105" spans="8:110" ht="15" x14ac:dyDescent="0.25">
      <c r="BU105" s="1317" t="s">
        <v>146</v>
      </c>
      <c r="BW105" s="1317" t="s">
        <v>146</v>
      </c>
      <c r="BY105" s="1317" t="s">
        <v>146</v>
      </c>
      <c r="CB105" s="1989" t="s">
        <v>8536</v>
      </c>
      <c r="CC105" s="1678" t="s">
        <v>8536</v>
      </c>
      <c r="CD105" s="1678"/>
      <c r="CE105" s="1989" t="s">
        <v>8535</v>
      </c>
      <c r="CF105" s="1661" t="s">
        <v>9921</v>
      </c>
      <c r="CG105" s="1661" t="s">
        <v>10921</v>
      </c>
      <c r="CI105" s="1683" t="s">
        <v>6915</v>
      </c>
      <c r="CJ105" s="1678">
        <v>102</v>
      </c>
      <c r="CL105" s="1698" t="s">
        <v>2184</v>
      </c>
      <c r="CM105" s="1699" t="s">
        <v>4172</v>
      </c>
      <c r="CN105" s="1699" t="s">
        <v>3955</v>
      </c>
      <c r="CO105" s="1699" t="s">
        <v>4879</v>
      </c>
      <c r="CP105" s="1699" t="s">
        <v>6426</v>
      </c>
      <c r="CR105" s="1678" t="s">
        <v>8034</v>
      </c>
      <c r="CS105" s="1678" t="s">
        <v>7096</v>
      </c>
      <c r="CW105" s="2252">
        <v>127</v>
      </c>
      <c r="CX105" s="2150" t="s">
        <v>58</v>
      </c>
      <c r="DB105" s="1676"/>
      <c r="DF105" s="1705"/>
    </row>
    <row r="106" spans="8:110" ht="15" x14ac:dyDescent="0.25">
      <c r="BU106" s="1317" t="s">
        <v>147</v>
      </c>
      <c r="BW106" s="1317" t="s">
        <v>148</v>
      </c>
      <c r="BY106" s="1317" t="s">
        <v>148</v>
      </c>
      <c r="CB106" s="1989" t="s">
        <v>8537</v>
      </c>
      <c r="CC106" s="1678" t="s">
        <v>8537</v>
      </c>
      <c r="CD106" s="1678"/>
      <c r="CE106" s="1989" t="s">
        <v>8536</v>
      </c>
      <c r="CF106" s="1661" t="s">
        <v>9922</v>
      </c>
      <c r="CG106" s="1661" t="s">
        <v>10922</v>
      </c>
      <c r="CI106" s="1683" t="s">
        <v>6916</v>
      </c>
      <c r="CJ106" s="1678">
        <v>103</v>
      </c>
      <c r="CL106" s="1698" t="s">
        <v>2185</v>
      </c>
      <c r="CM106" s="1699" t="s">
        <v>4173</v>
      </c>
      <c r="CN106" s="1699" t="s">
        <v>3954</v>
      </c>
      <c r="CO106" s="1699" t="s">
        <v>4878</v>
      </c>
      <c r="CP106" s="1699" t="s">
        <v>6788</v>
      </c>
      <c r="CR106" s="1678" t="s">
        <v>8156</v>
      </c>
      <c r="CS106" s="1678" t="s">
        <v>8153</v>
      </c>
      <c r="CW106" s="2252">
        <v>135</v>
      </c>
      <c r="CX106" s="2150" t="s">
        <v>58</v>
      </c>
      <c r="DB106" s="1676"/>
      <c r="DF106" s="1705"/>
    </row>
    <row r="107" spans="8:110" ht="15" x14ac:dyDescent="0.25">
      <c r="BU107" s="1317" t="s">
        <v>148</v>
      </c>
      <c r="BW107" s="1317" t="s">
        <v>7802</v>
      </c>
      <c r="BY107" s="1317" t="s">
        <v>7802</v>
      </c>
      <c r="CB107" s="1989" t="s">
        <v>8538</v>
      </c>
      <c r="CC107" s="1678" t="s">
        <v>8538</v>
      </c>
      <c r="CD107" s="1678"/>
      <c r="CE107" s="1989" t="s">
        <v>8537</v>
      </c>
      <c r="CF107" s="1661" t="s">
        <v>9923</v>
      </c>
      <c r="CG107" s="1661" t="s">
        <v>10923</v>
      </c>
      <c r="CI107" s="1683" t="s">
        <v>6917</v>
      </c>
      <c r="CJ107" s="1678">
        <v>104</v>
      </c>
      <c r="CL107" s="1698" t="s">
        <v>2186</v>
      </c>
      <c r="CM107" s="1699" t="s">
        <v>4174</v>
      </c>
      <c r="CN107" s="1699" t="s">
        <v>3953</v>
      </c>
      <c r="CO107" s="1699" t="s">
        <v>4877</v>
      </c>
      <c r="CP107" s="1699" t="s">
        <v>6425</v>
      </c>
      <c r="CR107" s="1678" t="s">
        <v>9100</v>
      </c>
      <c r="CS107" s="1678" t="s">
        <v>9177</v>
      </c>
      <c r="CW107" s="2252">
        <v>176</v>
      </c>
      <c r="CX107" s="2150" t="s">
        <v>59</v>
      </c>
      <c r="DB107" s="1676"/>
      <c r="DF107" s="1705"/>
    </row>
    <row r="108" spans="8:110" ht="15" x14ac:dyDescent="0.25">
      <c r="BU108" s="1317" t="s">
        <v>7802</v>
      </c>
      <c r="BW108" s="1317" t="s">
        <v>149</v>
      </c>
      <c r="BY108" s="1317" t="s">
        <v>149</v>
      </c>
      <c r="CB108" s="1989" t="s">
        <v>8539</v>
      </c>
      <c r="CC108" s="1678" t="s">
        <v>8539</v>
      </c>
      <c r="CD108" s="1678"/>
      <c r="CE108" s="1989" t="s">
        <v>8538</v>
      </c>
      <c r="CF108" s="1661" t="s">
        <v>9924</v>
      </c>
      <c r="CG108" s="1661" t="s">
        <v>10924</v>
      </c>
      <c r="CI108" s="1683" t="s">
        <v>6918</v>
      </c>
      <c r="CJ108" s="1678">
        <v>105</v>
      </c>
      <c r="CL108" s="1698" t="s">
        <v>2187</v>
      </c>
      <c r="CM108" s="1699" t="s">
        <v>4175</v>
      </c>
      <c r="CN108" s="1699" t="s">
        <v>3952</v>
      </c>
      <c r="CO108" s="1699" t="s">
        <v>4876</v>
      </c>
      <c r="CP108" s="1699" t="s">
        <v>6424</v>
      </c>
      <c r="CR108" s="1678" t="s">
        <v>9098</v>
      </c>
      <c r="CS108" s="1678" t="s">
        <v>7098</v>
      </c>
      <c r="CW108" s="2252">
        <v>174</v>
      </c>
      <c r="CX108" s="2150" t="s">
        <v>59</v>
      </c>
      <c r="DB108" s="1676"/>
      <c r="DF108" s="1705"/>
    </row>
    <row r="109" spans="8:110" ht="15" x14ac:dyDescent="0.25">
      <c r="BU109" s="1317" t="s">
        <v>149</v>
      </c>
      <c r="BW109" s="1317" t="s">
        <v>150</v>
      </c>
      <c r="BY109" s="1317" t="s">
        <v>150</v>
      </c>
      <c r="CB109" s="1989" t="s">
        <v>8540</v>
      </c>
      <c r="CC109" s="1678" t="s">
        <v>8540</v>
      </c>
      <c r="CD109" s="1678"/>
      <c r="CE109" s="1989" t="s">
        <v>8539</v>
      </c>
      <c r="CF109" s="1661" t="s">
        <v>9925</v>
      </c>
      <c r="CG109" s="1661" t="s">
        <v>10925</v>
      </c>
      <c r="CI109" s="1683" t="s">
        <v>6919</v>
      </c>
      <c r="CJ109" s="1678">
        <v>106</v>
      </c>
      <c r="CL109" s="1698" t="s">
        <v>2188</v>
      </c>
      <c r="CM109" s="1699" t="s">
        <v>4176</v>
      </c>
      <c r="CN109" s="1699" t="s">
        <v>3951</v>
      </c>
      <c r="CO109" s="1699" t="s">
        <v>4875</v>
      </c>
      <c r="CP109" s="1699" t="s">
        <v>6423</v>
      </c>
      <c r="CR109" s="1678" t="s">
        <v>9102</v>
      </c>
      <c r="CS109" s="1678" t="s">
        <v>7043</v>
      </c>
      <c r="CW109" s="2252">
        <v>177</v>
      </c>
      <c r="CX109" s="2150" t="s">
        <v>59</v>
      </c>
      <c r="DB109" s="1676"/>
      <c r="DF109" s="1705"/>
    </row>
    <row r="110" spans="8:110" ht="15" x14ac:dyDescent="0.25">
      <c r="BU110" s="1317" t="s">
        <v>150</v>
      </c>
      <c r="BW110" s="1317" t="s">
        <v>7803</v>
      </c>
      <c r="BY110" s="1317" t="s">
        <v>7803</v>
      </c>
      <c r="CB110" s="1989" t="s">
        <v>8541</v>
      </c>
      <c r="CC110" s="1678" t="s">
        <v>8541</v>
      </c>
      <c r="CD110" s="1678"/>
      <c r="CE110" s="1989" t="s">
        <v>8540</v>
      </c>
      <c r="CF110" s="1661" t="s">
        <v>9926</v>
      </c>
      <c r="CG110" s="1661" t="s">
        <v>10926</v>
      </c>
      <c r="CI110" s="1683" t="s">
        <v>8913</v>
      </c>
      <c r="CJ110" s="1678">
        <v>107</v>
      </c>
      <c r="CL110" s="1698" t="s">
        <v>2189</v>
      </c>
      <c r="CM110" s="1699" t="s">
        <v>4177</v>
      </c>
      <c r="CN110" s="1699" t="s">
        <v>3950</v>
      </c>
      <c r="CO110" s="1699" t="s">
        <v>4874</v>
      </c>
      <c r="CP110" s="1699" t="s">
        <v>6422</v>
      </c>
      <c r="CR110" s="1678" t="s">
        <v>8037</v>
      </c>
      <c r="CS110" s="1678" t="s">
        <v>7042</v>
      </c>
      <c r="CW110" s="2252">
        <v>175</v>
      </c>
      <c r="CX110" s="2150" t="s">
        <v>59</v>
      </c>
      <c r="DB110" s="1676"/>
      <c r="DF110" s="1705"/>
    </row>
    <row r="111" spans="8:110" ht="15" x14ac:dyDescent="0.25">
      <c r="BU111" s="1317" t="s">
        <v>7803</v>
      </c>
      <c r="BW111" s="1317" t="s">
        <v>151</v>
      </c>
      <c r="BY111" s="1317" t="s">
        <v>151</v>
      </c>
      <c r="CB111" s="1989" t="s">
        <v>8542</v>
      </c>
      <c r="CC111" s="1678" t="s">
        <v>8542</v>
      </c>
      <c r="CD111" s="1678"/>
      <c r="CE111" s="1989" t="s">
        <v>8541</v>
      </c>
      <c r="CF111" s="1661" t="s">
        <v>9927</v>
      </c>
      <c r="CG111" s="1661" t="s">
        <v>10927</v>
      </c>
      <c r="CI111" s="1683" t="s">
        <v>6920</v>
      </c>
      <c r="CJ111" s="1678">
        <v>108</v>
      </c>
      <c r="CL111" s="1698" t="s">
        <v>2190</v>
      </c>
      <c r="CM111" s="1699" t="s">
        <v>4178</v>
      </c>
      <c r="CN111" s="1699" t="s">
        <v>3949</v>
      </c>
      <c r="CO111" s="1699" t="s">
        <v>4066</v>
      </c>
      <c r="CP111" s="1699" t="s">
        <v>6421</v>
      </c>
      <c r="CR111" s="1678" t="s">
        <v>9148</v>
      </c>
      <c r="CS111" s="1678" t="s">
        <v>7044</v>
      </c>
      <c r="CW111" s="2252">
        <v>171</v>
      </c>
      <c r="CX111" s="2150" t="s">
        <v>59</v>
      </c>
      <c r="DB111" s="1676"/>
      <c r="DF111" s="1705"/>
    </row>
    <row r="112" spans="8:110" ht="15" x14ac:dyDescent="0.25">
      <c r="BU112" s="1317" t="s">
        <v>151</v>
      </c>
      <c r="BW112" s="1317" t="s">
        <v>152</v>
      </c>
      <c r="BY112" s="1317" t="s">
        <v>152</v>
      </c>
      <c r="CB112" s="1989" t="s">
        <v>8543</v>
      </c>
      <c r="CC112" s="1678" t="s">
        <v>8543</v>
      </c>
      <c r="CD112" s="1678"/>
      <c r="CE112" s="1989" t="s">
        <v>8542</v>
      </c>
      <c r="CF112" s="1661" t="s">
        <v>9928</v>
      </c>
      <c r="CG112" s="1661" t="s">
        <v>10928</v>
      </c>
      <c r="CI112" s="1683" t="s">
        <v>6921</v>
      </c>
      <c r="CJ112" s="1678">
        <v>109</v>
      </c>
      <c r="CL112" s="1698" t="s">
        <v>2191</v>
      </c>
      <c r="CM112" s="1699" t="s">
        <v>4179</v>
      </c>
      <c r="CN112" s="1699" t="s">
        <v>3948</v>
      </c>
      <c r="CO112" s="1699" t="s">
        <v>8232</v>
      </c>
      <c r="CP112" s="1699" t="s">
        <v>6420</v>
      </c>
      <c r="CR112" s="1678" t="s">
        <v>9101</v>
      </c>
      <c r="CS112" s="1678" t="s">
        <v>7553</v>
      </c>
      <c r="CW112" s="2252">
        <v>172</v>
      </c>
      <c r="CX112" s="2150" t="s">
        <v>59</v>
      </c>
      <c r="DB112" s="1676"/>
      <c r="DF112" s="1705"/>
    </row>
    <row r="113" spans="73:110" ht="15" x14ac:dyDescent="0.25">
      <c r="BU113" s="1317" t="s">
        <v>152</v>
      </c>
      <c r="BW113" s="1317" t="s">
        <v>153</v>
      </c>
      <c r="BY113" s="1317" t="s">
        <v>153</v>
      </c>
      <c r="CB113" s="1989" t="s">
        <v>8544</v>
      </c>
      <c r="CC113" s="1678" t="s">
        <v>8544</v>
      </c>
      <c r="CD113" s="1678"/>
      <c r="CE113" s="1989" t="s">
        <v>8543</v>
      </c>
      <c r="CF113" s="1661" t="s">
        <v>9929</v>
      </c>
      <c r="CG113" s="1661" t="s">
        <v>10929</v>
      </c>
      <c r="CI113" s="1683" t="s">
        <v>6922</v>
      </c>
      <c r="CJ113" s="1678">
        <v>110</v>
      </c>
      <c r="CL113" s="1698" t="s">
        <v>2192</v>
      </c>
      <c r="CM113" s="1699" t="s">
        <v>4180</v>
      </c>
      <c r="CN113" s="1699" t="s">
        <v>3947</v>
      </c>
      <c r="CO113" s="1699" t="s">
        <v>8233</v>
      </c>
      <c r="CP113" s="1699" t="s">
        <v>6419</v>
      </c>
      <c r="CR113" s="1678" t="s">
        <v>8891</v>
      </c>
      <c r="CS113" s="1678" t="s">
        <v>8875</v>
      </c>
      <c r="CW113" s="2252">
        <v>173</v>
      </c>
      <c r="CX113" s="2150" t="s">
        <v>59</v>
      </c>
      <c r="DB113" s="1676"/>
      <c r="DF113" s="1705"/>
    </row>
    <row r="114" spans="73:110" ht="15" x14ac:dyDescent="0.25">
      <c r="BU114" s="1317" t="s">
        <v>153</v>
      </c>
      <c r="BW114" s="1317" t="s">
        <v>154</v>
      </c>
      <c r="BY114" s="1317" t="s">
        <v>154</v>
      </c>
      <c r="CB114" s="1989" t="s">
        <v>8545</v>
      </c>
      <c r="CC114" s="1678" t="s">
        <v>8545</v>
      </c>
      <c r="CD114" s="1678"/>
      <c r="CE114" s="1989" t="s">
        <v>8544</v>
      </c>
      <c r="CF114" s="1661" t="s">
        <v>9930</v>
      </c>
      <c r="CG114" s="1661" t="s">
        <v>10930</v>
      </c>
      <c r="CI114" s="1683" t="s">
        <v>6923</v>
      </c>
      <c r="CJ114" s="1678">
        <v>111</v>
      </c>
      <c r="CL114" s="1698" t="s">
        <v>2193</v>
      </c>
      <c r="CM114" s="1699" t="s">
        <v>4181</v>
      </c>
      <c r="CN114" s="1699" t="s">
        <v>3946</v>
      </c>
      <c r="CO114" s="1699" t="s">
        <v>8234</v>
      </c>
      <c r="CP114" s="1699" t="s">
        <v>6418</v>
      </c>
      <c r="CR114" s="1678" t="s">
        <v>9147</v>
      </c>
      <c r="CS114" s="1678" t="s">
        <v>7097</v>
      </c>
      <c r="CW114" s="2252">
        <v>192</v>
      </c>
      <c r="CX114" s="2150" t="s">
        <v>60</v>
      </c>
      <c r="DB114" s="1676"/>
      <c r="DF114" s="1705"/>
    </row>
    <row r="115" spans="73:110" ht="15" x14ac:dyDescent="0.25">
      <c r="BU115" s="1317" t="s">
        <v>154</v>
      </c>
      <c r="BW115" s="1317" t="s">
        <v>7804</v>
      </c>
      <c r="BY115" s="1317" t="s">
        <v>7804</v>
      </c>
      <c r="CB115" s="1989" t="s">
        <v>8546</v>
      </c>
      <c r="CC115" s="1678" t="s">
        <v>8546</v>
      </c>
      <c r="CD115" s="1678"/>
      <c r="CE115" s="1989" t="s">
        <v>8545</v>
      </c>
      <c r="CF115" s="1661" t="s">
        <v>9931</v>
      </c>
      <c r="CG115" s="1661" t="s">
        <v>10931</v>
      </c>
      <c r="CI115" s="1683" t="s">
        <v>6924</v>
      </c>
      <c r="CJ115" s="1678">
        <v>112</v>
      </c>
      <c r="CK115" s="1697"/>
      <c r="CL115" s="1698" t="s">
        <v>2194</v>
      </c>
      <c r="CM115" s="1699" t="s">
        <v>4182</v>
      </c>
      <c r="CN115" s="1699" t="s">
        <v>3945</v>
      </c>
      <c r="CO115" s="1699" t="s">
        <v>8235</v>
      </c>
      <c r="CP115" s="1699" t="s">
        <v>6417</v>
      </c>
      <c r="CR115" s="1678" t="s">
        <v>9146</v>
      </c>
      <c r="CS115" s="1678" t="s">
        <v>7095</v>
      </c>
      <c r="CW115" s="2252">
        <v>185</v>
      </c>
      <c r="CX115" s="2150" t="s">
        <v>60</v>
      </c>
      <c r="DF115" s="1705"/>
    </row>
    <row r="116" spans="73:110" ht="15" x14ac:dyDescent="0.25">
      <c r="BU116" s="1317" t="s">
        <v>7804</v>
      </c>
      <c r="BW116" s="1317" t="s">
        <v>155</v>
      </c>
      <c r="BY116" s="1317" t="s">
        <v>155</v>
      </c>
      <c r="CB116" s="1989" t="s">
        <v>8547</v>
      </c>
      <c r="CC116" s="1678" t="s">
        <v>8547</v>
      </c>
      <c r="CD116" s="1678"/>
      <c r="CE116" s="1989" t="s">
        <v>8546</v>
      </c>
      <c r="CF116" s="1661" t="s">
        <v>9932</v>
      </c>
      <c r="CG116" s="1661" t="s">
        <v>10932</v>
      </c>
      <c r="CI116" s="1683" t="s">
        <v>6925</v>
      </c>
      <c r="CJ116" s="1678">
        <v>113</v>
      </c>
      <c r="CL116" s="1698" t="s">
        <v>4058</v>
      </c>
      <c r="CM116" s="1699" t="s">
        <v>4183</v>
      </c>
      <c r="CN116" s="1699" t="s">
        <v>3944</v>
      </c>
      <c r="CO116" s="1699" t="s">
        <v>8236</v>
      </c>
      <c r="CP116" s="1699" t="s">
        <v>6416</v>
      </c>
      <c r="CR116" s="1678" t="s">
        <v>8036</v>
      </c>
      <c r="CS116" s="1678" t="s">
        <v>7041</v>
      </c>
      <c r="CW116" s="2252">
        <v>182</v>
      </c>
      <c r="CX116" s="2150" t="s">
        <v>60</v>
      </c>
      <c r="DF116" s="1705"/>
    </row>
    <row r="117" spans="73:110" ht="15" x14ac:dyDescent="0.25">
      <c r="BU117" s="1317" t="s">
        <v>155</v>
      </c>
      <c r="BW117" s="1317" t="s">
        <v>156</v>
      </c>
      <c r="BY117" s="1317" t="s">
        <v>156</v>
      </c>
      <c r="CB117" s="1989" t="s">
        <v>8548</v>
      </c>
      <c r="CC117" s="1678" t="s">
        <v>8548</v>
      </c>
      <c r="CD117" s="1678"/>
      <c r="CE117" s="1989" t="s">
        <v>8547</v>
      </c>
      <c r="CF117" s="1661" t="s">
        <v>9933</v>
      </c>
      <c r="CG117" s="1661" t="s">
        <v>10933</v>
      </c>
      <c r="CI117" s="1683" t="s">
        <v>6926</v>
      </c>
      <c r="CJ117" s="1678">
        <v>114</v>
      </c>
      <c r="CL117" s="1699" t="s">
        <v>6623</v>
      </c>
      <c r="CM117" s="1699" t="s">
        <v>4184</v>
      </c>
      <c r="CN117" s="1699" t="s">
        <v>3943</v>
      </c>
      <c r="CO117" s="1690" t="s">
        <v>4952</v>
      </c>
      <c r="CP117" s="1699" t="s">
        <v>6415</v>
      </c>
      <c r="CR117" s="1678" t="s">
        <v>8035</v>
      </c>
      <c r="CS117" s="1678" t="s">
        <v>7040</v>
      </c>
      <c r="CW117" s="2252">
        <v>181</v>
      </c>
      <c r="CX117" s="2150" t="s">
        <v>60</v>
      </c>
      <c r="DF117" s="1705"/>
    </row>
    <row r="118" spans="73:110" ht="15" x14ac:dyDescent="0.25">
      <c r="BU118" s="1317" t="s">
        <v>156</v>
      </c>
      <c r="BW118" s="1317" t="s">
        <v>157</v>
      </c>
      <c r="BY118" s="1317" t="s">
        <v>157</v>
      </c>
      <c r="CB118" s="1989" t="s">
        <v>8549</v>
      </c>
      <c r="CC118" s="1678" t="s">
        <v>8549</v>
      </c>
      <c r="CD118" s="1678"/>
      <c r="CE118" s="1989" t="s">
        <v>8548</v>
      </c>
      <c r="CF118" s="1661" t="s">
        <v>9934</v>
      </c>
      <c r="CG118" s="1661" t="s">
        <v>10934</v>
      </c>
      <c r="CI118" s="1683" t="s">
        <v>6927</v>
      </c>
      <c r="CJ118" s="1678">
        <v>115</v>
      </c>
      <c r="CL118" s="1699" t="s">
        <v>8231</v>
      </c>
      <c r="CM118" s="1699" t="s">
        <v>4185</v>
      </c>
      <c r="CN118" s="1699" t="s">
        <v>3942</v>
      </c>
      <c r="CO118" s="1690" t="s">
        <v>4953</v>
      </c>
      <c r="CP118" s="1699" t="s">
        <v>6414</v>
      </c>
      <c r="CR118" s="1678" t="s">
        <v>8038</v>
      </c>
      <c r="CS118" s="1678" t="s">
        <v>7101</v>
      </c>
      <c r="CW118" s="2252">
        <v>180</v>
      </c>
      <c r="CX118" s="2150" t="s">
        <v>60</v>
      </c>
      <c r="DF118" s="1705"/>
    </row>
    <row r="119" spans="73:110" ht="15" x14ac:dyDescent="0.25">
      <c r="BU119" s="1317" t="s">
        <v>157</v>
      </c>
      <c r="BW119" s="1317" t="s">
        <v>158</v>
      </c>
      <c r="BY119" s="1317" t="s">
        <v>158</v>
      </c>
      <c r="CB119" s="1989" t="s">
        <v>8550</v>
      </c>
      <c r="CC119" s="1678" t="s">
        <v>8550</v>
      </c>
      <c r="CD119" s="1678"/>
      <c r="CE119" s="1989" t="s">
        <v>8549</v>
      </c>
      <c r="CF119" s="1661" t="s">
        <v>9935</v>
      </c>
      <c r="CG119" s="1661" t="s">
        <v>10935</v>
      </c>
      <c r="CI119" s="1683" t="s">
        <v>6928</v>
      </c>
      <c r="CJ119" s="1678">
        <v>116</v>
      </c>
      <c r="CL119" s="1699" t="s">
        <v>8206</v>
      </c>
      <c r="CM119" s="1699" t="s">
        <v>4186</v>
      </c>
      <c r="CN119" s="1699" t="s">
        <v>3941</v>
      </c>
      <c r="CO119" s="1690" t="s">
        <v>4954</v>
      </c>
      <c r="CP119" s="1699" t="s">
        <v>6413</v>
      </c>
      <c r="CR119" s="1678" t="s">
        <v>8021</v>
      </c>
      <c r="CS119" s="1678" t="s">
        <v>7000</v>
      </c>
      <c r="CW119" s="2252">
        <v>184</v>
      </c>
      <c r="CX119" s="2150" t="s">
        <v>60</v>
      </c>
      <c r="DF119" s="1705"/>
    </row>
    <row r="120" spans="73:110" ht="15" x14ac:dyDescent="0.25">
      <c r="BU120" s="1317" t="s">
        <v>158</v>
      </c>
      <c r="BW120" s="1317" t="s">
        <v>7950</v>
      </c>
      <c r="BY120" s="1317" t="s">
        <v>7950</v>
      </c>
      <c r="CB120" s="1989" t="s">
        <v>8551</v>
      </c>
      <c r="CC120" s="1678" t="s">
        <v>8551</v>
      </c>
      <c r="CD120" s="1678"/>
      <c r="CE120" s="1989" t="s">
        <v>8550</v>
      </c>
      <c r="CF120" s="1661" t="s">
        <v>9936</v>
      </c>
      <c r="CG120" s="1661" t="s">
        <v>10936</v>
      </c>
      <c r="CI120" s="1683" t="s">
        <v>6929</v>
      </c>
      <c r="CJ120" s="1678">
        <v>117</v>
      </c>
      <c r="CL120" s="1699" t="s">
        <v>7421</v>
      </c>
      <c r="CM120" s="1699" t="s">
        <v>4187</v>
      </c>
      <c r="CN120" s="1699" t="s">
        <v>3940</v>
      </c>
      <c r="CO120" s="1690" t="s">
        <v>4955</v>
      </c>
      <c r="CP120" s="1699" t="s">
        <v>6412</v>
      </c>
      <c r="CR120" s="1678" t="s">
        <v>9103</v>
      </c>
      <c r="CS120" s="1678" t="s">
        <v>7766</v>
      </c>
      <c r="CW120" s="2252">
        <v>193</v>
      </c>
      <c r="CX120" s="2150" t="s">
        <v>60</v>
      </c>
      <c r="DF120" s="1705"/>
    </row>
    <row r="121" spans="73:110" ht="15" x14ac:dyDescent="0.25">
      <c r="BU121" s="1317" t="s">
        <v>7950</v>
      </c>
      <c r="BW121" s="1317" t="s">
        <v>7805</v>
      </c>
      <c r="BY121" s="1317" t="s">
        <v>7805</v>
      </c>
      <c r="CB121" s="1989" t="s">
        <v>8552</v>
      </c>
      <c r="CC121" s="1678" t="s">
        <v>8552</v>
      </c>
      <c r="CD121" s="1678"/>
      <c r="CE121" s="1989" t="s">
        <v>8551</v>
      </c>
      <c r="CF121" s="1661" t="s">
        <v>9937</v>
      </c>
      <c r="CG121" s="1661" t="s">
        <v>10937</v>
      </c>
      <c r="CI121" s="1683" t="s">
        <v>6930</v>
      </c>
      <c r="CJ121" s="1678">
        <v>118</v>
      </c>
      <c r="CL121" s="1699" t="s">
        <v>6622</v>
      </c>
      <c r="CM121" s="1699" t="s">
        <v>4188</v>
      </c>
      <c r="CN121" s="1699" t="s">
        <v>3939</v>
      </c>
      <c r="CO121" s="1690" t="s">
        <v>4956</v>
      </c>
      <c r="CP121" s="1699" t="s">
        <v>6411</v>
      </c>
      <c r="CR121" s="1678" t="s">
        <v>9081</v>
      </c>
      <c r="CS121" s="1678" t="s">
        <v>7045</v>
      </c>
      <c r="CW121" s="2252">
        <v>191</v>
      </c>
      <c r="CX121" s="2150" t="s">
        <v>60</v>
      </c>
      <c r="DF121" s="1709"/>
    </row>
    <row r="122" spans="73:110" ht="15" x14ac:dyDescent="0.25">
      <c r="BU122" s="1317" t="s">
        <v>7805</v>
      </c>
      <c r="BW122" s="1317" t="s">
        <v>159</v>
      </c>
      <c r="BY122" s="1317" t="s">
        <v>159</v>
      </c>
      <c r="CB122" s="1989" t="s">
        <v>8553</v>
      </c>
      <c r="CC122" s="1678" t="s">
        <v>8553</v>
      </c>
      <c r="CD122" s="1678"/>
      <c r="CE122" s="1989" t="s">
        <v>8552</v>
      </c>
      <c r="CF122" s="1661" t="s">
        <v>9938</v>
      </c>
      <c r="CG122" s="1661" t="s">
        <v>10938</v>
      </c>
      <c r="CI122" s="1683" t="s">
        <v>6931</v>
      </c>
      <c r="CJ122" s="1678">
        <v>119</v>
      </c>
      <c r="CL122" s="1699" t="s">
        <v>6621</v>
      </c>
      <c r="CM122" s="1699" t="s">
        <v>4189</v>
      </c>
      <c r="CN122" s="1699" t="s">
        <v>3938</v>
      </c>
      <c r="CO122" s="1690" t="s">
        <v>4957</v>
      </c>
      <c r="CP122" s="1699" t="s">
        <v>6410</v>
      </c>
      <c r="CR122" s="1678" t="s">
        <v>9150</v>
      </c>
      <c r="CS122" s="1678" t="s">
        <v>7049</v>
      </c>
      <c r="CW122" s="2252">
        <v>190</v>
      </c>
      <c r="CX122" s="2150" t="s">
        <v>60</v>
      </c>
      <c r="DF122" s="1709"/>
    </row>
    <row r="123" spans="73:110" ht="15" x14ac:dyDescent="0.25">
      <c r="BU123" s="1317" t="s">
        <v>159</v>
      </c>
      <c r="BW123" s="1317" t="s">
        <v>160</v>
      </c>
      <c r="BY123" s="1317" t="s">
        <v>160</v>
      </c>
      <c r="CB123" s="1989" t="s">
        <v>8554</v>
      </c>
      <c r="CC123" s="1678" t="s">
        <v>8554</v>
      </c>
      <c r="CD123" s="1678"/>
      <c r="CE123" s="1989" t="s">
        <v>8553</v>
      </c>
      <c r="CF123" s="1661" t="s">
        <v>9939</v>
      </c>
      <c r="CG123" s="1661" t="s">
        <v>10939</v>
      </c>
      <c r="CI123" s="1683" t="s">
        <v>6932</v>
      </c>
      <c r="CJ123" s="1678">
        <v>120</v>
      </c>
      <c r="CL123" s="1699" t="s">
        <v>6620</v>
      </c>
      <c r="CM123" s="1699" t="s">
        <v>4190</v>
      </c>
      <c r="CN123" s="1699" t="s">
        <v>3937</v>
      </c>
      <c r="CO123" s="1690" t="s">
        <v>4958</v>
      </c>
      <c r="CP123" s="1699" t="s">
        <v>6409</v>
      </c>
      <c r="CR123" s="1678" t="s">
        <v>9107</v>
      </c>
      <c r="CS123" s="1678" t="s">
        <v>7048</v>
      </c>
      <c r="CW123" s="2252">
        <v>822</v>
      </c>
      <c r="CX123" s="2150" t="s">
        <v>77</v>
      </c>
      <c r="DF123" s="1709"/>
    </row>
    <row r="124" spans="73:110" ht="15" x14ac:dyDescent="0.25">
      <c r="BU124" s="1317" t="s">
        <v>160</v>
      </c>
      <c r="BW124" s="1317" t="s">
        <v>7951</v>
      </c>
      <c r="BY124" s="1317" t="s">
        <v>7951</v>
      </c>
      <c r="CB124" s="1989" t="s">
        <v>8555</v>
      </c>
      <c r="CC124" s="1678" t="s">
        <v>8555</v>
      </c>
      <c r="CD124" s="1678"/>
      <c r="CE124" s="1989" t="s">
        <v>8554</v>
      </c>
      <c r="CF124" s="1661" t="s">
        <v>9940</v>
      </c>
      <c r="CG124" s="1661" t="s">
        <v>10940</v>
      </c>
      <c r="CI124" s="1683" t="s">
        <v>6933</v>
      </c>
      <c r="CJ124" s="1678">
        <v>121</v>
      </c>
      <c r="CL124" s="1699" t="s">
        <v>2976</v>
      </c>
      <c r="CM124" s="1699" t="s">
        <v>4191</v>
      </c>
      <c r="CN124" s="1699" t="s">
        <v>3936</v>
      </c>
      <c r="CO124" s="1690" t="s">
        <v>4959</v>
      </c>
      <c r="CP124" s="1699" t="s">
        <v>6408</v>
      </c>
      <c r="CR124" s="1678" t="s">
        <v>9105</v>
      </c>
      <c r="CS124" s="1678" t="s">
        <v>9178</v>
      </c>
      <c r="CW124" s="2252">
        <v>825</v>
      </c>
      <c r="CX124" s="2150" t="s">
        <v>77</v>
      </c>
      <c r="DF124" s="1709"/>
    </row>
    <row r="125" spans="73:110" ht="15" x14ac:dyDescent="0.25">
      <c r="BU125" s="1317" t="s">
        <v>7951</v>
      </c>
      <c r="BW125" s="1317" t="s">
        <v>161</v>
      </c>
      <c r="BY125" s="1317" t="s">
        <v>161</v>
      </c>
      <c r="CB125" s="1989" t="s">
        <v>8556</v>
      </c>
      <c r="CC125" s="1678" t="s">
        <v>8556</v>
      </c>
      <c r="CD125" s="1678"/>
      <c r="CE125" s="1989" t="s">
        <v>8555</v>
      </c>
      <c r="CF125" s="1661" t="s">
        <v>9941</v>
      </c>
      <c r="CG125" s="1661" t="s">
        <v>10941</v>
      </c>
      <c r="CI125" s="1683" t="s">
        <v>6934</v>
      </c>
      <c r="CJ125" s="1678">
        <v>122</v>
      </c>
      <c r="CL125" s="1699" t="s">
        <v>2975</v>
      </c>
      <c r="CM125" s="1699" t="s">
        <v>4192</v>
      </c>
      <c r="CN125" s="1699" t="s">
        <v>3935</v>
      </c>
      <c r="CO125" s="1690" t="s">
        <v>4960</v>
      </c>
      <c r="CP125" s="1699" t="s">
        <v>6407</v>
      </c>
      <c r="CR125" s="1678" t="s">
        <v>9104</v>
      </c>
      <c r="CS125" s="1678" t="s">
        <v>7046</v>
      </c>
      <c r="CW125" s="2252">
        <v>829</v>
      </c>
      <c r="CX125" s="2150" t="s">
        <v>77</v>
      </c>
      <c r="DF125" s="1709"/>
    </row>
    <row r="126" spans="73:110" ht="15" x14ac:dyDescent="0.25">
      <c r="BU126" s="1317" t="s">
        <v>161</v>
      </c>
      <c r="BW126" s="1317" t="s">
        <v>162</v>
      </c>
      <c r="BY126" s="1317" t="s">
        <v>162</v>
      </c>
      <c r="CB126" s="1989" t="s">
        <v>8557</v>
      </c>
      <c r="CC126" s="1678" t="s">
        <v>8557</v>
      </c>
      <c r="CD126" s="1678"/>
      <c r="CE126" s="1989" t="s">
        <v>8556</v>
      </c>
      <c r="CF126" s="1661" t="s">
        <v>9942</v>
      </c>
      <c r="CG126" s="1661" t="s">
        <v>10942</v>
      </c>
      <c r="CI126" s="1683" t="s">
        <v>6935</v>
      </c>
      <c r="CJ126" s="1678">
        <v>123</v>
      </c>
      <c r="CL126" s="1699" t="s">
        <v>2974</v>
      </c>
      <c r="CM126" s="1699" t="s">
        <v>4193</v>
      </c>
      <c r="CN126" s="1699" t="s">
        <v>3934</v>
      </c>
      <c r="CO126" s="1690" t="s">
        <v>4961</v>
      </c>
      <c r="CP126" s="1699" t="s">
        <v>6406</v>
      </c>
      <c r="CR126" s="1678" t="s">
        <v>9106</v>
      </c>
      <c r="CS126" s="1678" t="s">
        <v>7047</v>
      </c>
      <c r="CW126" s="2252">
        <v>815</v>
      </c>
      <c r="CX126" s="2150" t="s">
        <v>77</v>
      </c>
      <c r="DF126" s="1709"/>
    </row>
    <row r="127" spans="73:110" ht="15" x14ac:dyDescent="0.25">
      <c r="BU127" s="1317" t="s">
        <v>162</v>
      </c>
      <c r="BW127" s="1317" t="s">
        <v>163</v>
      </c>
      <c r="BY127" s="1317" t="s">
        <v>163</v>
      </c>
      <c r="CB127" s="1989" t="s">
        <v>8558</v>
      </c>
      <c r="CC127" s="1678" t="s">
        <v>8558</v>
      </c>
      <c r="CD127" s="1678"/>
      <c r="CE127" s="1989" t="s">
        <v>8557</v>
      </c>
      <c r="CF127" s="1661" t="s">
        <v>9943</v>
      </c>
      <c r="CG127" s="1661" t="s">
        <v>10943</v>
      </c>
      <c r="CI127" s="1683" t="s">
        <v>6936</v>
      </c>
      <c r="CJ127" s="1678">
        <v>124</v>
      </c>
      <c r="CL127" s="1699" t="s">
        <v>2973</v>
      </c>
      <c r="CM127" s="1699" t="s">
        <v>4194</v>
      </c>
      <c r="CN127" s="1699" t="s">
        <v>3933</v>
      </c>
      <c r="CO127" s="1690" t="s">
        <v>4962</v>
      </c>
      <c r="CP127" s="1699" t="s">
        <v>6405</v>
      </c>
      <c r="CR127" s="1678" t="s">
        <v>9149</v>
      </c>
      <c r="CS127" s="1678" t="s">
        <v>7102</v>
      </c>
      <c r="CW127" s="2252">
        <v>816</v>
      </c>
      <c r="CX127" s="2150" t="s">
        <v>77</v>
      </c>
      <c r="DF127" s="1709"/>
    </row>
    <row r="128" spans="73:110" ht="15" x14ac:dyDescent="0.25">
      <c r="BU128" s="1317" t="s">
        <v>163</v>
      </c>
      <c r="BW128" s="1317" t="s">
        <v>164</v>
      </c>
      <c r="BY128" s="1317" t="s">
        <v>164</v>
      </c>
      <c r="CB128" s="1989" t="s">
        <v>8559</v>
      </c>
      <c r="CC128" s="1678" t="s">
        <v>8559</v>
      </c>
      <c r="CD128" s="1678"/>
      <c r="CE128" s="1989" t="s">
        <v>8558</v>
      </c>
      <c r="CF128" s="1661" t="s">
        <v>9944</v>
      </c>
      <c r="CG128" s="1661" t="s">
        <v>10944</v>
      </c>
      <c r="CI128" s="1683" t="s">
        <v>6937</v>
      </c>
      <c r="CJ128" s="1678">
        <v>125</v>
      </c>
      <c r="CL128" s="1699" t="s">
        <v>2972</v>
      </c>
      <c r="CM128" s="1699" t="s">
        <v>4195</v>
      </c>
      <c r="CN128" s="1699" t="s">
        <v>3932</v>
      </c>
      <c r="CO128" s="1690" t="s">
        <v>4963</v>
      </c>
      <c r="CP128" s="1699" t="s">
        <v>6404</v>
      </c>
      <c r="CR128" s="1678" t="s">
        <v>9151</v>
      </c>
      <c r="CS128" s="1678" t="s">
        <v>7103</v>
      </c>
      <c r="CW128" s="2252">
        <v>835</v>
      </c>
      <c r="CX128" s="2150" t="s">
        <v>77</v>
      </c>
      <c r="DF128" s="1709"/>
    </row>
    <row r="129" spans="73:110" ht="15" x14ac:dyDescent="0.25">
      <c r="BU129" s="1317" t="s">
        <v>164</v>
      </c>
      <c r="BW129" s="1317" t="s">
        <v>165</v>
      </c>
      <c r="BY129" s="1317" t="s">
        <v>165</v>
      </c>
      <c r="CB129" s="1989" t="s">
        <v>8560</v>
      </c>
      <c r="CC129" s="1678" t="s">
        <v>8560</v>
      </c>
      <c r="CD129" s="1678"/>
      <c r="CE129" s="1989" t="s">
        <v>8559</v>
      </c>
      <c r="CF129" s="1661" t="s">
        <v>9945</v>
      </c>
      <c r="CG129" s="1661" t="s">
        <v>10945</v>
      </c>
      <c r="CI129" s="1683" t="s">
        <v>6938</v>
      </c>
      <c r="CJ129" s="1678">
        <v>126</v>
      </c>
      <c r="CL129" s="1699" t="s">
        <v>2971</v>
      </c>
      <c r="CM129" s="1699" t="s">
        <v>4196</v>
      </c>
      <c r="CN129" s="1699" t="s">
        <v>3931</v>
      </c>
      <c r="CO129" s="1690" t="s">
        <v>4964</v>
      </c>
      <c r="CP129" s="1699" t="s">
        <v>6403</v>
      </c>
      <c r="CR129" s="1678" t="s">
        <v>9130</v>
      </c>
      <c r="CS129" s="1678" t="s">
        <v>9181</v>
      </c>
      <c r="CW129" s="2252">
        <v>828</v>
      </c>
      <c r="CX129" s="2150" t="s">
        <v>77</v>
      </c>
      <c r="DF129" s="1709"/>
    </row>
    <row r="130" spans="73:110" ht="15" x14ac:dyDescent="0.25">
      <c r="BU130" s="1317" t="s">
        <v>165</v>
      </c>
      <c r="BW130" s="1317" t="s">
        <v>166</v>
      </c>
      <c r="BY130" s="1317" t="s">
        <v>166</v>
      </c>
      <c r="CB130" s="1989" t="s">
        <v>8561</v>
      </c>
      <c r="CC130" s="1678" t="s">
        <v>8561</v>
      </c>
      <c r="CD130" s="1678"/>
      <c r="CE130" s="1989" t="s">
        <v>8560</v>
      </c>
      <c r="CF130" s="1661" t="s">
        <v>9946</v>
      </c>
      <c r="CG130" s="1661" t="s">
        <v>10946</v>
      </c>
      <c r="CI130" s="1683" t="s">
        <v>6939</v>
      </c>
      <c r="CJ130" s="1678">
        <v>127</v>
      </c>
      <c r="CL130" s="1699" t="s">
        <v>2970</v>
      </c>
      <c r="CM130" s="1699" t="s">
        <v>4197</v>
      </c>
      <c r="CN130" s="1699" t="s">
        <v>3930</v>
      </c>
      <c r="CO130" s="1690" t="s">
        <v>4965</v>
      </c>
      <c r="CP130" s="1699" t="s">
        <v>6402</v>
      </c>
      <c r="CR130" s="1678" t="s">
        <v>9111</v>
      </c>
      <c r="CS130" s="1678" t="s">
        <v>7052</v>
      </c>
      <c r="CW130" s="2252">
        <v>826</v>
      </c>
      <c r="CX130" s="2150" t="s">
        <v>77</v>
      </c>
      <c r="DF130" s="1709"/>
    </row>
    <row r="131" spans="73:110" ht="15" x14ac:dyDescent="0.25">
      <c r="BU131" s="1317" t="s">
        <v>166</v>
      </c>
      <c r="BW131" s="1317" t="s">
        <v>167</v>
      </c>
      <c r="BY131" s="1317" t="s">
        <v>167</v>
      </c>
      <c r="CB131" s="1989" t="s">
        <v>8562</v>
      </c>
      <c r="CC131" s="1678" t="s">
        <v>8562</v>
      </c>
      <c r="CD131" s="1678"/>
      <c r="CE131" s="1989" t="s">
        <v>8561</v>
      </c>
      <c r="CF131" s="1661" t="s">
        <v>9947</v>
      </c>
      <c r="CG131" s="1661" t="s">
        <v>10947</v>
      </c>
      <c r="CI131" s="1683" t="s">
        <v>6940</v>
      </c>
      <c r="CJ131" s="1678">
        <v>128</v>
      </c>
      <c r="CL131" s="1699" t="s">
        <v>2969</v>
      </c>
      <c r="CM131" s="1699" t="s">
        <v>4198</v>
      </c>
      <c r="CN131" s="1699" t="s">
        <v>3929</v>
      </c>
      <c r="CO131" s="1690" t="s">
        <v>4966</v>
      </c>
      <c r="CP131" s="1699" t="s">
        <v>6401</v>
      </c>
      <c r="CR131" s="1678" t="s">
        <v>9079</v>
      </c>
      <c r="CS131" s="1678" t="s">
        <v>7542</v>
      </c>
      <c r="CW131" s="2252">
        <v>834</v>
      </c>
      <c r="CX131" s="2150" t="s">
        <v>77</v>
      </c>
      <c r="DF131" s="1709"/>
    </row>
    <row r="132" spans="73:110" ht="15" x14ac:dyDescent="0.25">
      <c r="BU132" s="1317" t="s">
        <v>167</v>
      </c>
      <c r="BW132" s="1317" t="s">
        <v>168</v>
      </c>
      <c r="BY132" s="1317" t="s">
        <v>168</v>
      </c>
      <c r="CB132" s="1989" t="s">
        <v>8563</v>
      </c>
      <c r="CC132" s="1678" t="s">
        <v>8563</v>
      </c>
      <c r="CD132" s="1678"/>
      <c r="CE132" s="1989" t="s">
        <v>8562</v>
      </c>
      <c r="CF132" s="1661" t="s">
        <v>9948</v>
      </c>
      <c r="CG132" s="1661" t="s">
        <v>10948</v>
      </c>
      <c r="CI132" s="1683" t="s">
        <v>6941</v>
      </c>
      <c r="CJ132" s="1678">
        <v>129</v>
      </c>
      <c r="CL132" s="1699" t="s">
        <v>2968</v>
      </c>
      <c r="CM132" s="1699" t="s">
        <v>4199</v>
      </c>
      <c r="CN132" s="1699" t="s">
        <v>3928</v>
      </c>
      <c r="CO132" s="1690" t="s">
        <v>4967</v>
      </c>
      <c r="CP132" s="1699" t="s">
        <v>6400</v>
      </c>
      <c r="CR132" s="1678" t="s">
        <v>8887</v>
      </c>
      <c r="CS132" s="1678" t="s">
        <v>8871</v>
      </c>
      <c r="CW132" s="2252">
        <v>833</v>
      </c>
      <c r="CX132" s="2150" t="s">
        <v>77</v>
      </c>
      <c r="DF132" s="1709"/>
    </row>
    <row r="133" spans="73:110" ht="15" x14ac:dyDescent="0.25">
      <c r="BU133" s="1317" t="s">
        <v>168</v>
      </c>
      <c r="BW133" s="1317" t="s">
        <v>7806</v>
      </c>
      <c r="BY133" s="1317" t="s">
        <v>7806</v>
      </c>
      <c r="CB133" s="1989" t="s">
        <v>8564</v>
      </c>
      <c r="CC133" s="1678" t="s">
        <v>8564</v>
      </c>
      <c r="CD133" s="1678"/>
      <c r="CE133" s="1989" t="s">
        <v>8563</v>
      </c>
      <c r="CF133" s="1661" t="s">
        <v>9949</v>
      </c>
      <c r="CG133" s="1661" t="s">
        <v>10949</v>
      </c>
      <c r="CI133" s="1683" t="s">
        <v>6942</v>
      </c>
      <c r="CJ133" s="1678">
        <v>130</v>
      </c>
      <c r="CL133" s="1699" t="s">
        <v>2967</v>
      </c>
      <c r="CM133" s="1699" t="s">
        <v>4200</v>
      </c>
      <c r="CN133" s="1699" t="s">
        <v>3927</v>
      </c>
      <c r="CO133" s="1690" t="s">
        <v>4968</v>
      </c>
      <c r="CP133" s="1699" t="s">
        <v>6399</v>
      </c>
      <c r="CR133" s="1678" t="s">
        <v>8241</v>
      </c>
      <c r="CS133" s="1678" t="s">
        <v>8238</v>
      </c>
      <c r="CW133" s="2252">
        <v>832</v>
      </c>
      <c r="CX133" s="2150" t="s">
        <v>77</v>
      </c>
      <c r="DF133" s="1709"/>
    </row>
    <row r="134" spans="73:110" ht="15" x14ac:dyDescent="0.25">
      <c r="BU134" s="1317" t="s">
        <v>7806</v>
      </c>
      <c r="BW134" s="1317" t="s">
        <v>7807</v>
      </c>
      <c r="BY134" s="1317" t="s">
        <v>7807</v>
      </c>
      <c r="CB134" s="1989" t="s">
        <v>8565</v>
      </c>
      <c r="CC134" s="1678" t="s">
        <v>8565</v>
      </c>
      <c r="CD134" s="1678"/>
      <c r="CE134" s="1989" t="s">
        <v>8564</v>
      </c>
      <c r="CF134" s="1661" t="s">
        <v>9950</v>
      </c>
      <c r="CG134" s="1661" t="s">
        <v>10950</v>
      </c>
      <c r="CI134" s="1683" t="s">
        <v>6943</v>
      </c>
      <c r="CJ134" s="1678">
        <v>131</v>
      </c>
      <c r="CL134" s="1699" t="s">
        <v>2966</v>
      </c>
      <c r="CM134" s="1699" t="s">
        <v>4201</v>
      </c>
      <c r="CN134" s="1699" t="s">
        <v>3926</v>
      </c>
      <c r="CO134" s="1690" t="s">
        <v>4969</v>
      </c>
      <c r="CP134" s="1699" t="s">
        <v>6398</v>
      </c>
      <c r="CR134" s="1678" t="s">
        <v>9110</v>
      </c>
      <c r="CS134" s="1678" t="s">
        <v>7051</v>
      </c>
      <c r="CW134" s="2252">
        <v>827</v>
      </c>
      <c r="CX134" s="2150" t="s">
        <v>77</v>
      </c>
      <c r="DF134" s="1709"/>
    </row>
    <row r="135" spans="73:110" ht="15" x14ac:dyDescent="0.25">
      <c r="BU135" s="1317" t="s">
        <v>7807</v>
      </c>
      <c r="BW135" s="1317" t="s">
        <v>169</v>
      </c>
      <c r="BY135" s="1317" t="s">
        <v>169</v>
      </c>
      <c r="CB135" s="1989" t="s">
        <v>8566</v>
      </c>
      <c r="CC135" s="1678" t="s">
        <v>8566</v>
      </c>
      <c r="CD135" s="1678"/>
      <c r="CE135" s="1989" t="s">
        <v>8565</v>
      </c>
      <c r="CF135" s="1661" t="s">
        <v>9951</v>
      </c>
      <c r="CG135" s="1661" t="s">
        <v>10951</v>
      </c>
      <c r="CI135" s="1683" t="s">
        <v>6944</v>
      </c>
      <c r="CJ135" s="1678">
        <v>132</v>
      </c>
      <c r="CL135" s="1699" t="s">
        <v>2965</v>
      </c>
      <c r="CM135" s="1699" t="s">
        <v>4202</v>
      </c>
      <c r="CN135" s="1699" t="s">
        <v>3925</v>
      </c>
      <c r="CO135" s="1690" t="s">
        <v>4970</v>
      </c>
      <c r="CP135" s="1699" t="s">
        <v>6397</v>
      </c>
      <c r="CR135" s="1678" t="s">
        <v>9112</v>
      </c>
      <c r="CS135" s="1678" t="s">
        <v>7053</v>
      </c>
      <c r="CW135" s="2252">
        <v>831</v>
      </c>
      <c r="CX135" s="2150" t="s">
        <v>77</v>
      </c>
      <c r="DF135" s="1709"/>
    </row>
    <row r="136" spans="73:110" ht="15" x14ac:dyDescent="0.25">
      <c r="BU136" s="1317" t="s">
        <v>169</v>
      </c>
      <c r="BW136" s="1317" t="s">
        <v>170</v>
      </c>
      <c r="BY136" s="1317" t="s">
        <v>170</v>
      </c>
      <c r="CB136" s="1989" t="s">
        <v>8567</v>
      </c>
      <c r="CC136" s="1678" t="s">
        <v>8567</v>
      </c>
      <c r="CD136" s="1678"/>
      <c r="CE136" s="1989" t="s">
        <v>8566</v>
      </c>
      <c r="CF136" s="1661" t="s">
        <v>9952</v>
      </c>
      <c r="CG136" s="1661" t="s">
        <v>10952</v>
      </c>
      <c r="CI136" s="1683" t="s">
        <v>6945</v>
      </c>
      <c r="CJ136" s="1678">
        <v>133</v>
      </c>
      <c r="CL136" s="1699" t="s">
        <v>2964</v>
      </c>
      <c r="CM136" s="1699" t="s">
        <v>4203</v>
      </c>
      <c r="CN136" s="1699" t="s">
        <v>3924</v>
      </c>
      <c r="CO136" s="1690" t="s">
        <v>4971</v>
      </c>
      <c r="CP136" s="1699" t="s">
        <v>6396</v>
      </c>
      <c r="CR136" s="1678" t="s">
        <v>9376</v>
      </c>
      <c r="CS136" s="1678" t="s">
        <v>9371</v>
      </c>
      <c r="CW136" s="2252">
        <v>575</v>
      </c>
      <c r="CX136" s="2150" t="s">
        <v>61</v>
      </c>
      <c r="DF136" s="1709"/>
    </row>
    <row r="137" spans="73:110" ht="15" x14ac:dyDescent="0.25">
      <c r="BU137" s="1317" t="s">
        <v>170</v>
      </c>
      <c r="BW137" s="1317" t="s">
        <v>171</v>
      </c>
      <c r="BY137" s="1317" t="s">
        <v>171</v>
      </c>
      <c r="CB137" s="1989" t="s">
        <v>8568</v>
      </c>
      <c r="CC137" s="1678" t="s">
        <v>8568</v>
      </c>
      <c r="CD137" s="1678"/>
      <c r="CE137" s="1989" t="s">
        <v>8567</v>
      </c>
      <c r="CF137" s="1661" t="s">
        <v>9953</v>
      </c>
      <c r="CG137" s="1661" t="s">
        <v>10953</v>
      </c>
      <c r="CI137" s="1683" t="s">
        <v>6946</v>
      </c>
      <c r="CJ137" s="1678">
        <v>134</v>
      </c>
      <c r="CL137" s="1699" t="s">
        <v>2963</v>
      </c>
      <c r="CM137" s="1699" t="s">
        <v>4204</v>
      </c>
      <c r="CN137" s="1699" t="s">
        <v>3923</v>
      </c>
      <c r="CO137" s="1690" t="s">
        <v>4972</v>
      </c>
      <c r="CP137" s="1699" t="s">
        <v>6395</v>
      </c>
      <c r="CR137" s="1678" t="s">
        <v>9113</v>
      </c>
      <c r="CS137" s="1678" t="s">
        <v>7054</v>
      </c>
      <c r="CW137" s="2252">
        <v>577</v>
      </c>
      <c r="CX137" s="2150" t="s">
        <v>61</v>
      </c>
      <c r="DF137" s="1709"/>
    </row>
    <row r="138" spans="73:110" ht="15" x14ac:dyDescent="0.25">
      <c r="BU138" s="1317" t="s">
        <v>171</v>
      </c>
      <c r="BW138" s="1317" t="s">
        <v>172</v>
      </c>
      <c r="BY138" s="1317" t="s">
        <v>172</v>
      </c>
      <c r="CB138" s="1989" t="s">
        <v>8569</v>
      </c>
      <c r="CC138" s="1678" t="s">
        <v>8569</v>
      </c>
      <c r="CD138" s="1678"/>
      <c r="CE138" s="1989" t="s">
        <v>8568</v>
      </c>
      <c r="CF138" s="1661" t="s">
        <v>9954</v>
      </c>
      <c r="CG138" s="1661" t="s">
        <v>10954</v>
      </c>
      <c r="CI138" s="1683" t="s">
        <v>6947</v>
      </c>
      <c r="CJ138" s="1678">
        <v>135</v>
      </c>
      <c r="CL138" s="1699" t="s">
        <v>2962</v>
      </c>
      <c r="CM138" s="1699" t="s">
        <v>4205</v>
      </c>
      <c r="CN138" s="1699" t="s">
        <v>3922</v>
      </c>
      <c r="CO138" s="1690" t="s">
        <v>4973</v>
      </c>
      <c r="CP138" s="1699" t="s">
        <v>6394</v>
      </c>
      <c r="CR138" s="1678" t="s">
        <v>9153</v>
      </c>
      <c r="CS138" s="1678" t="s">
        <v>7104</v>
      </c>
      <c r="CW138" s="2252">
        <v>571</v>
      </c>
      <c r="CX138" s="2150" t="s">
        <v>61</v>
      </c>
      <c r="DF138" s="1709"/>
    </row>
    <row r="139" spans="73:110" ht="15" x14ac:dyDescent="0.25">
      <c r="BU139" s="1317" t="s">
        <v>172</v>
      </c>
      <c r="BW139" s="1317" t="s">
        <v>173</v>
      </c>
      <c r="BY139" s="1317" t="s">
        <v>173</v>
      </c>
      <c r="CB139" s="1989" t="s">
        <v>8570</v>
      </c>
      <c r="CC139" s="1678" t="s">
        <v>8570</v>
      </c>
      <c r="CD139" s="1678"/>
      <c r="CE139" s="1989" t="s">
        <v>8569</v>
      </c>
      <c r="CF139" s="1661" t="s">
        <v>9955</v>
      </c>
      <c r="CG139" s="1661" t="s">
        <v>10955</v>
      </c>
      <c r="CI139" s="1683" t="s">
        <v>6948</v>
      </c>
      <c r="CJ139" s="1678">
        <v>136</v>
      </c>
      <c r="CL139" s="1699" t="s">
        <v>2961</v>
      </c>
      <c r="CM139" s="1699" t="s">
        <v>4206</v>
      </c>
      <c r="CN139" s="1699" t="s">
        <v>3921</v>
      </c>
      <c r="CO139" s="1690" t="s">
        <v>4974</v>
      </c>
      <c r="CP139" s="1699" t="s">
        <v>6393</v>
      </c>
      <c r="CR139" s="1678" t="s">
        <v>9115</v>
      </c>
      <c r="CS139" s="1678" t="s">
        <v>7055</v>
      </c>
      <c r="CW139" s="2252">
        <v>573</v>
      </c>
      <c r="CX139" s="2150" t="s">
        <v>61</v>
      </c>
      <c r="DF139" s="1709"/>
    </row>
    <row r="140" spans="73:110" ht="15" x14ac:dyDescent="0.25">
      <c r="BU140" s="1317" t="s">
        <v>173</v>
      </c>
      <c r="BW140" s="1317" t="s">
        <v>174</v>
      </c>
      <c r="BY140" s="1317" t="s">
        <v>174</v>
      </c>
      <c r="CB140" s="1989" t="s">
        <v>8571</v>
      </c>
      <c r="CC140" s="1678" t="s">
        <v>8571</v>
      </c>
      <c r="CD140" s="1678"/>
      <c r="CE140" s="1989" t="s">
        <v>8570</v>
      </c>
      <c r="CF140" s="1661" t="s">
        <v>9956</v>
      </c>
      <c r="CG140" s="1661" t="s">
        <v>10956</v>
      </c>
      <c r="CI140" s="1683" t="s">
        <v>6949</v>
      </c>
      <c r="CJ140" s="1678">
        <v>137</v>
      </c>
      <c r="CL140" s="1699" t="s">
        <v>2960</v>
      </c>
      <c r="CM140" s="1699" t="s">
        <v>4207</v>
      </c>
      <c r="CN140" s="1699" t="s">
        <v>3920</v>
      </c>
      <c r="CO140" s="1690" t="s">
        <v>4975</v>
      </c>
      <c r="CP140" s="1699" t="s">
        <v>6392</v>
      </c>
      <c r="CR140" s="1678" t="s">
        <v>8056</v>
      </c>
      <c r="CS140" s="1678" t="s">
        <v>7085</v>
      </c>
      <c r="CW140" s="2252">
        <v>574</v>
      </c>
      <c r="CX140" s="2150" t="s">
        <v>61</v>
      </c>
      <c r="DF140" s="1709"/>
    </row>
    <row r="141" spans="73:110" ht="15" x14ac:dyDescent="0.25">
      <c r="BU141" s="1317" t="s">
        <v>174</v>
      </c>
      <c r="BW141" s="1317" t="s">
        <v>175</v>
      </c>
      <c r="BY141" s="1317" t="s">
        <v>175</v>
      </c>
      <c r="CB141" s="1989" t="s">
        <v>8572</v>
      </c>
      <c r="CC141" s="1678" t="s">
        <v>8572</v>
      </c>
      <c r="CD141" s="1678"/>
      <c r="CE141" s="1989" t="s">
        <v>8571</v>
      </c>
      <c r="CF141" s="1661" t="s">
        <v>9957</v>
      </c>
      <c r="CG141" s="1661" t="s">
        <v>10957</v>
      </c>
      <c r="CI141" s="1683" t="s">
        <v>6950</v>
      </c>
      <c r="CJ141" s="1678">
        <v>138</v>
      </c>
      <c r="CL141" s="1699" t="s">
        <v>2959</v>
      </c>
      <c r="CM141" s="1699" t="s">
        <v>4208</v>
      </c>
      <c r="CN141" s="1699" t="s">
        <v>3919</v>
      </c>
      <c r="CO141" s="1690" t="s">
        <v>4976</v>
      </c>
      <c r="CP141" s="1699" t="s">
        <v>8203</v>
      </c>
      <c r="CR141" s="1678" t="s">
        <v>9114</v>
      </c>
      <c r="CS141" s="1678" t="s">
        <v>9179</v>
      </c>
      <c r="CW141" s="2252">
        <v>562</v>
      </c>
      <c r="CX141" s="2150" t="s">
        <v>61</v>
      </c>
      <c r="DF141" s="1709"/>
    </row>
    <row r="142" spans="73:110" ht="15" x14ac:dyDescent="0.25">
      <c r="BU142" s="1317" t="s">
        <v>175</v>
      </c>
      <c r="BW142" s="1317" t="s">
        <v>7808</v>
      </c>
      <c r="BY142" s="1317" t="s">
        <v>7808</v>
      </c>
      <c r="CB142" s="1989" t="s">
        <v>12708</v>
      </c>
      <c r="CC142" s="1678" t="s">
        <v>8814</v>
      </c>
      <c r="CD142" s="1678"/>
      <c r="CE142" s="1989" t="s">
        <v>8572</v>
      </c>
      <c r="CF142" s="1661" t="s">
        <v>9958</v>
      </c>
      <c r="CG142" s="1661" t="s">
        <v>10958</v>
      </c>
      <c r="CI142" s="1683" t="s">
        <v>6951</v>
      </c>
      <c r="CJ142" s="1678">
        <v>139</v>
      </c>
      <c r="CL142" s="1699" t="s">
        <v>2958</v>
      </c>
      <c r="CM142" s="1699" t="s">
        <v>4209</v>
      </c>
      <c r="CN142" s="1699" t="s">
        <v>3918</v>
      </c>
      <c r="CO142" s="1690" t="s">
        <v>4977</v>
      </c>
      <c r="CP142" s="1699" t="s">
        <v>6391</v>
      </c>
      <c r="CR142" s="1678" t="s">
        <v>9152</v>
      </c>
      <c r="CS142" s="1678" t="s">
        <v>7105</v>
      </c>
      <c r="CW142" s="2252">
        <v>585</v>
      </c>
      <c r="CX142" s="2150" t="s">
        <v>61</v>
      </c>
      <c r="DF142" s="1709"/>
    </row>
    <row r="143" spans="73:110" ht="15" x14ac:dyDescent="0.25">
      <c r="BU143" s="1317" t="s">
        <v>7808</v>
      </c>
      <c r="BW143" s="1317" t="s">
        <v>176</v>
      </c>
      <c r="BY143" s="1317" t="s">
        <v>176</v>
      </c>
      <c r="CB143" s="1989" t="s">
        <v>8573</v>
      </c>
      <c r="CC143" s="1678" t="s">
        <v>8573</v>
      </c>
      <c r="CD143" s="1678"/>
      <c r="CE143" s="1989" t="s">
        <v>12708</v>
      </c>
      <c r="CF143" s="1661" t="s">
        <v>9959</v>
      </c>
      <c r="CG143" s="1661" t="s">
        <v>10959</v>
      </c>
      <c r="CI143" s="1683" t="s">
        <v>6952</v>
      </c>
      <c r="CJ143" s="1678">
        <v>140</v>
      </c>
      <c r="CL143" s="1699" t="s">
        <v>2957</v>
      </c>
      <c r="CM143" s="1699" t="s">
        <v>4210</v>
      </c>
      <c r="CN143" s="1699" t="s">
        <v>3917</v>
      </c>
      <c r="CO143" s="1690" t="s">
        <v>4978</v>
      </c>
      <c r="CP143" s="1699" t="s">
        <v>6390</v>
      </c>
      <c r="CR143" s="1678" t="s">
        <v>9109</v>
      </c>
      <c r="CS143" s="1678" t="s">
        <v>7050</v>
      </c>
      <c r="CW143" s="2252">
        <v>570</v>
      </c>
      <c r="CX143" s="2150" t="s">
        <v>61</v>
      </c>
      <c r="DF143" s="1709"/>
    </row>
    <row r="144" spans="73:110" ht="15" x14ac:dyDescent="0.25">
      <c r="BU144" s="1317" t="s">
        <v>176</v>
      </c>
      <c r="BW144" s="1317" t="s">
        <v>177</v>
      </c>
      <c r="BY144" s="1317" t="s">
        <v>177</v>
      </c>
      <c r="CB144" s="1989" t="s">
        <v>8574</v>
      </c>
      <c r="CC144" s="1678" t="s">
        <v>8574</v>
      </c>
      <c r="CD144" s="1678"/>
      <c r="CE144" s="1989" t="s">
        <v>8573</v>
      </c>
      <c r="CF144" s="1661" t="s">
        <v>9960</v>
      </c>
      <c r="CG144" s="1661" t="s">
        <v>10960</v>
      </c>
      <c r="CI144" s="1683" t="s">
        <v>6953</v>
      </c>
      <c r="CJ144" s="1678">
        <v>141</v>
      </c>
      <c r="CL144" s="1699" t="s">
        <v>2956</v>
      </c>
      <c r="CM144" s="1699" t="s">
        <v>4211</v>
      </c>
      <c r="CN144" s="1699" t="s">
        <v>3916</v>
      </c>
      <c r="CO144" s="1690" t="s">
        <v>4979</v>
      </c>
      <c r="CP144" s="1699" t="s">
        <v>6389</v>
      </c>
      <c r="CR144" s="1678" t="s">
        <v>7762</v>
      </c>
      <c r="CS144" s="1678" t="s">
        <v>7768</v>
      </c>
      <c r="CW144" s="2252">
        <v>591</v>
      </c>
      <c r="CX144" s="2150" t="s">
        <v>61</v>
      </c>
      <c r="DF144" s="1709"/>
    </row>
    <row r="145" spans="73:110" ht="15" x14ac:dyDescent="0.25">
      <c r="BU145" s="1317" t="s">
        <v>177</v>
      </c>
      <c r="BW145" s="1317" t="s">
        <v>7809</v>
      </c>
      <c r="BY145" s="1317" t="s">
        <v>7809</v>
      </c>
      <c r="CB145" s="1989" t="s">
        <v>8575</v>
      </c>
      <c r="CC145" s="1678" t="s">
        <v>8575</v>
      </c>
      <c r="CD145" s="1678"/>
      <c r="CE145" s="1989" t="s">
        <v>8574</v>
      </c>
      <c r="CF145" s="1661" t="s">
        <v>9961</v>
      </c>
      <c r="CG145" s="1661" t="s">
        <v>10961</v>
      </c>
      <c r="CI145" s="1683" t="s">
        <v>6954</v>
      </c>
      <c r="CJ145" s="1678">
        <v>142</v>
      </c>
      <c r="CL145" s="1699" t="s">
        <v>2955</v>
      </c>
      <c r="CM145" s="1699" t="s">
        <v>4212</v>
      </c>
      <c r="CN145" s="1699" t="s">
        <v>3915</v>
      </c>
      <c r="CO145" s="1690" t="s">
        <v>4980</v>
      </c>
      <c r="CP145" s="1699" t="s">
        <v>6388</v>
      </c>
      <c r="CR145" s="1678" t="s">
        <v>8039</v>
      </c>
      <c r="CS145" s="1678" t="s">
        <v>7056</v>
      </c>
      <c r="CW145" s="2252">
        <v>561</v>
      </c>
      <c r="CX145" s="2150" t="s">
        <v>61</v>
      </c>
      <c r="DF145" s="1709"/>
    </row>
    <row r="146" spans="73:110" ht="15" x14ac:dyDescent="0.25">
      <c r="BU146" s="1317" t="s">
        <v>7809</v>
      </c>
      <c r="BW146" s="1317" t="s">
        <v>178</v>
      </c>
      <c r="BY146" s="1317" t="s">
        <v>178</v>
      </c>
      <c r="CB146" s="1989" t="s">
        <v>8576</v>
      </c>
      <c r="CC146" s="1678" t="s">
        <v>8576</v>
      </c>
      <c r="CD146" s="1678"/>
      <c r="CE146" s="1989" t="s">
        <v>8575</v>
      </c>
      <c r="CF146" s="1661" t="s">
        <v>9962</v>
      </c>
      <c r="CG146" s="1661" t="s">
        <v>10962</v>
      </c>
      <c r="CI146" s="1683" t="s">
        <v>6955</v>
      </c>
      <c r="CJ146" s="1678">
        <v>143</v>
      </c>
      <c r="CL146" s="1699" t="s">
        <v>2954</v>
      </c>
      <c r="CM146" s="1699" t="s">
        <v>4213</v>
      </c>
      <c r="CN146" s="1699" t="s">
        <v>3914</v>
      </c>
      <c r="CO146" s="1690" t="s">
        <v>4981</v>
      </c>
      <c r="CP146" s="1699" t="s">
        <v>6387</v>
      </c>
      <c r="CR146" s="1678" t="s">
        <v>8031</v>
      </c>
      <c r="CS146" s="1678" t="s">
        <v>7024</v>
      </c>
      <c r="CW146" s="2252">
        <v>587</v>
      </c>
      <c r="CX146" s="2150" t="s">
        <v>61</v>
      </c>
      <c r="DF146" s="1709"/>
    </row>
    <row r="147" spans="73:110" ht="15" x14ac:dyDescent="0.25">
      <c r="BU147" s="1317" t="s">
        <v>178</v>
      </c>
      <c r="BW147" s="1317" t="s">
        <v>7810</v>
      </c>
      <c r="BY147" s="1317" t="s">
        <v>7810</v>
      </c>
      <c r="CB147" s="1989" t="s">
        <v>8577</v>
      </c>
      <c r="CC147" s="1678" t="s">
        <v>8577</v>
      </c>
      <c r="CD147" s="1678"/>
      <c r="CE147" s="1989" t="s">
        <v>8576</v>
      </c>
      <c r="CF147" s="1661" t="s">
        <v>9963</v>
      </c>
      <c r="CG147" s="1661" t="s">
        <v>10963</v>
      </c>
      <c r="CI147" s="1683" t="s">
        <v>6956</v>
      </c>
      <c r="CJ147" s="1678">
        <v>144</v>
      </c>
      <c r="CL147" s="1699" t="s">
        <v>2953</v>
      </c>
      <c r="CM147" s="1699" t="s">
        <v>4214</v>
      </c>
      <c r="CN147" s="1699" t="s">
        <v>3913</v>
      </c>
      <c r="CO147" s="1690" t="s">
        <v>4982</v>
      </c>
      <c r="CP147" s="1699" t="s">
        <v>6386</v>
      </c>
      <c r="CR147" s="1678" t="s">
        <v>8040</v>
      </c>
      <c r="CS147" s="1678" t="s">
        <v>7058</v>
      </c>
      <c r="CW147" s="2252">
        <v>580</v>
      </c>
      <c r="CX147" s="2150" t="s">
        <v>61</v>
      </c>
      <c r="DF147" s="1709"/>
    </row>
    <row r="148" spans="73:110" ht="15" x14ac:dyDescent="0.25">
      <c r="BU148" s="1317" t="s">
        <v>7810</v>
      </c>
      <c r="BW148" s="1317" t="s">
        <v>7811</v>
      </c>
      <c r="BY148" s="1317" t="s">
        <v>7811</v>
      </c>
      <c r="CB148" s="1989" t="s">
        <v>8815</v>
      </c>
      <c r="CC148" s="1678" t="s">
        <v>8815</v>
      </c>
      <c r="CD148" s="1678"/>
      <c r="CE148" s="1989" t="s">
        <v>8577</v>
      </c>
      <c r="CF148" s="1661" t="s">
        <v>9964</v>
      </c>
      <c r="CG148" s="1661" t="s">
        <v>10964</v>
      </c>
      <c r="CI148" s="1683" t="s">
        <v>6957</v>
      </c>
      <c r="CJ148" s="1678">
        <v>145</v>
      </c>
      <c r="CL148" s="1699" t="s">
        <v>2952</v>
      </c>
      <c r="CM148" s="1699" t="s">
        <v>4215</v>
      </c>
      <c r="CN148" s="1699" t="s">
        <v>3912</v>
      </c>
      <c r="CO148" s="1690" t="s">
        <v>4983</v>
      </c>
      <c r="CP148" s="1699" t="s">
        <v>6385</v>
      </c>
      <c r="CR148" s="1678" t="s">
        <v>9118</v>
      </c>
      <c r="CS148" s="1678" t="s">
        <v>7060</v>
      </c>
      <c r="CW148" s="2252">
        <v>582</v>
      </c>
      <c r="CX148" s="2150" t="s">
        <v>61</v>
      </c>
      <c r="DF148" s="1709"/>
    </row>
    <row r="149" spans="73:110" ht="15" x14ac:dyDescent="0.25">
      <c r="BU149" s="1317" t="s">
        <v>7811</v>
      </c>
      <c r="BW149" s="1317" t="s">
        <v>179</v>
      </c>
      <c r="BY149" s="1317" t="s">
        <v>179</v>
      </c>
      <c r="CB149" s="1989" t="s">
        <v>8578</v>
      </c>
      <c r="CC149" s="1678" t="s">
        <v>8578</v>
      </c>
      <c r="CD149" s="1678"/>
      <c r="CE149" s="1989" t="s">
        <v>8815</v>
      </c>
      <c r="CF149" s="1661" t="s">
        <v>9965</v>
      </c>
      <c r="CG149" s="1661" t="s">
        <v>10965</v>
      </c>
      <c r="CI149" s="1683" t="s">
        <v>6958</v>
      </c>
      <c r="CJ149" s="1678">
        <v>146</v>
      </c>
      <c r="CL149" s="1699" t="s">
        <v>2951</v>
      </c>
      <c r="CM149" s="1699" t="s">
        <v>4216</v>
      </c>
      <c r="CN149" s="1699" t="s">
        <v>3911</v>
      </c>
      <c r="CO149" s="1690" t="s">
        <v>4984</v>
      </c>
      <c r="CP149" s="1699" t="s">
        <v>6384</v>
      </c>
      <c r="CR149" s="1678" t="s">
        <v>9116</v>
      </c>
      <c r="CS149" s="1678" t="s">
        <v>7059</v>
      </c>
      <c r="CW149" s="2252">
        <v>581</v>
      </c>
      <c r="CX149" s="2150" t="s">
        <v>61</v>
      </c>
      <c r="DF149" s="1709"/>
    </row>
    <row r="150" spans="73:110" ht="15" x14ac:dyDescent="0.25">
      <c r="BU150" s="1317" t="s">
        <v>179</v>
      </c>
      <c r="BW150" s="1317" t="s">
        <v>180</v>
      </c>
      <c r="BY150" s="1317" t="s">
        <v>180</v>
      </c>
      <c r="CB150" s="1989" t="s">
        <v>8579</v>
      </c>
      <c r="CC150" s="1678" t="s">
        <v>8579</v>
      </c>
      <c r="CD150" s="1678"/>
      <c r="CE150" s="1989" t="s">
        <v>8578</v>
      </c>
      <c r="CF150" s="1661" t="s">
        <v>9966</v>
      </c>
      <c r="CG150" s="1661" t="s">
        <v>10966</v>
      </c>
      <c r="CI150" s="1683" t="s">
        <v>6959</v>
      </c>
      <c r="CJ150" s="1678">
        <v>147</v>
      </c>
      <c r="CL150" s="1699" t="s">
        <v>2950</v>
      </c>
      <c r="CM150" s="1699" t="s">
        <v>4217</v>
      </c>
      <c r="CN150" s="1699" t="s">
        <v>3910</v>
      </c>
      <c r="CO150" s="1690" t="s">
        <v>4985</v>
      </c>
      <c r="CP150" s="1699" t="s">
        <v>6383</v>
      </c>
      <c r="CR150" s="1678" t="s">
        <v>8041</v>
      </c>
      <c r="CS150" s="1678" t="s">
        <v>7057</v>
      </c>
      <c r="CW150" s="2252">
        <v>583</v>
      </c>
      <c r="CX150" s="2150" t="s">
        <v>61</v>
      </c>
      <c r="DF150" s="1709"/>
    </row>
    <row r="151" spans="73:110" ht="15" x14ac:dyDescent="0.25">
      <c r="BU151" s="1317" t="s">
        <v>180</v>
      </c>
      <c r="BW151" s="1317" t="s">
        <v>181</v>
      </c>
      <c r="BY151" s="1317" t="s">
        <v>181</v>
      </c>
      <c r="CB151" s="1989" t="s">
        <v>8580</v>
      </c>
      <c r="CC151" s="1678" t="s">
        <v>8580</v>
      </c>
      <c r="CD151" s="1678"/>
      <c r="CE151" s="1989" t="s">
        <v>8579</v>
      </c>
      <c r="CF151" s="1661" t="s">
        <v>9967</v>
      </c>
      <c r="CG151" s="1661" t="s">
        <v>10967</v>
      </c>
      <c r="CI151" s="1683" t="s">
        <v>6960</v>
      </c>
      <c r="CJ151" s="1678">
        <v>148</v>
      </c>
      <c r="CL151" s="1699" t="s">
        <v>2949</v>
      </c>
      <c r="CM151" s="1699" t="s">
        <v>4218</v>
      </c>
      <c r="CN151" s="1699" t="s">
        <v>3909</v>
      </c>
      <c r="CO151" s="1690" t="s">
        <v>4986</v>
      </c>
      <c r="CP151" s="1699" t="s">
        <v>6382</v>
      </c>
      <c r="CR151" s="1678" t="s">
        <v>8042</v>
      </c>
      <c r="CS151" s="1678" t="s">
        <v>7061</v>
      </c>
      <c r="CW151" s="2252">
        <v>586</v>
      </c>
      <c r="CX151" s="2150" t="s">
        <v>61</v>
      </c>
      <c r="DF151" s="1710"/>
    </row>
    <row r="152" spans="73:110" ht="15" x14ac:dyDescent="0.25">
      <c r="BU152" s="1317" t="s">
        <v>181</v>
      </c>
      <c r="BW152" s="1317" t="s">
        <v>7812</v>
      </c>
      <c r="BY152" s="1317" t="s">
        <v>7812</v>
      </c>
      <c r="CB152" s="1989" t="s">
        <v>8581</v>
      </c>
      <c r="CC152" s="1678" t="s">
        <v>8581</v>
      </c>
      <c r="CD152" s="1678"/>
      <c r="CE152" s="1989" t="s">
        <v>12709</v>
      </c>
      <c r="CF152" s="1661" t="s">
        <v>9968</v>
      </c>
      <c r="CG152" s="1661" t="s">
        <v>10968</v>
      </c>
      <c r="CI152" s="1683" t="s">
        <v>6961</v>
      </c>
      <c r="CJ152" s="1678">
        <v>149</v>
      </c>
      <c r="CL152" s="1698" t="s">
        <v>7742</v>
      </c>
      <c r="CM152" s="1699" t="s">
        <v>4219</v>
      </c>
      <c r="CN152" s="1699" t="s">
        <v>3908</v>
      </c>
      <c r="CO152" s="1690" t="s">
        <v>4987</v>
      </c>
      <c r="CP152" s="1699" t="s">
        <v>6381</v>
      </c>
      <c r="CR152" s="1678" t="s">
        <v>8057</v>
      </c>
      <c r="CS152" s="1678" t="s">
        <v>7554</v>
      </c>
      <c r="CW152" s="2252">
        <v>590</v>
      </c>
      <c r="CX152" s="2150" t="s">
        <v>61</v>
      </c>
      <c r="DF152" s="1710"/>
    </row>
    <row r="153" spans="73:110" ht="15" x14ac:dyDescent="0.25">
      <c r="BU153" s="1317" t="s">
        <v>7812</v>
      </c>
      <c r="BW153" s="1317" t="s">
        <v>182</v>
      </c>
      <c r="BY153" s="1317" t="s">
        <v>182</v>
      </c>
      <c r="CB153" s="1989" t="s">
        <v>8582</v>
      </c>
      <c r="CC153" s="1678" t="s">
        <v>8582</v>
      </c>
      <c r="CD153" s="1678"/>
      <c r="CE153" s="1989" t="s">
        <v>8581</v>
      </c>
      <c r="CF153" s="1661" t="s">
        <v>9969</v>
      </c>
      <c r="CG153" s="1661" t="s">
        <v>10969</v>
      </c>
      <c r="CI153" s="1683" t="s">
        <v>6962</v>
      </c>
      <c r="CJ153" s="1678">
        <v>150</v>
      </c>
      <c r="CK153" s="1697"/>
      <c r="CL153" s="1699" t="s">
        <v>8145</v>
      </c>
      <c r="CM153" s="1699" t="s">
        <v>4220</v>
      </c>
      <c r="CN153" s="1699" t="s">
        <v>3907</v>
      </c>
      <c r="CO153" s="1690" t="s">
        <v>4988</v>
      </c>
      <c r="CP153" s="1699" t="s">
        <v>6380</v>
      </c>
      <c r="CR153" s="1678" t="s">
        <v>8043</v>
      </c>
      <c r="CS153" s="1678" t="s">
        <v>7062</v>
      </c>
      <c r="CW153" s="2252">
        <v>572</v>
      </c>
      <c r="CX153" s="2150" t="s">
        <v>61</v>
      </c>
      <c r="DF153" s="1710"/>
    </row>
    <row r="154" spans="73:110" ht="15" x14ac:dyDescent="0.25">
      <c r="BU154" s="1317" t="s">
        <v>182</v>
      </c>
      <c r="BW154" s="1317" t="s">
        <v>183</v>
      </c>
      <c r="BY154" s="1317" t="s">
        <v>183</v>
      </c>
      <c r="CB154" s="1989" t="s">
        <v>8583</v>
      </c>
      <c r="CC154" s="1678" t="s">
        <v>8583</v>
      </c>
      <c r="CD154" s="1678"/>
      <c r="CE154" s="1989" t="s">
        <v>8582</v>
      </c>
      <c r="CF154" s="1661" t="s">
        <v>9970</v>
      </c>
      <c r="CG154" s="1661" t="s">
        <v>10970</v>
      </c>
      <c r="CI154" s="1683" t="s">
        <v>6963</v>
      </c>
      <c r="CJ154" s="1678">
        <v>151</v>
      </c>
      <c r="CL154" s="1699" t="s">
        <v>8004</v>
      </c>
      <c r="CM154" s="1699" t="s">
        <v>4221</v>
      </c>
      <c r="CN154" s="1699" t="s">
        <v>3906</v>
      </c>
      <c r="CO154" s="1690" t="s">
        <v>4989</v>
      </c>
      <c r="CP154" s="1699" t="s">
        <v>6379</v>
      </c>
      <c r="CR154" s="1678" t="s">
        <v>8067</v>
      </c>
      <c r="CS154" s="1678" t="s">
        <v>8070</v>
      </c>
      <c r="CW154" s="2252">
        <v>584</v>
      </c>
      <c r="CX154" s="2150" t="s">
        <v>61</v>
      </c>
      <c r="DF154" s="1710"/>
    </row>
    <row r="155" spans="73:110" ht="15" x14ac:dyDescent="0.25">
      <c r="BU155" s="1317" t="s">
        <v>183</v>
      </c>
      <c r="BW155" s="1317" t="s">
        <v>184</v>
      </c>
      <c r="BY155" s="1317" t="s">
        <v>184</v>
      </c>
      <c r="CB155" s="1989" t="s">
        <v>8584</v>
      </c>
      <c r="CC155" s="1678" t="s">
        <v>8584</v>
      </c>
      <c r="CD155" s="1678"/>
      <c r="CE155" s="1989" t="s">
        <v>8583</v>
      </c>
      <c r="CF155" s="1661" t="s">
        <v>9971</v>
      </c>
      <c r="CG155" s="1661" t="s">
        <v>10971</v>
      </c>
      <c r="CI155" s="1683" t="s">
        <v>6964</v>
      </c>
      <c r="CJ155" s="1678">
        <v>152</v>
      </c>
      <c r="CL155" s="1699" t="s">
        <v>7743</v>
      </c>
      <c r="CM155" s="1699" t="s">
        <v>4222</v>
      </c>
      <c r="CN155" s="1699" t="s">
        <v>3905</v>
      </c>
      <c r="CO155" s="1690" t="s">
        <v>4990</v>
      </c>
      <c r="CP155" s="1699" t="s">
        <v>6378</v>
      </c>
      <c r="CR155" s="1678" t="s">
        <v>8242</v>
      </c>
      <c r="CS155" s="1678" t="s">
        <v>8239</v>
      </c>
      <c r="CW155" s="2252">
        <v>560</v>
      </c>
      <c r="CX155" s="2150" t="s">
        <v>61</v>
      </c>
      <c r="DF155" s="1710"/>
    </row>
    <row r="156" spans="73:110" ht="15" x14ac:dyDescent="0.25">
      <c r="BU156" s="1317" t="s">
        <v>184</v>
      </c>
      <c r="BW156" s="1317" t="s">
        <v>185</v>
      </c>
      <c r="BY156" s="1317" t="s">
        <v>185</v>
      </c>
      <c r="CB156" s="1989" t="s">
        <v>8585</v>
      </c>
      <c r="CC156" s="1678" t="s">
        <v>8585</v>
      </c>
      <c r="CD156" s="1678"/>
      <c r="CE156" s="1989" t="s">
        <v>8584</v>
      </c>
      <c r="CF156" s="1661" t="s">
        <v>9972</v>
      </c>
      <c r="CG156" s="1661" t="s">
        <v>10972</v>
      </c>
      <c r="CI156" s="1683" t="s">
        <v>6965</v>
      </c>
      <c r="CJ156" s="1678">
        <v>153</v>
      </c>
      <c r="CL156" s="1699" t="s">
        <v>7744</v>
      </c>
      <c r="CM156" s="1699" t="s">
        <v>4223</v>
      </c>
      <c r="CN156" s="1699" t="s">
        <v>3904</v>
      </c>
      <c r="CO156" s="1690" t="s">
        <v>4991</v>
      </c>
      <c r="CP156" s="1699" t="s">
        <v>6377</v>
      </c>
      <c r="CR156" s="1678" t="s">
        <v>8044</v>
      </c>
      <c r="CS156" s="1678" t="s">
        <v>7063</v>
      </c>
      <c r="CW156" s="2252">
        <v>576</v>
      </c>
      <c r="CX156" s="2150" t="s">
        <v>61</v>
      </c>
      <c r="DF156" s="1710"/>
    </row>
    <row r="157" spans="73:110" ht="15" x14ac:dyDescent="0.25">
      <c r="BU157" s="1317" t="s">
        <v>185</v>
      </c>
      <c r="BW157" s="1317" t="s">
        <v>186</v>
      </c>
      <c r="BY157" s="1317" t="s">
        <v>186</v>
      </c>
      <c r="CB157" s="1989" t="s">
        <v>12710</v>
      </c>
      <c r="CC157" s="1678" t="s">
        <v>8816</v>
      </c>
      <c r="CD157" s="1678"/>
      <c r="CE157" s="1989" t="s">
        <v>8585</v>
      </c>
      <c r="CF157" s="1661" t="s">
        <v>9973</v>
      </c>
      <c r="CG157" s="1661" t="s">
        <v>10973</v>
      </c>
      <c r="CI157" s="1683" t="s">
        <v>6966</v>
      </c>
      <c r="CJ157" s="1678">
        <v>154</v>
      </c>
      <c r="CL157" s="1699" t="s">
        <v>6707</v>
      </c>
      <c r="CM157" s="1699" t="s">
        <v>4224</v>
      </c>
      <c r="CN157" s="1699" t="s">
        <v>3903</v>
      </c>
      <c r="CO157" s="1690" t="s">
        <v>4992</v>
      </c>
      <c r="CP157" s="1699" t="s">
        <v>6376</v>
      </c>
      <c r="CR157" s="1678" t="s">
        <v>9122</v>
      </c>
      <c r="CS157" s="1678" t="s">
        <v>7107</v>
      </c>
      <c r="CW157" s="2252">
        <v>563</v>
      </c>
      <c r="CX157" s="2150" t="s">
        <v>61</v>
      </c>
      <c r="DF157" s="1710"/>
    </row>
    <row r="158" spans="73:110" ht="15" x14ac:dyDescent="0.25">
      <c r="BU158" s="1317" t="s">
        <v>186</v>
      </c>
      <c r="BW158" s="1317" t="s">
        <v>187</v>
      </c>
      <c r="BY158" s="1317" t="s">
        <v>187</v>
      </c>
      <c r="CB158" s="1989" t="s">
        <v>12711</v>
      </c>
      <c r="CC158" s="1678" t="s">
        <v>8817</v>
      </c>
      <c r="CD158" s="1678"/>
      <c r="CE158" s="1989" t="s">
        <v>12710</v>
      </c>
      <c r="CF158" s="1661" t="s">
        <v>9974</v>
      </c>
      <c r="CG158" s="1661" t="s">
        <v>10974</v>
      </c>
      <c r="CI158" s="1683" t="s">
        <v>6967</v>
      </c>
      <c r="CJ158" s="1678">
        <v>155</v>
      </c>
      <c r="CL158" s="1699" t="s">
        <v>6706</v>
      </c>
      <c r="CM158" s="1699" t="s">
        <v>4225</v>
      </c>
      <c r="CN158" s="1699" t="s">
        <v>3902</v>
      </c>
      <c r="CO158" s="1690" t="s">
        <v>4993</v>
      </c>
      <c r="CP158" s="1699" t="s">
        <v>6375</v>
      </c>
      <c r="CR158" s="1678" t="s">
        <v>9086</v>
      </c>
      <c r="CS158" s="1678" t="s">
        <v>9175</v>
      </c>
      <c r="CW158" s="2252">
        <v>682</v>
      </c>
      <c r="CX158" s="2150" t="s">
        <v>62</v>
      </c>
      <c r="DF158" s="1710"/>
    </row>
    <row r="159" spans="73:110" ht="15" x14ac:dyDescent="0.25">
      <c r="BU159" s="1317" t="s">
        <v>187</v>
      </c>
      <c r="BW159" s="1317" t="s">
        <v>188</v>
      </c>
      <c r="BY159" s="1317" t="s">
        <v>188</v>
      </c>
      <c r="CB159" s="1989" t="s">
        <v>8818</v>
      </c>
      <c r="CC159" s="1678" t="s">
        <v>8818</v>
      </c>
      <c r="CD159" s="1678"/>
      <c r="CE159" s="1989" t="s">
        <v>12711</v>
      </c>
      <c r="CF159" s="1661" t="s">
        <v>9975</v>
      </c>
      <c r="CG159" s="1661" t="s">
        <v>10975</v>
      </c>
      <c r="CI159" s="1683" t="s">
        <v>6968</v>
      </c>
      <c r="CJ159" s="1678">
        <v>156</v>
      </c>
      <c r="CL159" s="1699" t="s">
        <v>6705</v>
      </c>
      <c r="CM159" s="1699" t="s">
        <v>4226</v>
      </c>
      <c r="CN159" s="1699" t="s">
        <v>3901</v>
      </c>
      <c r="CO159" s="1690" t="s">
        <v>4994</v>
      </c>
      <c r="CP159" s="1699" t="s">
        <v>8202</v>
      </c>
      <c r="CR159" s="1678" t="s">
        <v>9123</v>
      </c>
      <c r="CS159" s="1678" t="s">
        <v>7066</v>
      </c>
      <c r="CW159" s="2252">
        <v>680</v>
      </c>
      <c r="CX159" s="2150" t="s">
        <v>62</v>
      </c>
      <c r="DF159" s="1710"/>
    </row>
    <row r="160" spans="73:110" ht="15" x14ac:dyDescent="0.25">
      <c r="BU160" s="1317" t="s">
        <v>188</v>
      </c>
      <c r="BW160" s="1317" t="s">
        <v>7813</v>
      </c>
      <c r="BY160" s="1317" t="s">
        <v>7813</v>
      </c>
      <c r="CB160" s="1989" t="s">
        <v>8586</v>
      </c>
      <c r="CC160" s="1678" t="s">
        <v>8586</v>
      </c>
      <c r="CD160" s="1678"/>
      <c r="CE160" s="1989" t="s">
        <v>8818</v>
      </c>
      <c r="CF160" s="1661" t="s">
        <v>9976</v>
      </c>
      <c r="CG160" s="1661" t="s">
        <v>10976</v>
      </c>
      <c r="CI160" s="1683" t="s">
        <v>6969</v>
      </c>
      <c r="CJ160" s="1678">
        <v>157</v>
      </c>
      <c r="CL160" s="1699" t="s">
        <v>6704</v>
      </c>
      <c r="CM160" s="1699" t="s">
        <v>4227</v>
      </c>
      <c r="CN160" s="1699" t="s">
        <v>3900</v>
      </c>
      <c r="CO160" s="1690" t="s">
        <v>4995</v>
      </c>
      <c r="CP160" s="1699" t="s">
        <v>6374</v>
      </c>
      <c r="CR160" s="1678" t="s">
        <v>9124</v>
      </c>
      <c r="CS160" s="1678" t="s">
        <v>7066</v>
      </c>
      <c r="CW160" s="2252">
        <v>683</v>
      </c>
      <c r="CX160" s="2150" t="s">
        <v>62</v>
      </c>
      <c r="DF160" s="1705"/>
    </row>
    <row r="161" spans="5:110" ht="15" x14ac:dyDescent="0.25">
      <c r="BU161" s="1317" t="s">
        <v>7813</v>
      </c>
      <c r="BW161" s="1317" t="s">
        <v>189</v>
      </c>
      <c r="BY161" s="1317" t="s">
        <v>189</v>
      </c>
      <c r="CB161" s="1989" t="s">
        <v>8587</v>
      </c>
      <c r="CC161" s="1678" t="s">
        <v>8587</v>
      </c>
      <c r="CD161" s="1678"/>
      <c r="CE161" s="1989" t="s">
        <v>8586</v>
      </c>
      <c r="CF161" s="1661" t="s">
        <v>9977</v>
      </c>
      <c r="CG161" s="1661" t="s">
        <v>10977</v>
      </c>
      <c r="CI161" s="1683" t="s">
        <v>6970</v>
      </c>
      <c r="CJ161" s="1678">
        <v>158</v>
      </c>
      <c r="CL161" s="1699" t="s">
        <v>6703</v>
      </c>
      <c r="CM161" s="1699" t="s">
        <v>4228</v>
      </c>
      <c r="CN161" s="1699" t="s">
        <v>3899</v>
      </c>
      <c r="CO161" s="1690" t="s">
        <v>4996</v>
      </c>
      <c r="CP161" s="1699" t="s">
        <v>6373</v>
      </c>
      <c r="CR161" s="1678" t="s">
        <v>9121</v>
      </c>
      <c r="CS161" s="1678" t="s">
        <v>7066</v>
      </c>
      <c r="CW161" s="2252">
        <v>686</v>
      </c>
      <c r="CX161" s="2150" t="s">
        <v>62</v>
      </c>
      <c r="DF161" s="1705"/>
    </row>
    <row r="162" spans="5:110" ht="15" x14ac:dyDescent="0.25">
      <c r="BU162" s="1317" t="s">
        <v>189</v>
      </c>
      <c r="BW162" s="1317" t="s">
        <v>190</v>
      </c>
      <c r="BY162" s="1317" t="s">
        <v>190</v>
      </c>
      <c r="CB162" s="1989" t="s">
        <v>8588</v>
      </c>
      <c r="CC162" s="1678" t="s">
        <v>8588</v>
      </c>
      <c r="CD162" s="1678"/>
      <c r="CE162" s="1989" t="s">
        <v>8587</v>
      </c>
      <c r="CF162" s="1661" t="s">
        <v>9978</v>
      </c>
      <c r="CG162" s="1661" t="s">
        <v>10978</v>
      </c>
      <c r="CI162" s="1683" t="s">
        <v>6971</v>
      </c>
      <c r="CJ162" s="1678">
        <v>159</v>
      </c>
      <c r="CL162" s="1699" t="s">
        <v>6702</v>
      </c>
      <c r="CM162" s="1699" t="s">
        <v>4229</v>
      </c>
      <c r="CN162" s="1699" t="s">
        <v>3898</v>
      </c>
      <c r="CO162" s="1690" t="s">
        <v>4997</v>
      </c>
      <c r="CP162" s="1699" t="s">
        <v>6372</v>
      </c>
      <c r="CR162" s="1678" t="s">
        <v>8881</v>
      </c>
      <c r="CS162" s="1678" t="s">
        <v>7066</v>
      </c>
      <c r="CW162" s="2252">
        <v>688</v>
      </c>
      <c r="CX162" s="2150" t="s">
        <v>62</v>
      </c>
      <c r="DF162" s="1705"/>
    </row>
    <row r="163" spans="5:110" ht="15" x14ac:dyDescent="0.25">
      <c r="BU163" s="1317" t="s">
        <v>190</v>
      </c>
      <c r="BW163" s="1317" t="s">
        <v>191</v>
      </c>
      <c r="BY163" s="1317" t="s">
        <v>191</v>
      </c>
      <c r="CB163" s="1989" t="s">
        <v>8589</v>
      </c>
      <c r="CC163" s="1678" t="s">
        <v>8589</v>
      </c>
      <c r="CD163" s="1678"/>
      <c r="CE163" s="1989" t="s">
        <v>8588</v>
      </c>
      <c r="CF163" s="1661" t="s">
        <v>9979</v>
      </c>
      <c r="CG163" s="1661" t="s">
        <v>10979</v>
      </c>
      <c r="CI163" s="1683" t="s">
        <v>6972</v>
      </c>
      <c r="CJ163" s="1678">
        <v>160</v>
      </c>
      <c r="CL163" s="1699" t="s">
        <v>6701</v>
      </c>
      <c r="CM163" s="1699" t="s">
        <v>4230</v>
      </c>
      <c r="CN163" s="1699" t="s">
        <v>3897</v>
      </c>
      <c r="CO163" s="1690" t="s">
        <v>4998</v>
      </c>
      <c r="CP163" s="1699" t="s">
        <v>6371</v>
      </c>
      <c r="CR163" s="1678" t="s">
        <v>9120</v>
      </c>
      <c r="CS163" s="1678" t="s">
        <v>7064</v>
      </c>
      <c r="CW163" s="2252">
        <v>685</v>
      </c>
      <c r="CX163" s="2150" t="s">
        <v>62</v>
      </c>
      <c r="DF163" s="1705"/>
    </row>
    <row r="164" spans="5:110" ht="15" x14ac:dyDescent="0.25">
      <c r="BU164" s="1317" t="s">
        <v>191</v>
      </c>
      <c r="BW164" s="1317" t="s">
        <v>192</v>
      </c>
      <c r="BY164" s="1317" t="s">
        <v>192</v>
      </c>
      <c r="CB164" s="1989" t="s">
        <v>8590</v>
      </c>
      <c r="CC164" s="1678" t="s">
        <v>8590</v>
      </c>
      <c r="CD164" s="1678"/>
      <c r="CE164" s="1989" t="s">
        <v>8589</v>
      </c>
      <c r="CF164" s="1661" t="s">
        <v>9980</v>
      </c>
      <c r="CG164" s="1661" t="s">
        <v>10980</v>
      </c>
      <c r="CI164" s="1683" t="s">
        <v>6973</v>
      </c>
      <c r="CJ164" s="1678">
        <v>161</v>
      </c>
      <c r="CL164" s="1699" t="s">
        <v>6700</v>
      </c>
      <c r="CM164" s="1699" t="s">
        <v>4231</v>
      </c>
      <c r="CN164" s="1699" t="s">
        <v>3896</v>
      </c>
      <c r="CO164" s="1690" t="s">
        <v>4999</v>
      </c>
      <c r="CP164" s="1699" t="s">
        <v>6370</v>
      </c>
      <c r="CR164" s="1678" t="s">
        <v>8888</v>
      </c>
      <c r="CS164" s="1678" t="s">
        <v>8872</v>
      </c>
      <c r="CW164" s="2252">
        <v>673</v>
      </c>
      <c r="CX164" s="2150" t="s">
        <v>62</v>
      </c>
      <c r="DF164" s="1705"/>
    </row>
    <row r="165" spans="5:110" ht="15" x14ac:dyDescent="0.25">
      <c r="BU165" s="1317" t="s">
        <v>192</v>
      </c>
      <c r="BW165" s="1317" t="s">
        <v>7814</v>
      </c>
      <c r="BY165" s="1317" t="s">
        <v>7814</v>
      </c>
      <c r="CB165" s="1989" t="s">
        <v>8591</v>
      </c>
      <c r="CC165" s="1678" t="s">
        <v>8591</v>
      </c>
      <c r="CD165" s="1678"/>
      <c r="CE165" s="1989" t="s">
        <v>8590</v>
      </c>
      <c r="CF165" s="1661" t="s">
        <v>9981</v>
      </c>
      <c r="CG165" s="1661" t="s">
        <v>10981</v>
      </c>
      <c r="CI165" s="1683" t="s">
        <v>6974</v>
      </c>
      <c r="CJ165" s="1678">
        <v>162</v>
      </c>
      <c r="CL165" s="1699" t="s">
        <v>6699</v>
      </c>
      <c r="CM165" s="1699" t="s">
        <v>4232</v>
      </c>
      <c r="CN165" s="1699" t="s">
        <v>3895</v>
      </c>
      <c r="CO165" s="1690" t="s">
        <v>5000</v>
      </c>
      <c r="CP165" s="1699" t="s">
        <v>6369</v>
      </c>
      <c r="CR165" s="1678" t="s">
        <v>9119</v>
      </c>
      <c r="CS165" s="1678" t="s">
        <v>7065</v>
      </c>
      <c r="CW165" s="2252">
        <v>670</v>
      </c>
      <c r="CX165" s="2150" t="s">
        <v>62</v>
      </c>
      <c r="DF165" s="1705"/>
    </row>
    <row r="166" spans="5:110" ht="15" x14ac:dyDescent="0.25">
      <c r="BU166" s="1317" t="s">
        <v>7814</v>
      </c>
      <c r="BW166" s="1317" t="s">
        <v>7815</v>
      </c>
      <c r="BY166" s="1317" t="s">
        <v>7815</v>
      </c>
      <c r="CB166" s="1989" t="s">
        <v>8592</v>
      </c>
      <c r="CC166" s="1678" t="s">
        <v>8592</v>
      </c>
      <c r="CD166" s="1678"/>
      <c r="CE166" s="1989" t="s">
        <v>8591</v>
      </c>
      <c r="CF166" s="1661" t="s">
        <v>9982</v>
      </c>
      <c r="CG166" s="1661" t="s">
        <v>10982</v>
      </c>
      <c r="CI166" s="1683" t="s">
        <v>6975</v>
      </c>
      <c r="CJ166" s="1678">
        <v>163</v>
      </c>
      <c r="CL166" s="1699" t="s">
        <v>6698</v>
      </c>
      <c r="CM166" s="1699" t="s">
        <v>4233</v>
      </c>
      <c r="CN166" s="1699" t="s">
        <v>3894</v>
      </c>
      <c r="CO166" s="1690" t="s">
        <v>5001</v>
      </c>
      <c r="CP166" s="1699" t="s">
        <v>6368</v>
      </c>
      <c r="CR166" s="1678" t="s">
        <v>9154</v>
      </c>
      <c r="CS166" s="1678" t="s">
        <v>7106</v>
      </c>
      <c r="CW166" s="2252">
        <v>695</v>
      </c>
      <c r="CX166" s="2150" t="s">
        <v>62</v>
      </c>
      <c r="DF166" s="1705"/>
    </row>
    <row r="167" spans="5:110" ht="15" x14ac:dyDescent="0.25">
      <c r="BU167" s="1317" t="s">
        <v>7815</v>
      </c>
      <c r="BW167" s="1317" t="s">
        <v>7816</v>
      </c>
      <c r="BY167" s="1317" t="s">
        <v>7816</v>
      </c>
      <c r="CB167" s="1989" t="s">
        <v>8593</v>
      </c>
      <c r="CC167" s="1678" t="s">
        <v>8593</v>
      </c>
      <c r="CD167" s="1678"/>
      <c r="CE167" s="1989" t="s">
        <v>8592</v>
      </c>
      <c r="CF167" s="1661" t="s">
        <v>9983</v>
      </c>
      <c r="CG167" s="1661" t="s">
        <v>10983</v>
      </c>
      <c r="CI167" s="1683" t="s">
        <v>6976</v>
      </c>
      <c r="CJ167" s="1678">
        <v>999</v>
      </c>
      <c r="CL167" s="1699" t="s">
        <v>6697</v>
      </c>
      <c r="CM167" s="1699" t="s">
        <v>4234</v>
      </c>
      <c r="CN167" s="1699" t="s">
        <v>3893</v>
      </c>
      <c r="CO167" s="1690" t="s">
        <v>5002</v>
      </c>
      <c r="CP167" s="1699" t="s">
        <v>6367</v>
      </c>
      <c r="CR167" s="1678" t="s">
        <v>8046</v>
      </c>
      <c r="CS167" s="1678" t="s">
        <v>7067</v>
      </c>
      <c r="CW167" s="2252">
        <v>679</v>
      </c>
      <c r="CX167" s="2150" t="s">
        <v>62</v>
      </c>
      <c r="DF167" s="1705"/>
    </row>
    <row r="168" spans="5:110" ht="15" x14ac:dyDescent="0.25">
      <c r="E168" s="848"/>
      <c r="BU168" s="1317" t="s">
        <v>7816</v>
      </c>
      <c r="BW168" s="1317" t="s">
        <v>193</v>
      </c>
      <c r="BY168" s="1317" t="s">
        <v>193</v>
      </c>
      <c r="CB168" s="1989" t="s">
        <v>8594</v>
      </c>
      <c r="CC168" s="1678" t="s">
        <v>8594</v>
      </c>
      <c r="CD168" s="1678"/>
      <c r="CE168" s="1989" t="s">
        <v>8593</v>
      </c>
      <c r="CF168" s="1661" t="s">
        <v>9984</v>
      </c>
      <c r="CG168" s="1661" t="s">
        <v>10984</v>
      </c>
      <c r="CL168" s="1699" t="s">
        <v>6696</v>
      </c>
      <c r="CM168" s="1699" t="s">
        <v>4235</v>
      </c>
      <c r="CN168" s="1699" t="s">
        <v>3892</v>
      </c>
      <c r="CO168" s="1690" t="s">
        <v>5003</v>
      </c>
      <c r="CP168" s="1699" t="s">
        <v>6366</v>
      </c>
      <c r="CR168" s="1678" t="s">
        <v>9125</v>
      </c>
      <c r="CS168" s="1678" t="s">
        <v>7109</v>
      </c>
      <c r="CW168" s="2252">
        <v>689</v>
      </c>
      <c r="CX168" s="2150" t="s">
        <v>62</v>
      </c>
      <c r="DF168" s="1705"/>
    </row>
    <row r="169" spans="5:110" ht="15" x14ac:dyDescent="0.25">
      <c r="E169" s="1688"/>
      <c r="BU169" s="1317" t="s">
        <v>193</v>
      </c>
      <c r="BW169" s="1317" t="s">
        <v>194</v>
      </c>
      <c r="BY169" s="1317" t="s">
        <v>194</v>
      </c>
      <c r="CB169" s="1989" t="s">
        <v>8595</v>
      </c>
      <c r="CC169" s="1678" t="s">
        <v>8595</v>
      </c>
      <c r="CD169" s="1678"/>
      <c r="CE169" s="1989" t="s">
        <v>8594</v>
      </c>
      <c r="CF169" s="1661" t="s">
        <v>9985</v>
      </c>
      <c r="CG169" s="1661" t="s">
        <v>10985</v>
      </c>
      <c r="CL169" s="1699" t="s">
        <v>6695</v>
      </c>
      <c r="CM169" s="1699" t="s">
        <v>4236</v>
      </c>
      <c r="CN169" s="1699" t="s">
        <v>3891</v>
      </c>
      <c r="CO169" s="1690" t="s">
        <v>5004</v>
      </c>
      <c r="CP169" s="1699" t="s">
        <v>6365</v>
      </c>
      <c r="CR169" s="1678" t="s">
        <v>9377</v>
      </c>
      <c r="CS169" s="1678" t="s">
        <v>9372</v>
      </c>
      <c r="CW169" s="2252">
        <v>676</v>
      </c>
      <c r="CX169" s="2150" t="s">
        <v>62</v>
      </c>
      <c r="DF169" s="1705"/>
    </row>
    <row r="170" spans="5:110" ht="15" x14ac:dyDescent="0.25">
      <c r="E170" s="848"/>
      <c r="BU170" s="1317" t="s">
        <v>194</v>
      </c>
      <c r="BW170" s="1317" t="s">
        <v>195</v>
      </c>
      <c r="BY170" s="1317" t="s">
        <v>195</v>
      </c>
      <c r="CB170" s="1989" t="s">
        <v>8596</v>
      </c>
      <c r="CC170" s="1678" t="s">
        <v>8596</v>
      </c>
      <c r="CD170" s="1678"/>
      <c r="CE170" s="1989" t="s">
        <v>8595</v>
      </c>
      <c r="CF170" s="1661" t="s">
        <v>9986</v>
      </c>
      <c r="CG170" s="1661" t="s">
        <v>10986</v>
      </c>
      <c r="CL170" s="1699" t="s">
        <v>6694</v>
      </c>
      <c r="CM170" s="1699" t="s">
        <v>4237</v>
      </c>
      <c r="CN170" s="1699" t="s">
        <v>3890</v>
      </c>
      <c r="CO170" s="1690" t="s">
        <v>5005</v>
      </c>
      <c r="CP170" s="1699" t="s">
        <v>6364</v>
      </c>
      <c r="CR170" s="1678" t="s">
        <v>8053</v>
      </c>
      <c r="CS170" s="1678" t="s">
        <v>7075</v>
      </c>
      <c r="CW170" s="2252">
        <v>690</v>
      </c>
      <c r="CX170" s="2150" t="s">
        <v>62</v>
      </c>
      <c r="DF170" s="1705"/>
    </row>
    <row r="171" spans="5:110" ht="15" x14ac:dyDescent="0.25">
      <c r="BU171" s="1317" t="s">
        <v>195</v>
      </c>
      <c r="BW171" s="1317" t="s">
        <v>196</v>
      </c>
      <c r="BY171" s="1317" t="s">
        <v>196</v>
      </c>
      <c r="CB171" s="1989" t="s">
        <v>8597</v>
      </c>
      <c r="CC171" s="1678" t="s">
        <v>8597</v>
      </c>
      <c r="CD171" s="1678"/>
      <c r="CE171" s="1989" t="s">
        <v>8596</v>
      </c>
      <c r="CF171" s="1661" t="s">
        <v>9987</v>
      </c>
      <c r="CG171" s="1661" t="s">
        <v>10987</v>
      </c>
      <c r="CL171" s="1699" t="s">
        <v>6693</v>
      </c>
      <c r="CM171" s="1699" t="s">
        <v>4238</v>
      </c>
      <c r="CN171" s="1699" t="s">
        <v>3889</v>
      </c>
      <c r="CO171" s="1690" t="s">
        <v>5006</v>
      </c>
      <c r="CP171" s="1699" t="s">
        <v>6363</v>
      </c>
      <c r="CR171" s="1678" t="s">
        <v>8045</v>
      </c>
      <c r="CS171" s="1678" t="s">
        <v>7611</v>
      </c>
      <c r="CW171" s="2252">
        <v>671</v>
      </c>
      <c r="CX171" s="2150" t="s">
        <v>62</v>
      </c>
      <c r="DF171" s="1705"/>
    </row>
    <row r="172" spans="5:110" ht="15" x14ac:dyDescent="0.25">
      <c r="E172" s="848"/>
      <c r="BU172" s="1317" t="s">
        <v>196</v>
      </c>
      <c r="BW172" s="1317" t="s">
        <v>7817</v>
      </c>
      <c r="BY172" s="1317" t="s">
        <v>7817</v>
      </c>
      <c r="CB172" s="1989" t="s">
        <v>8819</v>
      </c>
      <c r="CC172" s="1678" t="s">
        <v>8819</v>
      </c>
      <c r="CD172" s="1678"/>
      <c r="CE172" s="1989" t="s">
        <v>8597</v>
      </c>
      <c r="CF172" s="1661" t="s">
        <v>9988</v>
      </c>
      <c r="CG172" s="1661" t="s">
        <v>10988</v>
      </c>
      <c r="CL172" s="1699" t="s">
        <v>6692</v>
      </c>
      <c r="CM172" s="1699" t="s">
        <v>4239</v>
      </c>
      <c r="CN172" s="1699" t="s">
        <v>3888</v>
      </c>
      <c r="CO172" s="1690" t="s">
        <v>5007</v>
      </c>
      <c r="CP172" s="1699" t="s">
        <v>6362</v>
      </c>
      <c r="CR172" s="1678" t="s">
        <v>8052</v>
      </c>
      <c r="CS172" s="1678" t="s">
        <v>7074</v>
      </c>
      <c r="CW172" s="2252">
        <v>691</v>
      </c>
      <c r="CX172" s="2150" t="s">
        <v>62</v>
      </c>
      <c r="DF172" s="1705"/>
    </row>
    <row r="173" spans="5:110" ht="15" x14ac:dyDescent="0.25">
      <c r="E173" s="1688"/>
      <c r="BU173" s="1317" t="s">
        <v>7817</v>
      </c>
      <c r="BW173" s="1317" t="s">
        <v>197</v>
      </c>
      <c r="BY173" s="1317" t="s">
        <v>197</v>
      </c>
      <c r="CB173" s="1989" t="s">
        <v>8820</v>
      </c>
      <c r="CC173" s="1678" t="s">
        <v>8820</v>
      </c>
      <c r="CD173" s="1678"/>
      <c r="CE173" s="1989" t="s">
        <v>8819</v>
      </c>
      <c r="CF173" s="1661" t="s">
        <v>9989</v>
      </c>
      <c r="CG173" s="1661" t="s">
        <v>10989</v>
      </c>
      <c r="CL173" s="1699" t="s">
        <v>6691</v>
      </c>
      <c r="CM173" s="1699" t="s">
        <v>4240</v>
      </c>
      <c r="CN173" s="1699" t="s">
        <v>3887</v>
      </c>
      <c r="CO173" s="1690" t="s">
        <v>5008</v>
      </c>
      <c r="CP173" s="1699" t="s">
        <v>6361</v>
      </c>
      <c r="CR173" s="1678" t="s">
        <v>9157</v>
      </c>
      <c r="CS173" s="1678" t="s">
        <v>7112</v>
      </c>
      <c r="CW173" s="2252">
        <v>678</v>
      </c>
      <c r="CX173" s="2150" t="s">
        <v>62</v>
      </c>
      <c r="DF173" s="1705"/>
    </row>
    <row r="174" spans="5:110" ht="15" x14ac:dyDescent="0.25">
      <c r="E174" s="848"/>
      <c r="BU174" s="1317" t="s">
        <v>197</v>
      </c>
      <c r="BW174" s="1317" t="s">
        <v>198</v>
      </c>
      <c r="BY174" s="1317" t="s">
        <v>198</v>
      </c>
      <c r="CB174" s="1989" t="s">
        <v>8598</v>
      </c>
      <c r="CC174" s="1678" t="s">
        <v>8598</v>
      </c>
      <c r="CD174" s="1678"/>
      <c r="CE174" s="1989" t="s">
        <v>8820</v>
      </c>
      <c r="CF174" s="1661" t="s">
        <v>9990</v>
      </c>
      <c r="CG174" s="1661" t="s">
        <v>10990</v>
      </c>
      <c r="CL174" s="1699" t="s">
        <v>6690</v>
      </c>
      <c r="CM174" s="1699" t="s">
        <v>4241</v>
      </c>
      <c r="CN174" s="1699" t="s">
        <v>3886</v>
      </c>
      <c r="CO174" s="1690" t="s">
        <v>5009</v>
      </c>
      <c r="CP174" s="1699" t="s">
        <v>6360</v>
      </c>
      <c r="CR174" s="1678" t="s">
        <v>8048</v>
      </c>
      <c r="CS174" s="1678" t="s">
        <v>7068</v>
      </c>
      <c r="CW174" s="2252">
        <v>194</v>
      </c>
      <c r="CX174" s="2150" t="s">
        <v>11854</v>
      </c>
      <c r="DF174" s="1705"/>
    </row>
    <row r="175" spans="5:110" ht="15" x14ac:dyDescent="0.25">
      <c r="BU175" s="1317" t="s">
        <v>198</v>
      </c>
      <c r="BW175" s="1317" t="s">
        <v>199</v>
      </c>
      <c r="BY175" s="1317" t="s">
        <v>199</v>
      </c>
      <c r="CB175" s="1989" t="s">
        <v>8600</v>
      </c>
      <c r="CC175" s="1678" t="s">
        <v>8599</v>
      </c>
      <c r="CD175" s="1678"/>
      <c r="CE175" s="1989" t="s">
        <v>8598</v>
      </c>
      <c r="CF175" s="1661" t="s">
        <v>9991</v>
      </c>
      <c r="CG175" s="1661" t="s">
        <v>10991</v>
      </c>
      <c r="CL175" s="1699" t="s">
        <v>6689</v>
      </c>
      <c r="CM175" s="1699" t="s">
        <v>4242</v>
      </c>
      <c r="CN175" s="1699" t="s">
        <v>3885</v>
      </c>
      <c r="CO175" s="1690" t="s">
        <v>5010</v>
      </c>
      <c r="CP175" s="1699" t="s">
        <v>6611</v>
      </c>
      <c r="CR175" s="1678" t="s">
        <v>8051</v>
      </c>
      <c r="CS175" s="1678" t="s">
        <v>7073</v>
      </c>
      <c r="CW175" s="2252">
        <v>480</v>
      </c>
      <c r="CX175" s="2150" t="s">
        <v>64</v>
      </c>
      <c r="DF175" s="1705"/>
    </row>
    <row r="176" spans="5:110" ht="15" x14ac:dyDescent="0.25">
      <c r="E176" s="848"/>
      <c r="BU176" s="1317" t="s">
        <v>199</v>
      </c>
      <c r="BW176" s="1317" t="s">
        <v>200</v>
      </c>
      <c r="BY176" s="1317" t="s">
        <v>200</v>
      </c>
      <c r="CB176" s="1989" t="s">
        <v>8601</v>
      </c>
      <c r="CC176" s="1678" t="s">
        <v>8600</v>
      </c>
      <c r="CD176" s="1678"/>
      <c r="CE176" s="1989" t="s">
        <v>8599</v>
      </c>
      <c r="CF176" s="1661" t="s">
        <v>9992</v>
      </c>
      <c r="CG176" s="1661" t="s">
        <v>10992</v>
      </c>
      <c r="CL176" s="1699" t="s">
        <v>6688</v>
      </c>
      <c r="CM176" s="1699" t="s">
        <v>4243</v>
      </c>
      <c r="CN176" s="1699" t="s">
        <v>3884</v>
      </c>
      <c r="CO176" s="1690" t="s">
        <v>5011</v>
      </c>
      <c r="CP176" s="1699" t="s">
        <v>6359</v>
      </c>
      <c r="CR176" s="1678" t="s">
        <v>8892</v>
      </c>
      <c r="CS176" s="1678" t="s">
        <v>8876</v>
      </c>
      <c r="CW176" s="2252">
        <v>464</v>
      </c>
      <c r="CX176" s="2150" t="s">
        <v>64</v>
      </c>
      <c r="DF176" s="1705"/>
    </row>
    <row r="177" spans="5:110" ht="15" x14ac:dyDescent="0.25">
      <c r="E177" s="848"/>
      <c r="BU177" s="1317" t="s">
        <v>200</v>
      </c>
      <c r="BW177" s="1317" t="s">
        <v>201</v>
      </c>
      <c r="BY177" s="1317" t="s">
        <v>201</v>
      </c>
      <c r="CB177" s="1989" t="s">
        <v>8602</v>
      </c>
      <c r="CC177" s="1678" t="s">
        <v>8601</v>
      </c>
      <c r="CD177" s="1678"/>
      <c r="CE177" s="1989" t="s">
        <v>8600</v>
      </c>
      <c r="CF177" s="1661" t="s">
        <v>9993</v>
      </c>
      <c r="CG177" s="1661" t="s">
        <v>10993</v>
      </c>
      <c r="CL177" s="1699" t="s">
        <v>6687</v>
      </c>
      <c r="CM177" s="1699" t="s">
        <v>4244</v>
      </c>
      <c r="CN177" s="1699" t="s">
        <v>3883</v>
      </c>
      <c r="CO177" s="1690" t="s">
        <v>5012</v>
      </c>
      <c r="CP177" s="1699" t="s">
        <v>6358</v>
      </c>
      <c r="CR177" s="1678" t="s">
        <v>8068</v>
      </c>
      <c r="CS177" s="1678" t="s">
        <v>8071</v>
      </c>
      <c r="CW177" s="2252">
        <v>466</v>
      </c>
      <c r="CX177" s="2150" t="s">
        <v>64</v>
      </c>
      <c r="DF177" s="1705"/>
    </row>
    <row r="178" spans="5:110" ht="15" x14ac:dyDescent="0.25">
      <c r="BU178" s="1317" t="s">
        <v>201</v>
      </c>
      <c r="BW178" s="1317" t="s">
        <v>7818</v>
      </c>
      <c r="BY178" s="1317" t="s">
        <v>7818</v>
      </c>
      <c r="CB178" s="1989" t="s">
        <v>8603</v>
      </c>
      <c r="CC178" s="1678" t="s">
        <v>8602</v>
      </c>
      <c r="CD178" s="1678"/>
      <c r="CE178" s="1989" t="s">
        <v>8601</v>
      </c>
      <c r="CF178" s="1661" t="s">
        <v>9994</v>
      </c>
      <c r="CG178" s="1661" t="s">
        <v>10994</v>
      </c>
      <c r="CL178" s="1699" t="s">
        <v>6686</v>
      </c>
      <c r="CM178" s="1699" t="s">
        <v>4245</v>
      </c>
      <c r="CN178" s="1699" t="s">
        <v>3882</v>
      </c>
      <c r="CO178" s="1690" t="s">
        <v>5013</v>
      </c>
      <c r="CP178" s="1699" t="s">
        <v>6357</v>
      </c>
      <c r="CR178" s="1678" t="s">
        <v>9131</v>
      </c>
      <c r="CS178" s="1678" t="s">
        <v>7072</v>
      </c>
      <c r="CW178" s="2252">
        <v>454</v>
      </c>
      <c r="CX178" s="2150" t="s">
        <v>64</v>
      </c>
      <c r="DF178" s="1705"/>
    </row>
    <row r="179" spans="5:110" ht="15" x14ac:dyDescent="0.25">
      <c r="BU179" s="1317" t="s">
        <v>7818</v>
      </c>
      <c r="BW179" s="1317" t="s">
        <v>202</v>
      </c>
      <c r="BY179" s="1317" t="s">
        <v>202</v>
      </c>
      <c r="CB179" s="1989" t="s">
        <v>8604</v>
      </c>
      <c r="CC179" s="1678" t="s">
        <v>8603</v>
      </c>
      <c r="CD179" s="1678"/>
      <c r="CE179" s="1989" t="s">
        <v>8602</v>
      </c>
      <c r="CF179" s="1661" t="s">
        <v>9995</v>
      </c>
      <c r="CG179" s="1661" t="s">
        <v>10995</v>
      </c>
      <c r="CL179" s="1699" t="s">
        <v>6685</v>
      </c>
      <c r="CM179" s="1699" t="s">
        <v>4246</v>
      </c>
      <c r="CN179" s="1699" t="s">
        <v>3881</v>
      </c>
      <c r="CO179" s="1690" t="s">
        <v>5014</v>
      </c>
      <c r="CP179" s="1699" t="s">
        <v>6356</v>
      </c>
      <c r="CR179" s="1678" t="s">
        <v>8047</v>
      </c>
      <c r="CS179" s="1678" t="s">
        <v>7069</v>
      </c>
      <c r="CW179" s="2252">
        <v>482</v>
      </c>
      <c r="CX179" s="2150" t="s">
        <v>64</v>
      </c>
      <c r="DF179" s="1705"/>
    </row>
    <row r="180" spans="5:110" ht="15" x14ac:dyDescent="0.25">
      <c r="BU180" s="1317" t="s">
        <v>202</v>
      </c>
      <c r="BW180" s="1317" t="s">
        <v>203</v>
      </c>
      <c r="BY180" s="1317" t="s">
        <v>203</v>
      </c>
      <c r="CB180" s="1989" t="s">
        <v>8605</v>
      </c>
      <c r="CC180" s="1678" t="s">
        <v>8604</v>
      </c>
      <c r="CD180" s="1678"/>
      <c r="CE180" s="1989" t="s">
        <v>8603</v>
      </c>
      <c r="CF180" s="1661" t="s">
        <v>9996</v>
      </c>
      <c r="CG180" s="1661" t="s">
        <v>10996</v>
      </c>
      <c r="CL180" s="1699" t="s">
        <v>6684</v>
      </c>
      <c r="CM180" s="1699" t="s">
        <v>4247</v>
      </c>
      <c r="CN180" s="1699" t="s">
        <v>3880</v>
      </c>
      <c r="CO180" s="1690" t="s">
        <v>5015</v>
      </c>
      <c r="CP180" s="1699" t="s">
        <v>6355</v>
      </c>
      <c r="CR180" s="1678" t="s">
        <v>8054</v>
      </c>
      <c r="CS180" s="1678" t="s">
        <v>7077</v>
      </c>
      <c r="CW180" s="2252">
        <v>451</v>
      </c>
      <c r="CX180" s="2150" t="s">
        <v>64</v>
      </c>
      <c r="DF180" s="1705"/>
    </row>
    <row r="181" spans="5:110" ht="15" x14ac:dyDescent="0.25">
      <c r="BU181" s="1317" t="s">
        <v>203</v>
      </c>
      <c r="BW181" s="1317" t="s">
        <v>7819</v>
      </c>
      <c r="BY181" s="1317" t="s">
        <v>7819</v>
      </c>
      <c r="CB181" s="1989" t="s">
        <v>8606</v>
      </c>
      <c r="CC181" s="1678" t="s">
        <v>8605</v>
      </c>
      <c r="CD181" s="1678"/>
      <c r="CE181" s="1989" t="s">
        <v>8604</v>
      </c>
      <c r="CF181" s="1661" t="s">
        <v>9997</v>
      </c>
      <c r="CG181" s="1661" t="s">
        <v>10997</v>
      </c>
      <c r="CL181" s="1699" t="s">
        <v>6683</v>
      </c>
      <c r="CM181" s="1699" t="s">
        <v>4248</v>
      </c>
      <c r="CN181" s="1699" t="s">
        <v>3879</v>
      </c>
      <c r="CO181" s="1690" t="s">
        <v>5016</v>
      </c>
      <c r="CP181" s="1699" t="s">
        <v>6354</v>
      </c>
      <c r="CR181" s="1678" t="s">
        <v>8049</v>
      </c>
      <c r="CS181" s="1678" t="s">
        <v>7612</v>
      </c>
      <c r="CW181" s="2252">
        <v>465</v>
      </c>
      <c r="CX181" s="2150" t="s">
        <v>64</v>
      </c>
      <c r="DF181" s="1705"/>
    </row>
    <row r="182" spans="5:110" ht="15" x14ac:dyDescent="0.25">
      <c r="BU182" s="1317" t="s">
        <v>7819</v>
      </c>
      <c r="BW182" s="1317" t="s">
        <v>204</v>
      </c>
      <c r="BY182" s="1317" t="s">
        <v>204</v>
      </c>
      <c r="CB182" s="1989" t="s">
        <v>8607</v>
      </c>
      <c r="CC182" s="1678" t="s">
        <v>8606</v>
      </c>
      <c r="CD182" s="1678"/>
      <c r="CE182" s="1989" t="s">
        <v>8605</v>
      </c>
      <c r="CF182" s="1661" t="s">
        <v>9998</v>
      </c>
      <c r="CG182" s="1661" t="s">
        <v>10998</v>
      </c>
      <c r="CL182" s="1699" t="s">
        <v>6682</v>
      </c>
      <c r="CM182" s="1699" t="s">
        <v>4249</v>
      </c>
      <c r="CN182" s="1699" t="s">
        <v>3878</v>
      </c>
      <c r="CO182" s="1690" t="s">
        <v>5017</v>
      </c>
      <c r="CP182" s="1699" t="s">
        <v>6353</v>
      </c>
      <c r="CR182" s="1678" t="s">
        <v>8050</v>
      </c>
      <c r="CS182" s="1678" t="s">
        <v>7071</v>
      </c>
      <c r="CW182" s="2252">
        <v>483</v>
      </c>
      <c r="CX182" s="2150" t="s">
        <v>64</v>
      </c>
      <c r="DF182" s="1705"/>
    </row>
    <row r="183" spans="5:110" ht="15" x14ac:dyDescent="0.25">
      <c r="BU183" s="1317" t="s">
        <v>204</v>
      </c>
      <c r="BW183" s="1317" t="s">
        <v>7952</v>
      </c>
      <c r="BY183" s="1317" t="s">
        <v>7952</v>
      </c>
      <c r="CB183" s="1989" t="s">
        <v>8608</v>
      </c>
      <c r="CC183" s="1678" t="s">
        <v>8607</v>
      </c>
      <c r="CD183" s="1678"/>
      <c r="CE183" s="1989" t="s">
        <v>8606</v>
      </c>
      <c r="CF183" s="1661" t="s">
        <v>9999</v>
      </c>
      <c r="CG183" s="1661" t="s">
        <v>10999</v>
      </c>
      <c r="CL183" s="1699" t="s">
        <v>6681</v>
      </c>
      <c r="CM183" s="1699" t="s">
        <v>4250</v>
      </c>
      <c r="CN183" s="1699" t="s">
        <v>3877</v>
      </c>
      <c r="CO183" s="1690" t="s">
        <v>5018</v>
      </c>
      <c r="CP183" s="1699" t="s">
        <v>6352</v>
      </c>
      <c r="CR183" s="1678" t="s">
        <v>9158</v>
      </c>
      <c r="CS183" s="1678" t="s">
        <v>7113</v>
      </c>
      <c r="CW183" s="2252">
        <v>481</v>
      </c>
      <c r="CX183" s="2150" t="s">
        <v>64</v>
      </c>
      <c r="DF183" s="1705"/>
    </row>
    <row r="184" spans="5:110" ht="15" x14ac:dyDescent="0.25">
      <c r="BU184" s="1317" t="s">
        <v>7952</v>
      </c>
      <c r="BW184" s="1317" t="s">
        <v>205</v>
      </c>
      <c r="BY184" s="1317" t="s">
        <v>205</v>
      </c>
      <c r="CB184" s="1989" t="s">
        <v>8609</v>
      </c>
      <c r="CC184" s="1678" t="s">
        <v>8608</v>
      </c>
      <c r="CD184" s="1678"/>
      <c r="CE184" s="1989" t="s">
        <v>8607</v>
      </c>
      <c r="CF184" s="1661" t="s">
        <v>10000</v>
      </c>
      <c r="CG184" s="1661" t="s">
        <v>11000</v>
      </c>
      <c r="CL184" s="1699" t="s">
        <v>6680</v>
      </c>
      <c r="CM184" s="1699" t="s">
        <v>4251</v>
      </c>
      <c r="CN184" s="1699" t="s">
        <v>3876</v>
      </c>
      <c r="CO184" s="1690" t="s">
        <v>5019</v>
      </c>
      <c r="CP184" s="1699" t="s">
        <v>6351</v>
      </c>
      <c r="CR184" s="1678" t="s">
        <v>9126</v>
      </c>
      <c r="CS184" s="1678" t="s">
        <v>7108</v>
      </c>
      <c r="CW184" s="2252">
        <v>472</v>
      </c>
      <c r="CX184" s="2150" t="s">
        <v>64</v>
      </c>
    </row>
    <row r="185" spans="5:110" ht="15" x14ac:dyDescent="0.25">
      <c r="BU185" s="1317" t="s">
        <v>205</v>
      </c>
      <c r="BW185" s="1317" t="s">
        <v>206</v>
      </c>
      <c r="BY185" s="1317" t="s">
        <v>206</v>
      </c>
      <c r="CB185" s="1989" t="s">
        <v>8610</v>
      </c>
      <c r="CC185" s="1678" t="s">
        <v>8609</v>
      </c>
      <c r="CD185" s="1678"/>
      <c r="CE185" s="1989" t="s">
        <v>8608</v>
      </c>
      <c r="CF185" s="1661" t="s">
        <v>10001</v>
      </c>
      <c r="CG185" s="1661" t="s">
        <v>11001</v>
      </c>
      <c r="CL185" s="1699" t="s">
        <v>6679</v>
      </c>
      <c r="CM185" s="1699" t="s">
        <v>4252</v>
      </c>
      <c r="CN185" s="1699" t="s">
        <v>3875</v>
      </c>
      <c r="CO185" s="1690" t="s">
        <v>5020</v>
      </c>
      <c r="CP185" s="1699" t="s">
        <v>6350</v>
      </c>
      <c r="CR185" s="1678" t="s">
        <v>9127</v>
      </c>
      <c r="CS185" s="1678" t="s">
        <v>7076</v>
      </c>
      <c r="CW185" s="2252">
        <v>461</v>
      </c>
      <c r="CX185" s="2150" t="s">
        <v>64</v>
      </c>
    </row>
    <row r="186" spans="5:110" ht="15" x14ac:dyDescent="0.25">
      <c r="BU186" s="1317" t="s">
        <v>206</v>
      </c>
      <c r="BW186" s="1317" t="s">
        <v>207</v>
      </c>
      <c r="BY186" s="1317" t="s">
        <v>207</v>
      </c>
      <c r="CB186" s="1989" t="s">
        <v>8611</v>
      </c>
      <c r="CC186" s="1678" t="s">
        <v>8610</v>
      </c>
      <c r="CD186" s="1678"/>
      <c r="CE186" s="1989" t="s">
        <v>12712</v>
      </c>
      <c r="CF186" s="1661" t="s">
        <v>10002</v>
      </c>
      <c r="CG186" s="1661" t="s">
        <v>11002</v>
      </c>
      <c r="CL186" s="1699" t="s">
        <v>6678</v>
      </c>
      <c r="CM186" s="1699" t="s">
        <v>4253</v>
      </c>
      <c r="CN186" s="1699" t="s">
        <v>3874</v>
      </c>
      <c r="CO186" s="1690" t="s">
        <v>5021</v>
      </c>
      <c r="CP186" s="1699" t="s">
        <v>6349</v>
      </c>
      <c r="CR186" s="1678" t="s">
        <v>7535</v>
      </c>
      <c r="CS186" s="1678" t="s">
        <v>7538</v>
      </c>
      <c r="CW186" s="2252">
        <v>487</v>
      </c>
      <c r="CX186" s="2150" t="s">
        <v>64</v>
      </c>
    </row>
    <row r="187" spans="5:110" ht="15" x14ac:dyDescent="0.25">
      <c r="BU187" s="1317" t="s">
        <v>207</v>
      </c>
      <c r="BW187" s="1317" t="s">
        <v>7953</v>
      </c>
      <c r="BY187" s="1317" t="s">
        <v>7953</v>
      </c>
      <c r="CB187" s="1989" t="s">
        <v>8612</v>
      </c>
      <c r="CC187" s="1678" t="s">
        <v>8611</v>
      </c>
      <c r="CD187" s="1678"/>
      <c r="CE187" s="1989" t="s">
        <v>8610</v>
      </c>
      <c r="CF187" s="1661" t="s">
        <v>10003</v>
      </c>
      <c r="CG187" s="1661" t="s">
        <v>11003</v>
      </c>
      <c r="CL187" s="1699" t="s">
        <v>6677</v>
      </c>
      <c r="CM187" s="1699" t="s">
        <v>4254</v>
      </c>
      <c r="CN187" s="1699" t="s">
        <v>3873</v>
      </c>
      <c r="CO187" s="1690" t="s">
        <v>5022</v>
      </c>
      <c r="CP187" s="1699" t="s">
        <v>6348</v>
      </c>
      <c r="CR187" s="1678" t="s">
        <v>7975</v>
      </c>
      <c r="CS187" s="1678" t="s">
        <v>7980</v>
      </c>
      <c r="CW187" s="2252">
        <v>471</v>
      </c>
      <c r="CX187" s="2150" t="s">
        <v>64</v>
      </c>
    </row>
    <row r="188" spans="5:110" ht="15" x14ac:dyDescent="0.25">
      <c r="BU188" s="1317" t="s">
        <v>7953</v>
      </c>
      <c r="BW188" s="1317" t="s">
        <v>7820</v>
      </c>
      <c r="BY188" s="1317" t="s">
        <v>7820</v>
      </c>
      <c r="CB188" s="1989" t="s">
        <v>8613</v>
      </c>
      <c r="CC188" s="1678" t="s">
        <v>8612</v>
      </c>
      <c r="CD188" s="1678"/>
      <c r="CE188" s="1989" t="s">
        <v>8611</v>
      </c>
      <c r="CF188" s="1661" t="s">
        <v>10004</v>
      </c>
      <c r="CG188" s="1661" t="s">
        <v>11004</v>
      </c>
      <c r="CL188" s="1699" t="s">
        <v>6676</v>
      </c>
      <c r="CM188" s="1699" t="s">
        <v>4255</v>
      </c>
      <c r="CN188" s="1699" t="s">
        <v>3872</v>
      </c>
      <c r="CO188" s="1690" t="s">
        <v>5023</v>
      </c>
      <c r="CP188" s="1699" t="s">
        <v>6347</v>
      </c>
      <c r="CR188" s="1678" t="s">
        <v>9132</v>
      </c>
      <c r="CS188" s="1678" t="s">
        <v>7114</v>
      </c>
      <c r="CW188" s="2252">
        <v>470</v>
      </c>
      <c r="CX188" s="2150" t="s">
        <v>64</v>
      </c>
    </row>
    <row r="189" spans="5:110" ht="15" x14ac:dyDescent="0.25">
      <c r="BU189" s="1317" t="s">
        <v>7820</v>
      </c>
      <c r="BW189" s="1317" t="s">
        <v>208</v>
      </c>
      <c r="BY189" s="1317" t="s">
        <v>208</v>
      </c>
      <c r="CB189" s="1989" t="s">
        <v>8821</v>
      </c>
      <c r="CC189" s="1678" t="s">
        <v>8613</v>
      </c>
      <c r="CD189" s="1678"/>
      <c r="CE189" s="1989" t="s">
        <v>8612</v>
      </c>
      <c r="CF189" s="1661" t="s">
        <v>10005</v>
      </c>
      <c r="CG189" s="1661" t="s">
        <v>11005</v>
      </c>
      <c r="CL189" s="1699" t="s">
        <v>6675</v>
      </c>
      <c r="CM189" s="1699" t="s">
        <v>4256</v>
      </c>
      <c r="CN189" s="1699" t="s">
        <v>3871</v>
      </c>
      <c r="CO189" s="1690" t="s">
        <v>5024</v>
      </c>
      <c r="CP189" s="1699" t="s">
        <v>6346</v>
      </c>
      <c r="CR189" s="1678" t="s">
        <v>9155</v>
      </c>
      <c r="CS189" s="1678" t="s">
        <v>7110</v>
      </c>
      <c r="CW189" s="2252">
        <v>486</v>
      </c>
      <c r="CX189" s="2150" t="s">
        <v>64</v>
      </c>
    </row>
    <row r="190" spans="5:110" ht="15" x14ac:dyDescent="0.25">
      <c r="BU190" s="1317" t="s">
        <v>208</v>
      </c>
      <c r="BW190" s="1317" t="s">
        <v>209</v>
      </c>
      <c r="BY190" s="1317" t="s">
        <v>209</v>
      </c>
      <c r="CB190" s="1989" t="s">
        <v>8614</v>
      </c>
      <c r="CC190" s="1678" t="s">
        <v>8821</v>
      </c>
      <c r="CD190" s="1678"/>
      <c r="CE190" s="1989" t="s">
        <v>8613</v>
      </c>
      <c r="CF190" s="1661" t="s">
        <v>10006</v>
      </c>
      <c r="CG190" s="1661" t="s">
        <v>11006</v>
      </c>
      <c r="CL190" s="1699" t="s">
        <v>6674</v>
      </c>
      <c r="CM190" s="1699" t="s">
        <v>4257</v>
      </c>
      <c r="CN190" s="1699" t="s">
        <v>3870</v>
      </c>
      <c r="CO190" s="1690" t="s">
        <v>5025</v>
      </c>
      <c r="CP190" s="1699" t="s">
        <v>6610</v>
      </c>
      <c r="CR190" s="1678" t="s">
        <v>9156</v>
      </c>
      <c r="CS190" s="1678" t="s">
        <v>7111</v>
      </c>
      <c r="CW190" s="2252">
        <v>460</v>
      </c>
      <c r="CX190" s="2150" t="s">
        <v>64</v>
      </c>
    </row>
    <row r="191" spans="5:110" ht="15" x14ac:dyDescent="0.25">
      <c r="BU191" s="1317" t="s">
        <v>209</v>
      </c>
      <c r="BW191" s="1317" t="s">
        <v>7821</v>
      </c>
      <c r="BY191" s="1317" t="s">
        <v>7821</v>
      </c>
      <c r="CB191" s="1989" t="s">
        <v>8615</v>
      </c>
      <c r="CC191" s="1678" t="s">
        <v>8614</v>
      </c>
      <c r="CD191" s="1678"/>
      <c r="CE191" s="1989" t="s">
        <v>8821</v>
      </c>
      <c r="CF191" s="1661" t="s">
        <v>10007</v>
      </c>
      <c r="CG191" s="1661" t="s">
        <v>11007</v>
      </c>
      <c r="CL191" s="1699" t="s">
        <v>6673</v>
      </c>
      <c r="CM191" s="1699" t="s">
        <v>4258</v>
      </c>
      <c r="CN191" s="1699" t="s">
        <v>3869</v>
      </c>
      <c r="CO191" s="1690" t="s">
        <v>5026</v>
      </c>
      <c r="CP191" s="1699" t="s">
        <v>6345</v>
      </c>
      <c r="CR191" s="1678" t="s">
        <v>9129</v>
      </c>
      <c r="CS191" s="1678" t="s">
        <v>9180</v>
      </c>
      <c r="CW191" s="2252">
        <v>463</v>
      </c>
      <c r="CX191" s="2150" t="s">
        <v>64</v>
      </c>
    </row>
    <row r="192" spans="5:110" ht="15" x14ac:dyDescent="0.25">
      <c r="BU192" s="1317" t="s">
        <v>7821</v>
      </c>
      <c r="BW192" s="1317" t="s">
        <v>7822</v>
      </c>
      <c r="BY192" s="1317" t="s">
        <v>7822</v>
      </c>
      <c r="CB192" s="1989" t="s">
        <v>8822</v>
      </c>
      <c r="CC192" s="1678" t="s">
        <v>8615</v>
      </c>
      <c r="CD192" s="1678"/>
      <c r="CE192" s="1989" t="s">
        <v>8614</v>
      </c>
      <c r="CF192" s="1661" t="s">
        <v>10008</v>
      </c>
      <c r="CG192" s="1661" t="s">
        <v>11008</v>
      </c>
      <c r="CL192" s="1699" t="s">
        <v>4061</v>
      </c>
      <c r="CM192" s="1699" t="s">
        <v>4259</v>
      </c>
      <c r="CN192" s="1699" t="s">
        <v>3868</v>
      </c>
      <c r="CO192" s="1690" t="s">
        <v>5027</v>
      </c>
      <c r="CP192" s="1699" t="s">
        <v>6344</v>
      </c>
      <c r="CR192" s="1678" t="s">
        <v>8055</v>
      </c>
      <c r="CS192" s="1678" t="s">
        <v>7078</v>
      </c>
      <c r="CW192" s="2252">
        <v>462</v>
      </c>
      <c r="CX192" s="2150" t="s">
        <v>64</v>
      </c>
    </row>
    <row r="193" spans="3:102" ht="15" x14ac:dyDescent="0.25">
      <c r="BU193" s="1317" t="s">
        <v>7822</v>
      </c>
      <c r="BW193" s="1317" t="s">
        <v>210</v>
      </c>
      <c r="BY193" s="1317" t="s">
        <v>210</v>
      </c>
      <c r="CB193" s="1989" t="s">
        <v>8616</v>
      </c>
      <c r="CC193" s="1678" t="s">
        <v>8822</v>
      </c>
      <c r="CD193" s="1678"/>
      <c r="CE193" s="1989" t="s">
        <v>8615</v>
      </c>
      <c r="CF193" s="1661" t="s">
        <v>10009</v>
      </c>
      <c r="CG193" s="1661" t="s">
        <v>11009</v>
      </c>
      <c r="CL193" s="1699" t="s">
        <v>6591</v>
      </c>
      <c r="CM193" s="1699" t="s">
        <v>4260</v>
      </c>
      <c r="CN193" s="1699" t="s">
        <v>3867</v>
      </c>
      <c r="CO193" s="1690" t="s">
        <v>5028</v>
      </c>
      <c r="CP193" s="1699" t="s">
        <v>6343</v>
      </c>
      <c r="CR193" s="1678" t="s">
        <v>9160</v>
      </c>
      <c r="CS193" s="1678" t="s">
        <v>7080</v>
      </c>
      <c r="CW193" s="2252">
        <v>455</v>
      </c>
      <c r="CX193" s="2150" t="s">
        <v>64</v>
      </c>
    </row>
    <row r="194" spans="3:102" ht="15" x14ac:dyDescent="0.25">
      <c r="BU194" s="1317" t="s">
        <v>210</v>
      </c>
      <c r="BW194" s="1317" t="s">
        <v>211</v>
      </c>
      <c r="BY194" s="1317" t="s">
        <v>211</v>
      </c>
      <c r="CB194" s="1989" t="s">
        <v>8617</v>
      </c>
      <c r="CC194" s="1678" t="s">
        <v>8616</v>
      </c>
      <c r="CD194" s="1678"/>
      <c r="CE194" s="1989" t="s">
        <v>8822</v>
      </c>
      <c r="CF194" s="1661" t="s">
        <v>10010</v>
      </c>
      <c r="CG194" s="1661" t="s">
        <v>11010</v>
      </c>
      <c r="CL194" s="1699" t="s">
        <v>6590</v>
      </c>
      <c r="CM194" s="1699" t="s">
        <v>4261</v>
      </c>
      <c r="CN194" s="1699" t="s">
        <v>3866</v>
      </c>
      <c r="CO194" s="1690" t="s">
        <v>5029</v>
      </c>
      <c r="CP194" s="1699" t="s">
        <v>6342</v>
      </c>
      <c r="CR194" s="1678" t="s">
        <v>9161</v>
      </c>
      <c r="CS194" s="1678" t="s">
        <v>7117</v>
      </c>
      <c r="CW194" s="2252">
        <v>488</v>
      </c>
      <c r="CX194" s="2150" t="s">
        <v>64</v>
      </c>
    </row>
    <row r="195" spans="3:102" ht="15" x14ac:dyDescent="0.25">
      <c r="BU195" s="1317" t="s">
        <v>211</v>
      </c>
      <c r="BW195" s="1317" t="s">
        <v>212</v>
      </c>
      <c r="BY195" s="1317" t="s">
        <v>212</v>
      </c>
      <c r="CB195" s="1989" t="s">
        <v>8618</v>
      </c>
      <c r="CC195" s="1678" t="s">
        <v>8617</v>
      </c>
      <c r="CD195" s="1678"/>
      <c r="CE195" s="1989" t="s">
        <v>8616</v>
      </c>
      <c r="CF195" s="1661" t="s">
        <v>10011</v>
      </c>
      <c r="CG195" s="1661" t="s">
        <v>11011</v>
      </c>
      <c r="CL195" s="1699" t="s">
        <v>6589</v>
      </c>
      <c r="CM195" s="1699" t="s">
        <v>4262</v>
      </c>
      <c r="CN195" s="1699" t="s">
        <v>3865</v>
      </c>
      <c r="CO195" s="1690" t="s">
        <v>5030</v>
      </c>
      <c r="CP195" s="1699" t="s">
        <v>6341</v>
      </c>
      <c r="CR195" s="1678" t="s">
        <v>9167</v>
      </c>
      <c r="CS195" s="1678" t="s">
        <v>7122</v>
      </c>
      <c r="CW195" s="2252">
        <v>474</v>
      </c>
      <c r="CX195" s="2150" t="s">
        <v>64</v>
      </c>
    </row>
    <row r="196" spans="3:102" ht="15" x14ac:dyDescent="0.25">
      <c r="BU196" s="1317" t="s">
        <v>212</v>
      </c>
      <c r="BW196" s="1678" t="s">
        <v>213</v>
      </c>
      <c r="BY196" s="1678" t="s">
        <v>213</v>
      </c>
      <c r="CB196" s="1989" t="s">
        <v>8619</v>
      </c>
      <c r="CC196" s="1678" t="s">
        <v>8618</v>
      </c>
      <c r="CD196" s="1678"/>
      <c r="CE196" s="1989" t="s">
        <v>8617</v>
      </c>
      <c r="CF196" s="1661" t="s">
        <v>10012</v>
      </c>
      <c r="CG196" s="1661" t="s">
        <v>11012</v>
      </c>
      <c r="CL196" s="1699" t="s">
        <v>6588</v>
      </c>
      <c r="CM196" s="1699" t="s">
        <v>4263</v>
      </c>
      <c r="CN196" s="1699" t="s">
        <v>3864</v>
      </c>
      <c r="CO196" s="1690" t="s">
        <v>5031</v>
      </c>
      <c r="CP196" s="1699" t="s">
        <v>6340</v>
      </c>
      <c r="CR196" s="1678" t="s">
        <v>8889</v>
      </c>
      <c r="CS196" s="1678" t="s">
        <v>8873</v>
      </c>
      <c r="CW196" s="2252">
        <v>475</v>
      </c>
      <c r="CX196" s="2150" t="s">
        <v>64</v>
      </c>
    </row>
    <row r="197" spans="3:102" ht="15" x14ac:dyDescent="0.25">
      <c r="BU197" s="1317" t="s">
        <v>213</v>
      </c>
      <c r="BW197" s="1678" t="s">
        <v>214</v>
      </c>
      <c r="BY197" s="1678" t="s">
        <v>214</v>
      </c>
      <c r="CB197" s="1989" t="s">
        <v>8620</v>
      </c>
      <c r="CC197" s="1678" t="s">
        <v>8619</v>
      </c>
      <c r="CD197" s="1678"/>
      <c r="CE197" s="1989" t="s">
        <v>8618</v>
      </c>
      <c r="CF197" s="1661" t="s">
        <v>10013</v>
      </c>
      <c r="CG197" s="1661" t="s">
        <v>11013</v>
      </c>
      <c r="CK197" s="1697"/>
      <c r="CL197" s="1699" t="s">
        <v>6587</v>
      </c>
      <c r="CM197" s="1699" t="s">
        <v>4264</v>
      </c>
      <c r="CN197" s="1699" t="s">
        <v>3863</v>
      </c>
      <c r="CO197" s="1690" t="s">
        <v>5032</v>
      </c>
      <c r="CP197" s="1699" t="s">
        <v>6339</v>
      </c>
      <c r="CR197" s="1678" t="s">
        <v>8058</v>
      </c>
      <c r="CS197" s="1678" t="s">
        <v>7116</v>
      </c>
      <c r="CW197" s="2252">
        <v>450</v>
      </c>
      <c r="CX197" s="2150" t="s">
        <v>64</v>
      </c>
    </row>
    <row r="198" spans="3:102" ht="15" x14ac:dyDescent="0.25">
      <c r="BU198" s="1678" t="s">
        <v>214</v>
      </c>
      <c r="BW198" s="1678" t="s">
        <v>215</v>
      </c>
      <c r="BY198" s="1678" t="s">
        <v>215</v>
      </c>
      <c r="CB198" s="1989" t="s">
        <v>12713</v>
      </c>
      <c r="CC198" s="1678" t="s">
        <v>8620</v>
      </c>
      <c r="CD198" s="1678"/>
      <c r="CE198" s="1989" t="s">
        <v>8619</v>
      </c>
      <c r="CF198" s="1661" t="s">
        <v>10014</v>
      </c>
      <c r="CG198" s="1661" t="s">
        <v>11014</v>
      </c>
      <c r="CK198" s="1697"/>
      <c r="CL198" s="1699" t="s">
        <v>6586</v>
      </c>
      <c r="CM198" s="1699" t="s">
        <v>4265</v>
      </c>
      <c r="CN198" s="1699" t="s">
        <v>3862</v>
      </c>
      <c r="CO198" s="1690" t="s">
        <v>5033</v>
      </c>
      <c r="CP198" s="1699" t="s">
        <v>6338</v>
      </c>
      <c r="CR198" s="1678" t="s">
        <v>9166</v>
      </c>
      <c r="CS198" s="1678" t="s">
        <v>7116</v>
      </c>
      <c r="CW198" s="2252">
        <v>477</v>
      </c>
      <c r="CX198" s="2150" t="s">
        <v>64</v>
      </c>
    </row>
    <row r="199" spans="3:102" ht="15" x14ac:dyDescent="0.25">
      <c r="BU199" s="1678" t="s">
        <v>215</v>
      </c>
      <c r="BW199" s="1678" t="s">
        <v>216</v>
      </c>
      <c r="BY199" s="1678" t="s">
        <v>216</v>
      </c>
      <c r="CB199" s="1989" t="s">
        <v>12714</v>
      </c>
      <c r="CC199" s="1678" t="s">
        <v>8621</v>
      </c>
      <c r="CD199" s="1678"/>
      <c r="CE199" s="1989" t="s">
        <v>8620</v>
      </c>
      <c r="CF199" s="1661" t="s">
        <v>10015</v>
      </c>
      <c r="CG199" s="1661" t="s">
        <v>11015</v>
      </c>
      <c r="CL199" s="1699" t="s">
        <v>6585</v>
      </c>
      <c r="CM199" s="1699" t="s">
        <v>4266</v>
      </c>
      <c r="CN199" s="1699" t="s">
        <v>3861</v>
      </c>
      <c r="CO199" s="1690" t="s">
        <v>5034</v>
      </c>
      <c r="CP199" s="1699" t="s">
        <v>6337</v>
      </c>
      <c r="CR199" s="1678" t="s">
        <v>8912</v>
      </c>
      <c r="CS199" s="1678" t="s">
        <v>7079</v>
      </c>
      <c r="CW199" s="2252">
        <v>484</v>
      </c>
      <c r="CX199" s="2150" t="s">
        <v>64</v>
      </c>
    </row>
    <row r="200" spans="3:102" ht="15" x14ac:dyDescent="0.25">
      <c r="BU200" s="1678" t="s">
        <v>216</v>
      </c>
      <c r="BW200" s="1678" t="s">
        <v>217</v>
      </c>
      <c r="BY200" s="1678" t="s">
        <v>217</v>
      </c>
      <c r="CB200" s="1989" t="s">
        <v>8622</v>
      </c>
      <c r="CC200" s="1678" t="s">
        <v>8823</v>
      </c>
      <c r="CD200" s="1678"/>
      <c r="CE200" s="1989" t="s">
        <v>12713</v>
      </c>
      <c r="CF200" s="1661" t="s">
        <v>10016</v>
      </c>
      <c r="CG200" s="1661" t="s">
        <v>11016</v>
      </c>
      <c r="CL200" s="1699" t="s">
        <v>6584</v>
      </c>
      <c r="CM200" s="1699" t="s">
        <v>4267</v>
      </c>
      <c r="CN200" s="1699" t="s">
        <v>3860</v>
      </c>
      <c r="CO200" s="1690" t="s">
        <v>5035</v>
      </c>
      <c r="CP200" s="1699" t="s">
        <v>6336</v>
      </c>
      <c r="CR200" s="1678" t="s">
        <v>9159</v>
      </c>
      <c r="CS200" s="1678" t="s">
        <v>7115</v>
      </c>
      <c r="CW200" s="2252">
        <v>458</v>
      </c>
      <c r="CX200" s="2150" t="s">
        <v>64</v>
      </c>
    </row>
    <row r="201" spans="3:102" ht="15" x14ac:dyDescent="0.25">
      <c r="C201" s="1689"/>
      <c r="BU201" s="1678" t="s">
        <v>217</v>
      </c>
      <c r="BW201" s="1678" t="s">
        <v>218</v>
      </c>
      <c r="BY201" s="1678" t="s">
        <v>218</v>
      </c>
      <c r="CB201" s="1989" t="s">
        <v>8623</v>
      </c>
      <c r="CC201" s="1678" t="s">
        <v>8622</v>
      </c>
      <c r="CD201" s="1678"/>
      <c r="CE201" s="1989" t="s">
        <v>12714</v>
      </c>
      <c r="CF201" s="1661" t="s">
        <v>10017</v>
      </c>
      <c r="CG201" s="1661" t="s">
        <v>11017</v>
      </c>
      <c r="CL201" s="1699" t="s">
        <v>6583</v>
      </c>
      <c r="CM201" s="1699" t="s">
        <v>4268</v>
      </c>
      <c r="CN201" s="1699" t="s">
        <v>3859</v>
      </c>
      <c r="CO201" s="1690" t="s">
        <v>5036</v>
      </c>
      <c r="CP201" s="1699" t="s">
        <v>6335</v>
      </c>
      <c r="CR201" s="1678" t="s">
        <v>7761</v>
      </c>
      <c r="CS201" s="1678" t="s">
        <v>7767</v>
      </c>
      <c r="CW201" s="2252">
        <v>457</v>
      </c>
      <c r="CX201" s="2150" t="s">
        <v>64</v>
      </c>
    </row>
    <row r="202" spans="3:102" ht="15" x14ac:dyDescent="0.25">
      <c r="BU202" s="1678" t="s">
        <v>218</v>
      </c>
      <c r="BW202" s="1678" t="s">
        <v>219</v>
      </c>
      <c r="BY202" s="1678" t="s">
        <v>219</v>
      </c>
      <c r="CB202" s="1989" t="s">
        <v>8624</v>
      </c>
      <c r="CC202" s="1678" t="s">
        <v>8623</v>
      </c>
      <c r="CD202" s="1678"/>
      <c r="CE202" s="1989" t="s">
        <v>8622</v>
      </c>
      <c r="CF202" s="1661" t="s">
        <v>10018</v>
      </c>
      <c r="CG202" s="1661" t="s">
        <v>11018</v>
      </c>
      <c r="CL202" s="1699" t="s">
        <v>6582</v>
      </c>
      <c r="CM202" s="1699" t="s">
        <v>4269</v>
      </c>
      <c r="CN202" s="1699" t="s">
        <v>3858</v>
      </c>
      <c r="CO202" s="1690" t="s">
        <v>5037</v>
      </c>
      <c r="CP202" s="1699" t="s">
        <v>6334</v>
      </c>
      <c r="CR202" s="1678" t="s">
        <v>9133</v>
      </c>
      <c r="CS202" s="1678" t="s">
        <v>7982</v>
      </c>
      <c r="CW202" s="2252">
        <v>476</v>
      </c>
      <c r="CX202" s="2150" t="s">
        <v>64</v>
      </c>
    </row>
    <row r="203" spans="3:102" ht="15" x14ac:dyDescent="0.25">
      <c r="BU203" s="1678" t="s">
        <v>219</v>
      </c>
      <c r="BW203" s="1678" t="s">
        <v>7823</v>
      </c>
      <c r="BY203" s="1678" t="s">
        <v>7823</v>
      </c>
      <c r="CB203" s="1989" t="s">
        <v>8625</v>
      </c>
      <c r="CC203" s="1678" t="s">
        <v>8624</v>
      </c>
      <c r="CD203" s="1678"/>
      <c r="CE203" s="1989" t="s">
        <v>8623</v>
      </c>
      <c r="CF203" s="1661" t="s">
        <v>10019</v>
      </c>
      <c r="CG203" s="1661" t="s">
        <v>11019</v>
      </c>
      <c r="CL203" s="1699" t="s">
        <v>6581</v>
      </c>
      <c r="CM203" s="1699" t="s">
        <v>4270</v>
      </c>
      <c r="CN203" s="1699" t="s">
        <v>3857</v>
      </c>
      <c r="CO203" s="1690" t="s">
        <v>5038</v>
      </c>
      <c r="CP203" s="1699" t="s">
        <v>6333</v>
      </c>
      <c r="CR203" s="1678" t="s">
        <v>7977</v>
      </c>
      <c r="CS203" s="1678" t="s">
        <v>7982</v>
      </c>
      <c r="CW203" s="2252">
        <v>473</v>
      </c>
      <c r="CX203" s="2150" t="s">
        <v>64</v>
      </c>
    </row>
    <row r="204" spans="3:102" ht="15" x14ac:dyDescent="0.25">
      <c r="BU204" s="1678" t="s">
        <v>7823</v>
      </c>
      <c r="BW204" s="1678" t="s">
        <v>220</v>
      </c>
      <c r="BY204" s="1678" t="s">
        <v>220</v>
      </c>
      <c r="CB204" s="1989" t="s">
        <v>12715</v>
      </c>
      <c r="CC204" s="1678" t="s">
        <v>8625</v>
      </c>
      <c r="CD204" s="1678"/>
      <c r="CE204" s="1989" t="s">
        <v>8624</v>
      </c>
      <c r="CF204" s="1661" t="s">
        <v>10020</v>
      </c>
      <c r="CG204" s="1661" t="s">
        <v>11020</v>
      </c>
      <c r="CL204" s="1699" t="s">
        <v>6580</v>
      </c>
      <c r="CM204" s="1699" t="s">
        <v>4271</v>
      </c>
      <c r="CN204" s="1699" t="s">
        <v>3856</v>
      </c>
      <c r="CO204" s="1690" t="s">
        <v>5039</v>
      </c>
      <c r="CP204" s="1699" t="s">
        <v>6332</v>
      </c>
      <c r="CR204" s="1678" t="s">
        <v>8061</v>
      </c>
      <c r="CS204" s="1678" t="s">
        <v>7124</v>
      </c>
      <c r="CW204" s="2252">
        <v>485</v>
      </c>
      <c r="CX204" s="2150" t="s">
        <v>64</v>
      </c>
    </row>
    <row r="205" spans="3:102" ht="15" x14ac:dyDescent="0.25">
      <c r="BU205" s="1678" t="s">
        <v>220</v>
      </c>
      <c r="BW205" s="1678" t="s">
        <v>221</v>
      </c>
      <c r="BY205" s="1678" t="s">
        <v>221</v>
      </c>
      <c r="CB205" s="1989" t="s">
        <v>12716</v>
      </c>
      <c r="CC205" s="1678" t="s">
        <v>8626</v>
      </c>
      <c r="CD205" s="1678"/>
      <c r="CE205" s="1989" t="s">
        <v>8625</v>
      </c>
      <c r="CF205" s="1661" t="s">
        <v>10021</v>
      </c>
      <c r="CG205" s="1661" t="s">
        <v>11021</v>
      </c>
      <c r="CL205" s="1699" t="s">
        <v>6579</v>
      </c>
      <c r="CM205" s="1699" t="s">
        <v>4272</v>
      </c>
      <c r="CN205" s="1699" t="s">
        <v>3855</v>
      </c>
      <c r="CO205" s="1690" t="s">
        <v>5040</v>
      </c>
      <c r="CP205" s="1699" t="s">
        <v>6331</v>
      </c>
      <c r="CR205" s="1678" t="s">
        <v>8060</v>
      </c>
      <c r="CS205" s="1678" t="s">
        <v>7123</v>
      </c>
      <c r="CW205" s="2252">
        <v>453</v>
      </c>
      <c r="CX205" s="2150" t="s">
        <v>64</v>
      </c>
    </row>
    <row r="206" spans="3:102" ht="15" x14ac:dyDescent="0.25">
      <c r="BU206" s="1678" t="s">
        <v>221</v>
      </c>
      <c r="BW206" s="1678" t="s">
        <v>222</v>
      </c>
      <c r="BY206" s="1678" t="s">
        <v>222</v>
      </c>
      <c r="CB206" s="1989" t="s">
        <v>8628</v>
      </c>
      <c r="CC206" s="1678" t="s">
        <v>8627</v>
      </c>
      <c r="CD206" s="1678"/>
      <c r="CE206" s="1989" t="s">
        <v>12715</v>
      </c>
      <c r="CF206" s="1661" t="s">
        <v>10022</v>
      </c>
      <c r="CG206" s="1661" t="s">
        <v>11022</v>
      </c>
      <c r="CL206" s="1699" t="s">
        <v>6578</v>
      </c>
      <c r="CM206" s="1699" t="s">
        <v>4273</v>
      </c>
      <c r="CN206" s="1699" t="s">
        <v>3854</v>
      </c>
      <c r="CO206" s="1690" t="s">
        <v>5041</v>
      </c>
      <c r="CP206" s="1699" t="s">
        <v>6330</v>
      </c>
      <c r="CR206" s="1678" t="s">
        <v>9168</v>
      </c>
      <c r="CS206" s="1678" t="s">
        <v>7769</v>
      </c>
      <c r="CW206" s="2252">
        <v>452</v>
      </c>
      <c r="CX206" s="2150" t="s">
        <v>64</v>
      </c>
    </row>
    <row r="207" spans="3:102" ht="15" x14ac:dyDescent="0.25">
      <c r="BU207" s="1678" t="s">
        <v>222</v>
      </c>
      <c r="BW207" s="1678" t="s">
        <v>223</v>
      </c>
      <c r="BY207" s="1678" t="s">
        <v>223</v>
      </c>
      <c r="CB207" s="1989" t="s">
        <v>8629</v>
      </c>
      <c r="CC207" s="1678" t="s">
        <v>8628</v>
      </c>
      <c r="CD207" s="1678"/>
      <c r="CE207" s="1989" t="s">
        <v>12716</v>
      </c>
      <c r="CF207" s="1661" t="s">
        <v>10023</v>
      </c>
      <c r="CG207" s="1661" t="s">
        <v>11023</v>
      </c>
      <c r="CL207" s="1699" t="s">
        <v>6577</v>
      </c>
      <c r="CM207" s="1699" t="s">
        <v>4274</v>
      </c>
      <c r="CN207" s="1699" t="s">
        <v>3853</v>
      </c>
      <c r="CO207" s="1690" t="s">
        <v>5042</v>
      </c>
      <c r="CP207" s="1699" t="s">
        <v>6329</v>
      </c>
      <c r="CR207" s="1678" t="s">
        <v>9169</v>
      </c>
      <c r="CS207" s="1678" t="s">
        <v>7126</v>
      </c>
      <c r="CW207" s="2252">
        <v>456</v>
      </c>
      <c r="CX207" s="2150" t="s">
        <v>64</v>
      </c>
    </row>
    <row r="208" spans="3:102" ht="15" x14ac:dyDescent="0.25">
      <c r="BU208" s="1678" t="s">
        <v>223</v>
      </c>
      <c r="BW208" s="1678" t="s">
        <v>224</v>
      </c>
      <c r="BY208" s="1678" t="s">
        <v>224</v>
      </c>
      <c r="CB208" s="1989" t="s">
        <v>8630</v>
      </c>
      <c r="CC208" s="1678" t="s">
        <v>8629</v>
      </c>
      <c r="CD208" s="1678"/>
      <c r="CE208" s="1989" t="s">
        <v>8628</v>
      </c>
      <c r="CF208" s="1661" t="s">
        <v>10024</v>
      </c>
      <c r="CG208" s="1661" t="s">
        <v>11024</v>
      </c>
      <c r="CL208" s="1699" t="s">
        <v>6576</v>
      </c>
      <c r="CM208" s="1699" t="s">
        <v>4275</v>
      </c>
      <c r="CN208" s="1699" t="s">
        <v>3852</v>
      </c>
      <c r="CO208" s="1690" t="s">
        <v>5043</v>
      </c>
      <c r="CP208" s="1699" t="s">
        <v>6328</v>
      </c>
      <c r="CR208" s="1678" t="s">
        <v>9162</v>
      </c>
      <c r="CS208" s="1678" t="s">
        <v>9182</v>
      </c>
      <c r="CW208" s="2252">
        <v>413</v>
      </c>
      <c r="CX208" s="2150" t="s">
        <v>65</v>
      </c>
    </row>
    <row r="209" spans="73:102" ht="15" x14ac:dyDescent="0.25">
      <c r="BU209" s="1678" t="s">
        <v>224</v>
      </c>
      <c r="BW209" s="1678" t="s">
        <v>7824</v>
      </c>
      <c r="BY209" s="1678" t="s">
        <v>7824</v>
      </c>
      <c r="CB209" s="1989" t="s">
        <v>8631</v>
      </c>
      <c r="CC209" s="1678" t="s">
        <v>8630</v>
      </c>
      <c r="CD209" s="1678"/>
      <c r="CE209" s="1989" t="s">
        <v>8629</v>
      </c>
      <c r="CF209" s="1661" t="s">
        <v>10025</v>
      </c>
      <c r="CG209" s="1661" t="s">
        <v>11025</v>
      </c>
      <c r="CL209" s="1699" t="s">
        <v>6575</v>
      </c>
      <c r="CM209" s="1699" t="s">
        <v>4276</v>
      </c>
      <c r="CN209" s="1699" t="s">
        <v>3851</v>
      </c>
      <c r="CO209" s="1690" t="s">
        <v>5044</v>
      </c>
      <c r="CP209" s="1699" t="s">
        <v>6327</v>
      </c>
      <c r="CR209" s="1678" t="s">
        <v>8062</v>
      </c>
      <c r="CS209" s="1678" t="s">
        <v>7125</v>
      </c>
      <c r="CW209" s="2252">
        <v>445</v>
      </c>
      <c r="CX209" s="2150" t="s">
        <v>65</v>
      </c>
    </row>
    <row r="210" spans="73:102" ht="15" x14ac:dyDescent="0.25">
      <c r="BU210" s="1678" t="s">
        <v>7824</v>
      </c>
      <c r="BW210" s="1678" t="s">
        <v>225</v>
      </c>
      <c r="BY210" s="1678" t="s">
        <v>225</v>
      </c>
      <c r="CB210" s="1989" t="s">
        <v>8632</v>
      </c>
      <c r="CC210" s="1678" t="s">
        <v>8631</v>
      </c>
      <c r="CD210" s="1678"/>
      <c r="CE210" s="1989" t="s">
        <v>8630</v>
      </c>
      <c r="CF210" s="1661" t="s">
        <v>10026</v>
      </c>
      <c r="CG210" s="1661" t="s">
        <v>11026</v>
      </c>
      <c r="CL210" s="1699" t="s">
        <v>6574</v>
      </c>
      <c r="CM210" s="1699" t="s">
        <v>4277</v>
      </c>
      <c r="CN210" s="1699" t="s">
        <v>3850</v>
      </c>
      <c r="CO210" s="1690" t="s">
        <v>5045</v>
      </c>
      <c r="CP210" s="1699" t="s">
        <v>6326</v>
      </c>
      <c r="CR210" s="1678" t="s">
        <v>8016</v>
      </c>
      <c r="CS210" s="1678" t="s">
        <v>6993</v>
      </c>
      <c r="CW210" s="2252">
        <v>414</v>
      </c>
      <c r="CX210" s="2150" t="s">
        <v>65</v>
      </c>
    </row>
    <row r="211" spans="73:102" ht="15" x14ac:dyDescent="0.25">
      <c r="BU211" s="1678" t="s">
        <v>225</v>
      </c>
      <c r="BW211" s="1678" t="s">
        <v>226</v>
      </c>
      <c r="BY211" s="1678" t="s">
        <v>226</v>
      </c>
      <c r="CB211" s="1989" t="s">
        <v>8633</v>
      </c>
      <c r="CC211" s="1678" t="s">
        <v>8632</v>
      </c>
      <c r="CD211" s="1678"/>
      <c r="CE211" s="1989" t="s">
        <v>8631</v>
      </c>
      <c r="CF211" s="1661" t="s">
        <v>10027</v>
      </c>
      <c r="CG211" s="1661" t="s">
        <v>11027</v>
      </c>
      <c r="CL211" s="1699" t="s">
        <v>6573</v>
      </c>
      <c r="CM211" s="1699" t="s">
        <v>4278</v>
      </c>
      <c r="CN211" s="1699" t="s">
        <v>3849</v>
      </c>
      <c r="CO211" s="1690" t="s">
        <v>5046</v>
      </c>
      <c r="CP211" s="1699" t="s">
        <v>6325</v>
      </c>
      <c r="CR211" s="1678" t="s">
        <v>7976</v>
      </c>
      <c r="CS211" s="1678" t="s">
        <v>7981</v>
      </c>
      <c r="CW211" s="2252">
        <v>431</v>
      </c>
      <c r="CX211" s="2150" t="s">
        <v>65</v>
      </c>
    </row>
    <row r="212" spans="73:102" ht="15" x14ac:dyDescent="0.25">
      <c r="BU212" s="1678" t="s">
        <v>226</v>
      </c>
      <c r="BW212" s="1678" t="s">
        <v>227</v>
      </c>
      <c r="BY212" s="1678" t="s">
        <v>227</v>
      </c>
      <c r="CB212" s="1989" t="s">
        <v>8634</v>
      </c>
      <c r="CC212" s="1678" t="s">
        <v>8633</v>
      </c>
      <c r="CD212" s="1678"/>
      <c r="CE212" s="1989" t="s">
        <v>8632</v>
      </c>
      <c r="CF212" s="1661" t="s">
        <v>10028</v>
      </c>
      <c r="CG212" s="1661" t="s">
        <v>11028</v>
      </c>
      <c r="CL212" s="1699" t="s">
        <v>6572</v>
      </c>
      <c r="CM212" s="1699" t="s">
        <v>4279</v>
      </c>
      <c r="CN212" s="1699" t="s">
        <v>3848</v>
      </c>
      <c r="CO212" s="1690" t="s">
        <v>5047</v>
      </c>
      <c r="CP212" s="1699" t="s">
        <v>6324</v>
      </c>
      <c r="CR212" s="1678" t="s">
        <v>9163</v>
      </c>
      <c r="CS212" s="1678" t="s">
        <v>7118</v>
      </c>
      <c r="CW212" s="2252">
        <v>444</v>
      </c>
      <c r="CX212" s="2150" t="s">
        <v>65</v>
      </c>
    </row>
    <row r="213" spans="73:102" ht="15" x14ac:dyDescent="0.25">
      <c r="BU213" s="1678" t="s">
        <v>227</v>
      </c>
      <c r="BW213" s="1678" t="s">
        <v>228</v>
      </c>
      <c r="BY213" s="1678" t="s">
        <v>228</v>
      </c>
      <c r="CB213" s="1989" t="s">
        <v>8635</v>
      </c>
      <c r="CC213" s="1678" t="s">
        <v>8634</v>
      </c>
      <c r="CD213" s="1678"/>
      <c r="CE213" s="1989" t="s">
        <v>8633</v>
      </c>
      <c r="CF213" s="1661" t="s">
        <v>10029</v>
      </c>
      <c r="CG213" s="1661" t="s">
        <v>11029</v>
      </c>
      <c r="CL213" s="1699" t="s">
        <v>6571</v>
      </c>
      <c r="CM213" s="1699" t="s">
        <v>4280</v>
      </c>
      <c r="CN213" s="1699" t="s">
        <v>3847</v>
      </c>
      <c r="CO213" s="1690" t="s">
        <v>5048</v>
      </c>
      <c r="CP213" s="1699" t="s">
        <v>6323</v>
      </c>
      <c r="CR213" s="1678" t="s">
        <v>8896</v>
      </c>
      <c r="CS213" s="1678" t="s">
        <v>8880</v>
      </c>
      <c r="CW213" s="2252">
        <v>441</v>
      </c>
      <c r="CX213" s="2150" t="s">
        <v>65</v>
      </c>
    </row>
    <row r="214" spans="73:102" ht="15" x14ac:dyDescent="0.25">
      <c r="BU214" s="1678" t="s">
        <v>228</v>
      </c>
      <c r="BW214" s="1678" t="s">
        <v>229</v>
      </c>
      <c r="BY214" s="1678" t="s">
        <v>229</v>
      </c>
      <c r="CB214" s="1989" t="s">
        <v>8824</v>
      </c>
      <c r="CC214" s="1678" t="s">
        <v>8635</v>
      </c>
      <c r="CD214" s="1678"/>
      <c r="CE214" s="1989" t="s">
        <v>8634</v>
      </c>
      <c r="CF214" s="1661" t="s">
        <v>10030</v>
      </c>
      <c r="CG214" s="1661" t="s">
        <v>11030</v>
      </c>
      <c r="CL214" s="1699" t="s">
        <v>6570</v>
      </c>
      <c r="CM214" s="1699" t="s">
        <v>4281</v>
      </c>
      <c r="CN214" s="1699" t="s">
        <v>3846</v>
      </c>
      <c r="CO214" s="1690" t="s">
        <v>5049</v>
      </c>
      <c r="CP214" s="1699" t="s">
        <v>6322</v>
      </c>
      <c r="CR214" s="1678" t="s">
        <v>9378</v>
      </c>
      <c r="CS214" s="1678" t="s">
        <v>9373</v>
      </c>
      <c r="CW214" s="2252">
        <v>442</v>
      </c>
      <c r="CX214" s="2150" t="s">
        <v>65</v>
      </c>
    </row>
    <row r="215" spans="73:102" ht="15" x14ac:dyDescent="0.25">
      <c r="BU215" s="1678" t="s">
        <v>229</v>
      </c>
      <c r="BW215" s="1678" t="s">
        <v>7825</v>
      </c>
      <c r="BY215" s="1678" t="s">
        <v>7825</v>
      </c>
      <c r="CB215" s="1989" t="s">
        <v>8636</v>
      </c>
      <c r="CC215" s="1678" t="s">
        <v>8824</v>
      </c>
      <c r="CD215" s="1678"/>
      <c r="CE215" s="1989" t="s">
        <v>8635</v>
      </c>
      <c r="CF215" s="1661" t="s">
        <v>10031</v>
      </c>
      <c r="CG215" s="1661" t="s">
        <v>11031</v>
      </c>
      <c r="CL215" s="1699" t="s">
        <v>6569</v>
      </c>
      <c r="CM215" s="1699" t="s">
        <v>4282</v>
      </c>
      <c r="CN215" s="1699" t="s">
        <v>3845</v>
      </c>
      <c r="CO215" s="1690" t="s">
        <v>5050</v>
      </c>
      <c r="CP215" s="1699" t="s">
        <v>6321</v>
      </c>
      <c r="CR215" s="1678" t="s">
        <v>8063</v>
      </c>
      <c r="CS215" s="1678" t="s">
        <v>7128</v>
      </c>
      <c r="CW215" s="2252">
        <v>443</v>
      </c>
      <c r="CX215" s="2150" t="s">
        <v>65</v>
      </c>
    </row>
    <row r="216" spans="73:102" ht="15" x14ac:dyDescent="0.25">
      <c r="BU216" s="1678" t="s">
        <v>7825</v>
      </c>
      <c r="BW216" s="1678" t="s">
        <v>230</v>
      </c>
      <c r="BY216" s="1678" t="s">
        <v>230</v>
      </c>
      <c r="CB216" s="1989" t="s">
        <v>8637</v>
      </c>
      <c r="CC216" s="1678" t="s">
        <v>8636</v>
      </c>
      <c r="CD216" s="1678"/>
      <c r="CE216" s="1989" t="s">
        <v>8824</v>
      </c>
      <c r="CF216" s="1661" t="s">
        <v>10032</v>
      </c>
      <c r="CG216" s="1661" t="s">
        <v>11032</v>
      </c>
      <c r="CL216" s="1699" t="s">
        <v>6568</v>
      </c>
      <c r="CM216" s="1699" t="s">
        <v>4283</v>
      </c>
      <c r="CN216" s="1699" t="s">
        <v>3844</v>
      </c>
      <c r="CO216" s="1690" t="s">
        <v>5051</v>
      </c>
      <c r="CP216" s="1699" t="s">
        <v>6320</v>
      </c>
      <c r="CR216" s="1678" t="s">
        <v>9164</v>
      </c>
      <c r="CS216" s="1678" t="s">
        <v>7119</v>
      </c>
      <c r="CW216" s="2252">
        <v>415</v>
      </c>
      <c r="CX216" s="2150" t="s">
        <v>65</v>
      </c>
    </row>
    <row r="217" spans="73:102" ht="15" x14ac:dyDescent="0.25">
      <c r="BU217" s="1678" t="s">
        <v>230</v>
      </c>
      <c r="BW217" s="1678" t="s">
        <v>231</v>
      </c>
      <c r="BY217" s="1678" t="s">
        <v>231</v>
      </c>
      <c r="CB217" s="1989" t="s">
        <v>8638</v>
      </c>
      <c r="CC217" s="1678" t="s">
        <v>8637</v>
      </c>
      <c r="CD217" s="1678"/>
      <c r="CE217" s="1989" t="s">
        <v>8636</v>
      </c>
      <c r="CF217" s="1661" t="s">
        <v>10033</v>
      </c>
      <c r="CG217" s="1661" t="s">
        <v>11033</v>
      </c>
      <c r="CL217" s="1699" t="s">
        <v>6567</v>
      </c>
      <c r="CM217" s="1699" t="s">
        <v>4284</v>
      </c>
      <c r="CN217" s="1699" t="s">
        <v>3843</v>
      </c>
      <c r="CO217" s="1690" t="s">
        <v>5052</v>
      </c>
      <c r="CP217" s="1699" t="s">
        <v>6319</v>
      </c>
      <c r="CR217" s="1678" t="s">
        <v>9170</v>
      </c>
      <c r="CS217" s="1678" t="s">
        <v>7127</v>
      </c>
      <c r="CW217" s="2252">
        <v>416</v>
      </c>
      <c r="CX217" s="2150" t="s">
        <v>65</v>
      </c>
    </row>
    <row r="218" spans="73:102" ht="15" x14ac:dyDescent="0.25">
      <c r="BU218" s="1678" t="s">
        <v>231</v>
      </c>
      <c r="BW218" s="1678" t="s">
        <v>232</v>
      </c>
      <c r="BY218" s="1678" t="s">
        <v>232</v>
      </c>
      <c r="CB218" s="1989" t="s">
        <v>8639</v>
      </c>
      <c r="CC218" s="1678" t="s">
        <v>8638</v>
      </c>
      <c r="CD218" s="1678"/>
      <c r="CE218" s="1989" t="s">
        <v>8637</v>
      </c>
      <c r="CF218" s="1661" t="s">
        <v>10034</v>
      </c>
      <c r="CG218" s="1661" t="s">
        <v>11034</v>
      </c>
      <c r="CL218" s="1699" t="s">
        <v>6566</v>
      </c>
      <c r="CM218" s="1699" t="s">
        <v>4285</v>
      </c>
      <c r="CN218" s="1699" t="s">
        <v>3842</v>
      </c>
      <c r="CO218" s="1690" t="s">
        <v>5053</v>
      </c>
      <c r="CP218" s="1699" t="s">
        <v>6318</v>
      </c>
      <c r="CR218" s="1678" t="s">
        <v>8157</v>
      </c>
      <c r="CS218" s="1678" t="s">
        <v>7127</v>
      </c>
      <c r="CW218" s="2252">
        <v>412</v>
      </c>
      <c r="CX218" s="2150" t="s">
        <v>65</v>
      </c>
    </row>
    <row r="219" spans="73:102" ht="15" x14ac:dyDescent="0.25">
      <c r="BU219" s="1678" t="s">
        <v>232</v>
      </c>
      <c r="BW219" s="1678" t="s">
        <v>233</v>
      </c>
      <c r="BY219" s="1678" t="s">
        <v>233</v>
      </c>
      <c r="CB219" s="1989" t="s">
        <v>8640</v>
      </c>
      <c r="CC219" s="1678" t="s">
        <v>8639</v>
      </c>
      <c r="CD219" s="1678"/>
      <c r="CE219" s="1989" t="s">
        <v>8638</v>
      </c>
      <c r="CF219" s="1661" t="s">
        <v>10035</v>
      </c>
      <c r="CG219" s="1661" t="s">
        <v>11035</v>
      </c>
      <c r="CL219" s="1699" t="s">
        <v>6565</v>
      </c>
      <c r="CM219" s="1699" t="s">
        <v>4286</v>
      </c>
      <c r="CN219" s="1699" t="s">
        <v>3841</v>
      </c>
      <c r="CO219" s="1690" t="s">
        <v>5054</v>
      </c>
      <c r="CP219" s="1699" t="s">
        <v>6317</v>
      </c>
      <c r="CR219" s="1678" t="s">
        <v>9165</v>
      </c>
      <c r="CS219" s="1678" t="s">
        <v>7120</v>
      </c>
      <c r="CW219" s="2252">
        <v>424</v>
      </c>
      <c r="CX219" s="2150" t="s">
        <v>65</v>
      </c>
    </row>
    <row r="220" spans="73:102" ht="15" x14ac:dyDescent="0.25">
      <c r="BU220" s="1678" t="s">
        <v>233</v>
      </c>
      <c r="BW220" s="1678" t="s">
        <v>7826</v>
      </c>
      <c r="BY220" s="1678" t="s">
        <v>7826</v>
      </c>
      <c r="CB220" s="1989" t="s">
        <v>8641</v>
      </c>
      <c r="CC220" s="1678" t="s">
        <v>8640</v>
      </c>
      <c r="CD220" s="1678"/>
      <c r="CE220" s="1989" t="s">
        <v>8639</v>
      </c>
      <c r="CF220" s="1661" t="s">
        <v>10036</v>
      </c>
      <c r="CG220" s="1661" t="s">
        <v>11036</v>
      </c>
      <c r="CK220" s="1697"/>
      <c r="CL220" s="1699" t="s">
        <v>6564</v>
      </c>
      <c r="CM220" s="1699" t="s">
        <v>4287</v>
      </c>
      <c r="CN220" s="1699" t="s">
        <v>3840</v>
      </c>
      <c r="CO220" s="1690" t="s">
        <v>5055</v>
      </c>
      <c r="CP220" s="1699" t="s">
        <v>6316</v>
      </c>
      <c r="CR220" s="1678" t="s">
        <v>8064</v>
      </c>
      <c r="CS220" s="1678" t="s">
        <v>7129</v>
      </c>
      <c r="CW220" s="2252">
        <v>425</v>
      </c>
      <c r="CX220" s="2150" t="s">
        <v>65</v>
      </c>
    </row>
    <row r="221" spans="73:102" ht="15" x14ac:dyDescent="0.25">
      <c r="BU221" s="1678" t="s">
        <v>7826</v>
      </c>
      <c r="BW221" s="1678" t="s">
        <v>234</v>
      </c>
      <c r="BY221" s="1678" t="s">
        <v>234</v>
      </c>
      <c r="CB221" s="1989" t="s">
        <v>8642</v>
      </c>
      <c r="CC221" s="1678" t="s">
        <v>8641</v>
      </c>
      <c r="CD221" s="1678"/>
      <c r="CE221" s="1989" t="s">
        <v>8640</v>
      </c>
      <c r="CF221" s="1661" t="s">
        <v>10037</v>
      </c>
      <c r="CG221" s="1661" t="s">
        <v>11037</v>
      </c>
      <c r="CL221" s="1699" t="s">
        <v>6563</v>
      </c>
      <c r="CM221" s="1699" t="s">
        <v>4288</v>
      </c>
      <c r="CN221" s="1699" t="s">
        <v>3839</v>
      </c>
      <c r="CO221" s="1690" t="s">
        <v>5056</v>
      </c>
      <c r="CP221" s="1699" t="s">
        <v>6315</v>
      </c>
      <c r="CR221" s="1678" t="s">
        <v>9171</v>
      </c>
      <c r="CS221" s="1678" t="s">
        <v>7131</v>
      </c>
      <c r="CW221" s="2252">
        <v>423</v>
      </c>
      <c r="CX221" s="2150" t="s">
        <v>65</v>
      </c>
    </row>
    <row r="222" spans="73:102" ht="15" x14ac:dyDescent="0.25">
      <c r="BU222" s="1678" t="s">
        <v>234</v>
      </c>
      <c r="BW222" s="1678" t="s">
        <v>7827</v>
      </c>
      <c r="BY222" s="1678" t="s">
        <v>7827</v>
      </c>
      <c r="CB222" s="1989" t="s">
        <v>8643</v>
      </c>
      <c r="CC222" s="1678" t="s">
        <v>8642</v>
      </c>
      <c r="CD222" s="1678"/>
      <c r="CE222" s="1989" t="s">
        <v>8641</v>
      </c>
      <c r="CF222" s="1661" t="s">
        <v>10038</v>
      </c>
      <c r="CG222" s="1661" t="s">
        <v>11038</v>
      </c>
      <c r="CL222" s="1699" t="s">
        <v>6562</v>
      </c>
      <c r="CM222" s="1699" t="s">
        <v>4289</v>
      </c>
      <c r="CN222" s="1699" t="s">
        <v>3838</v>
      </c>
      <c r="CO222" s="1690" t="s">
        <v>5057</v>
      </c>
      <c r="CP222" s="1699" t="s">
        <v>6314</v>
      </c>
      <c r="CR222" s="1678" t="s">
        <v>8059</v>
      </c>
      <c r="CS222" s="1678" t="s">
        <v>7121</v>
      </c>
      <c r="CW222" s="2252">
        <v>422</v>
      </c>
      <c r="CX222" s="2150" t="s">
        <v>65</v>
      </c>
    </row>
    <row r="223" spans="73:102" ht="15" x14ac:dyDescent="0.25">
      <c r="BU223" s="1678" t="s">
        <v>7827</v>
      </c>
      <c r="BW223" s="1678" t="s">
        <v>235</v>
      </c>
      <c r="BY223" s="1678" t="s">
        <v>235</v>
      </c>
      <c r="CB223" s="1989" t="s">
        <v>8644</v>
      </c>
      <c r="CC223" s="1678" t="s">
        <v>8643</v>
      </c>
      <c r="CD223" s="1678"/>
      <c r="CE223" s="1989" t="s">
        <v>8642</v>
      </c>
      <c r="CF223" s="1661" t="s">
        <v>10039</v>
      </c>
      <c r="CG223" s="1661" t="s">
        <v>11039</v>
      </c>
      <c r="CL223" s="1699" t="s">
        <v>6561</v>
      </c>
      <c r="CM223" s="1699" t="s">
        <v>4290</v>
      </c>
      <c r="CN223" s="1699" t="s">
        <v>3837</v>
      </c>
      <c r="CO223" s="1690" t="s">
        <v>5058</v>
      </c>
      <c r="CP223" s="1699" t="s">
        <v>6313</v>
      </c>
      <c r="CR223" s="1678" t="s">
        <v>9172</v>
      </c>
      <c r="CS223" s="1678" t="s">
        <v>7132</v>
      </c>
      <c r="CW223" s="2252">
        <v>400</v>
      </c>
      <c r="CX223" s="2150" t="s">
        <v>65</v>
      </c>
    </row>
    <row r="224" spans="73:102" ht="15" x14ac:dyDescent="0.25">
      <c r="BU224" s="1678" t="s">
        <v>235</v>
      </c>
      <c r="BW224" s="1678" t="s">
        <v>8897</v>
      </c>
      <c r="BY224" s="1678" t="s">
        <v>8897</v>
      </c>
      <c r="CB224" s="1989" t="s">
        <v>8645</v>
      </c>
      <c r="CC224" s="1678" t="s">
        <v>8644</v>
      </c>
      <c r="CD224" s="1678"/>
      <c r="CE224" s="1989" t="s">
        <v>8643</v>
      </c>
      <c r="CF224" s="1661" t="s">
        <v>10040</v>
      </c>
      <c r="CG224" s="1661" t="s">
        <v>11040</v>
      </c>
      <c r="CL224" s="1699" t="s">
        <v>6560</v>
      </c>
      <c r="CM224" s="1699" t="s">
        <v>4291</v>
      </c>
      <c r="CN224" s="1699" t="s">
        <v>3836</v>
      </c>
      <c r="CO224" s="1690" t="s">
        <v>5059</v>
      </c>
      <c r="CP224" s="1699" t="s">
        <v>6312</v>
      </c>
      <c r="CR224" s="1678" t="s">
        <v>9595</v>
      </c>
      <c r="CS224" s="1678" t="s">
        <v>9596</v>
      </c>
      <c r="CW224" s="2252">
        <v>410</v>
      </c>
      <c r="CX224" s="2150" t="s">
        <v>65</v>
      </c>
    </row>
    <row r="225" spans="73:102" ht="15" x14ac:dyDescent="0.25">
      <c r="BU225" s="1678" t="s">
        <v>8897</v>
      </c>
      <c r="BW225" s="1678" t="s">
        <v>236</v>
      </c>
      <c r="BY225" s="1678" t="s">
        <v>236</v>
      </c>
      <c r="CB225" s="1989" t="s">
        <v>8646</v>
      </c>
      <c r="CC225" s="1678" t="s">
        <v>8645</v>
      </c>
      <c r="CD225" s="1678"/>
      <c r="CE225" s="1989" t="s">
        <v>8644</v>
      </c>
      <c r="CF225" s="1661" t="s">
        <v>10041</v>
      </c>
      <c r="CG225" s="1661" t="s">
        <v>11041</v>
      </c>
      <c r="CL225" s="1699" t="s">
        <v>6559</v>
      </c>
      <c r="CM225" s="1699" t="s">
        <v>4292</v>
      </c>
      <c r="CN225" s="1699" t="s">
        <v>3835</v>
      </c>
      <c r="CO225" s="1690" t="s">
        <v>5060</v>
      </c>
      <c r="CP225" s="1699" t="s">
        <v>6311</v>
      </c>
      <c r="CW225" s="2252">
        <v>402</v>
      </c>
      <c r="CX225" s="2150" t="s">
        <v>65</v>
      </c>
    </row>
    <row r="226" spans="73:102" ht="15" x14ac:dyDescent="0.25">
      <c r="BU226" s="1678" t="s">
        <v>236</v>
      </c>
      <c r="BW226" s="1678" t="s">
        <v>7828</v>
      </c>
      <c r="BY226" s="1678" t="s">
        <v>7828</v>
      </c>
      <c r="CB226" s="1989" t="s">
        <v>8647</v>
      </c>
      <c r="CC226" s="1678" t="s">
        <v>8646</v>
      </c>
      <c r="CD226" s="1678"/>
      <c r="CE226" s="1989" t="s">
        <v>8645</v>
      </c>
      <c r="CF226" s="1661" t="s">
        <v>10042</v>
      </c>
      <c r="CG226" s="1661" t="s">
        <v>11042</v>
      </c>
      <c r="CL226" s="1699" t="s">
        <v>6558</v>
      </c>
      <c r="CM226" s="1699" t="s">
        <v>4293</v>
      </c>
      <c r="CN226" s="1699" t="s">
        <v>3834</v>
      </c>
      <c r="CO226" s="1690" t="s">
        <v>5061</v>
      </c>
      <c r="CP226" s="1699" t="s">
        <v>6310</v>
      </c>
      <c r="CW226" s="2252">
        <v>411</v>
      </c>
      <c r="CX226" s="2150" t="s">
        <v>65</v>
      </c>
    </row>
    <row r="227" spans="73:102" ht="15" x14ac:dyDescent="0.25">
      <c r="BU227" s="1678" t="s">
        <v>7828</v>
      </c>
      <c r="BW227" s="1678" t="s">
        <v>237</v>
      </c>
      <c r="BY227" s="1678" t="s">
        <v>237</v>
      </c>
      <c r="CB227" s="1989" t="s">
        <v>8648</v>
      </c>
      <c r="CC227" s="1678" t="s">
        <v>8647</v>
      </c>
      <c r="CD227" s="1678"/>
      <c r="CE227" s="1989" t="s">
        <v>8646</v>
      </c>
      <c r="CF227" s="1661" t="s">
        <v>10043</v>
      </c>
      <c r="CG227" s="1661" t="s">
        <v>11043</v>
      </c>
      <c r="CL227" s="1699" t="s">
        <v>6557</v>
      </c>
      <c r="CM227" s="1699" t="s">
        <v>4294</v>
      </c>
      <c r="CN227" s="1699" t="s">
        <v>3833</v>
      </c>
      <c r="CO227" s="1690" t="s">
        <v>5062</v>
      </c>
      <c r="CP227" s="1699" t="s">
        <v>6309</v>
      </c>
      <c r="CW227" s="2252">
        <v>421</v>
      </c>
      <c r="CX227" s="2150" t="s">
        <v>65</v>
      </c>
    </row>
    <row r="228" spans="73:102" ht="15" x14ac:dyDescent="0.25">
      <c r="BU228" s="1678" t="s">
        <v>237</v>
      </c>
      <c r="BW228" s="1678" t="s">
        <v>238</v>
      </c>
      <c r="BY228" s="1678" t="s">
        <v>238</v>
      </c>
      <c r="CB228" s="1989" t="s">
        <v>8649</v>
      </c>
      <c r="CC228" s="1678" t="s">
        <v>8648</v>
      </c>
      <c r="CD228" s="1678"/>
      <c r="CE228" s="1989" t="s">
        <v>8647</v>
      </c>
      <c r="CF228" s="1661" t="s">
        <v>10044</v>
      </c>
      <c r="CG228" s="1661" t="s">
        <v>11044</v>
      </c>
      <c r="CL228" s="1699" t="s">
        <v>6556</v>
      </c>
      <c r="CM228" s="1699" t="s">
        <v>4295</v>
      </c>
      <c r="CN228" s="1699" t="s">
        <v>3832</v>
      </c>
      <c r="CO228" s="1690" t="s">
        <v>5063</v>
      </c>
      <c r="CP228" s="1699" t="s">
        <v>6308</v>
      </c>
      <c r="CW228" s="2252">
        <v>440</v>
      </c>
      <c r="CX228" s="2150" t="s">
        <v>65</v>
      </c>
    </row>
    <row r="229" spans="73:102" ht="15" x14ac:dyDescent="0.25">
      <c r="BU229" s="1678" t="s">
        <v>238</v>
      </c>
      <c r="BW229" s="1678" t="s">
        <v>239</v>
      </c>
      <c r="BY229" s="1678" t="s">
        <v>239</v>
      </c>
      <c r="CB229" s="1989" t="s">
        <v>8650</v>
      </c>
      <c r="CC229" s="1678" t="s">
        <v>8649</v>
      </c>
      <c r="CD229" s="1678"/>
      <c r="CE229" s="1989" t="s">
        <v>8648</v>
      </c>
      <c r="CF229" s="1661" t="s">
        <v>10045</v>
      </c>
      <c r="CG229" s="1661" t="s">
        <v>11045</v>
      </c>
      <c r="CL229" s="1699" t="s">
        <v>6555</v>
      </c>
      <c r="CM229" s="1699" t="s">
        <v>4296</v>
      </c>
      <c r="CN229" s="1699" t="s">
        <v>3831</v>
      </c>
      <c r="CO229" s="1690" t="s">
        <v>5064</v>
      </c>
      <c r="CP229" s="1699" t="s">
        <v>6307</v>
      </c>
      <c r="CW229" s="2252">
        <v>401</v>
      </c>
      <c r="CX229" s="2150" t="s">
        <v>65</v>
      </c>
    </row>
    <row r="230" spans="73:102" ht="15" x14ac:dyDescent="0.25">
      <c r="BU230" s="1678" t="s">
        <v>239</v>
      </c>
      <c r="BW230" s="1678" t="s">
        <v>240</v>
      </c>
      <c r="BY230" s="1678" t="s">
        <v>240</v>
      </c>
      <c r="CB230" s="1989" t="s">
        <v>8651</v>
      </c>
      <c r="CC230" s="1678" t="s">
        <v>8650</v>
      </c>
      <c r="CD230" s="1678"/>
      <c r="CE230" s="1989" t="s">
        <v>8649</v>
      </c>
      <c r="CF230" s="1661" t="s">
        <v>10046</v>
      </c>
      <c r="CG230" s="1661" t="s">
        <v>11046</v>
      </c>
      <c r="CL230" s="1699" t="s">
        <v>6554</v>
      </c>
      <c r="CM230" s="1699" t="s">
        <v>4297</v>
      </c>
      <c r="CN230" s="1699" t="s">
        <v>3830</v>
      </c>
      <c r="CO230" s="1690" t="s">
        <v>5065</v>
      </c>
      <c r="CP230" s="1699" t="s">
        <v>6306</v>
      </c>
      <c r="CW230" s="2252">
        <v>795</v>
      </c>
      <c r="CX230" s="2150" t="s">
        <v>66</v>
      </c>
    </row>
    <row r="231" spans="73:102" ht="15" x14ac:dyDescent="0.25">
      <c r="BU231" s="1678" t="s">
        <v>240</v>
      </c>
      <c r="BW231" s="1678" t="s">
        <v>241</v>
      </c>
      <c r="BY231" s="1678" t="s">
        <v>241</v>
      </c>
      <c r="CB231" s="1989" t="s">
        <v>8652</v>
      </c>
      <c r="CC231" s="1678" t="s">
        <v>8651</v>
      </c>
      <c r="CD231" s="1678"/>
      <c r="CE231" s="1989" t="s">
        <v>8650</v>
      </c>
      <c r="CF231" s="1661" t="s">
        <v>10047</v>
      </c>
      <c r="CG231" s="1661" t="s">
        <v>11047</v>
      </c>
      <c r="CL231" s="1699" t="s">
        <v>6553</v>
      </c>
      <c r="CM231" s="1699" t="s">
        <v>4298</v>
      </c>
      <c r="CN231" s="1699" t="s">
        <v>3829</v>
      </c>
      <c r="CO231" s="1690" t="s">
        <v>5066</v>
      </c>
      <c r="CP231" s="1699" t="s">
        <v>6305</v>
      </c>
      <c r="CW231" s="2252">
        <v>793</v>
      </c>
      <c r="CX231" s="2150" t="s">
        <v>67</v>
      </c>
    </row>
    <row r="232" spans="73:102" ht="15" x14ac:dyDescent="0.25">
      <c r="BU232" s="1678" t="s">
        <v>241</v>
      </c>
      <c r="BW232" s="1678" t="s">
        <v>7829</v>
      </c>
      <c r="BY232" s="1678" t="s">
        <v>7829</v>
      </c>
      <c r="CB232" s="1989" t="s">
        <v>8653</v>
      </c>
      <c r="CC232" s="1678" t="s">
        <v>8652</v>
      </c>
      <c r="CD232" s="1678"/>
      <c r="CE232" s="1989" t="s">
        <v>8651</v>
      </c>
      <c r="CF232" s="1661" t="s">
        <v>10048</v>
      </c>
      <c r="CG232" s="1661" t="s">
        <v>11048</v>
      </c>
      <c r="CL232" s="1699" t="s">
        <v>6552</v>
      </c>
      <c r="CM232" s="1699" t="s">
        <v>4299</v>
      </c>
      <c r="CN232" s="1699" t="s">
        <v>3828</v>
      </c>
      <c r="CO232" s="1690" t="s">
        <v>5067</v>
      </c>
      <c r="CP232" s="1699" t="s">
        <v>6304</v>
      </c>
      <c r="CW232" s="2252">
        <v>794</v>
      </c>
      <c r="CX232" s="2150" t="s">
        <v>67</v>
      </c>
    </row>
    <row r="233" spans="73:102" ht="15" x14ac:dyDescent="0.25">
      <c r="BU233" s="1678" t="s">
        <v>7829</v>
      </c>
      <c r="BW233" s="1678" t="s">
        <v>242</v>
      </c>
      <c r="BY233" s="1678" t="s">
        <v>242</v>
      </c>
      <c r="CB233" s="1989" t="s">
        <v>8654</v>
      </c>
      <c r="CC233" s="1678" t="s">
        <v>8653</v>
      </c>
      <c r="CD233" s="1678"/>
      <c r="CE233" s="1989" t="s">
        <v>8652</v>
      </c>
      <c r="CF233" s="1661" t="s">
        <v>10049</v>
      </c>
      <c r="CG233" s="1661" t="s">
        <v>11049</v>
      </c>
      <c r="CL233" s="1699" t="s">
        <v>6551</v>
      </c>
      <c r="CM233" s="1699" t="s">
        <v>4300</v>
      </c>
      <c r="CN233" s="1699" t="s">
        <v>3827</v>
      </c>
      <c r="CO233" s="1690" t="s">
        <v>5068</v>
      </c>
      <c r="CP233" s="1699" t="s">
        <v>6303</v>
      </c>
      <c r="CW233" s="2252">
        <v>796</v>
      </c>
      <c r="CX233" s="2150" t="s">
        <v>68</v>
      </c>
    </row>
    <row r="234" spans="73:102" ht="15" x14ac:dyDescent="0.25">
      <c r="BU234" s="1678" t="s">
        <v>242</v>
      </c>
      <c r="BW234" s="1678" t="s">
        <v>243</v>
      </c>
      <c r="BY234" s="1678" t="s">
        <v>243</v>
      </c>
      <c r="CB234" s="1989" t="s">
        <v>8825</v>
      </c>
      <c r="CC234" s="1678" t="s">
        <v>8654</v>
      </c>
      <c r="CD234" s="1678"/>
      <c r="CE234" s="1989" t="s">
        <v>8653</v>
      </c>
      <c r="CF234" s="1661" t="s">
        <v>10050</v>
      </c>
      <c r="CG234" s="1661" t="s">
        <v>11050</v>
      </c>
      <c r="CL234" s="1699" t="s">
        <v>6550</v>
      </c>
      <c r="CM234" s="1699" t="s">
        <v>4301</v>
      </c>
      <c r="CN234" s="1699" t="s">
        <v>3826</v>
      </c>
      <c r="CO234" s="1690" t="s">
        <v>5069</v>
      </c>
      <c r="CP234" s="1699" t="s">
        <v>6302</v>
      </c>
      <c r="CW234" s="2252">
        <v>797</v>
      </c>
      <c r="CX234" s="2150" t="s">
        <v>69</v>
      </c>
    </row>
    <row r="235" spans="73:102" ht="15" x14ac:dyDescent="0.25">
      <c r="BU235" s="1678" t="s">
        <v>243</v>
      </c>
      <c r="BW235" s="1678" t="s">
        <v>244</v>
      </c>
      <c r="BY235" s="1678" t="s">
        <v>244</v>
      </c>
      <c r="CB235" s="1989" t="s">
        <v>8655</v>
      </c>
      <c r="CC235" s="1678" t="s">
        <v>8825</v>
      </c>
      <c r="CD235" s="1678"/>
      <c r="CE235" s="1989" t="s">
        <v>8654</v>
      </c>
      <c r="CF235" s="1661" t="s">
        <v>10051</v>
      </c>
      <c r="CG235" s="1661" t="s">
        <v>11051</v>
      </c>
      <c r="CL235" s="1699" t="s">
        <v>6549</v>
      </c>
      <c r="CM235" s="1699" t="s">
        <v>4302</v>
      </c>
      <c r="CN235" s="1699" t="s">
        <v>3825</v>
      </c>
      <c r="CO235" s="1690" t="s">
        <v>5070</v>
      </c>
      <c r="CP235" s="1699" t="s">
        <v>6301</v>
      </c>
      <c r="CW235" s="2252">
        <v>798</v>
      </c>
      <c r="CX235" s="2150" t="s">
        <v>69</v>
      </c>
    </row>
    <row r="236" spans="73:102" ht="15" x14ac:dyDescent="0.25">
      <c r="BU236" s="1678" t="s">
        <v>244</v>
      </c>
      <c r="BW236" s="1678" t="s">
        <v>245</v>
      </c>
      <c r="BY236" s="1678" t="s">
        <v>245</v>
      </c>
      <c r="CB236" s="1989" t="s">
        <v>8656</v>
      </c>
      <c r="CC236" s="1678" t="s">
        <v>8655</v>
      </c>
      <c r="CD236" s="1678"/>
      <c r="CE236" s="1989" t="s">
        <v>8825</v>
      </c>
      <c r="CF236" s="1661" t="s">
        <v>10052</v>
      </c>
      <c r="CG236" s="1661" t="s">
        <v>11052</v>
      </c>
      <c r="CL236" s="1699" t="s">
        <v>6548</v>
      </c>
      <c r="CM236" s="1699" t="s">
        <v>4303</v>
      </c>
      <c r="CN236" s="1699" t="s">
        <v>3824</v>
      </c>
      <c r="CO236" s="1690" t="s">
        <v>5071</v>
      </c>
      <c r="CP236" s="1699" t="s">
        <v>6300</v>
      </c>
      <c r="CW236" s="2252">
        <v>759</v>
      </c>
      <c r="CX236" s="2150" t="s">
        <v>12750</v>
      </c>
    </row>
    <row r="237" spans="73:102" ht="15" x14ac:dyDescent="0.25">
      <c r="BU237" s="1678" t="s">
        <v>245</v>
      </c>
      <c r="BW237" s="1678" t="s">
        <v>246</v>
      </c>
      <c r="BY237" s="1678" t="s">
        <v>246</v>
      </c>
      <c r="CB237" s="1989" t="s">
        <v>8657</v>
      </c>
      <c r="CC237" s="1678" t="s">
        <v>8656</v>
      </c>
      <c r="CD237" s="1678"/>
      <c r="CE237" s="1989" t="s">
        <v>8655</v>
      </c>
      <c r="CF237" s="1661" t="s">
        <v>10053</v>
      </c>
      <c r="CG237" s="1661" t="s">
        <v>11053</v>
      </c>
      <c r="CL237" s="1699" t="s">
        <v>6547</v>
      </c>
      <c r="CM237" s="1699" t="s">
        <v>4304</v>
      </c>
      <c r="CN237" s="1699" t="s">
        <v>3823</v>
      </c>
      <c r="CO237" s="1690" t="s">
        <v>5072</v>
      </c>
      <c r="CP237" s="1699" t="s">
        <v>6299</v>
      </c>
      <c r="CW237" s="2252">
        <v>755</v>
      </c>
      <c r="CX237" s="2150" t="s">
        <v>12750</v>
      </c>
    </row>
    <row r="238" spans="73:102" ht="15" x14ac:dyDescent="0.25">
      <c r="BU238" s="1678" t="s">
        <v>246</v>
      </c>
      <c r="BW238" s="1678" t="s">
        <v>247</v>
      </c>
      <c r="BY238" s="1678" t="s">
        <v>247</v>
      </c>
      <c r="CB238" s="1989" t="s">
        <v>8658</v>
      </c>
      <c r="CC238" s="1678" t="s">
        <v>8657</v>
      </c>
      <c r="CD238" s="1678"/>
      <c r="CE238" s="1989" t="s">
        <v>8656</v>
      </c>
      <c r="CF238" s="1661" t="s">
        <v>10054</v>
      </c>
      <c r="CG238" s="1661" t="s">
        <v>11054</v>
      </c>
      <c r="CL238" s="1699" t="s">
        <v>6546</v>
      </c>
      <c r="CM238" s="1699" t="s">
        <v>4305</v>
      </c>
      <c r="CN238" s="1699" t="s">
        <v>3822</v>
      </c>
      <c r="CO238" s="1690" t="s">
        <v>5073</v>
      </c>
      <c r="CP238" s="1699" t="s">
        <v>6298</v>
      </c>
      <c r="CW238" s="2252">
        <v>754</v>
      </c>
      <c r="CX238" s="2150" t="s">
        <v>12750</v>
      </c>
    </row>
    <row r="239" spans="73:102" ht="15" x14ac:dyDescent="0.25">
      <c r="BU239" s="1678" t="s">
        <v>247</v>
      </c>
      <c r="BW239" s="1678" t="s">
        <v>7830</v>
      </c>
      <c r="BY239" s="1678" t="s">
        <v>7830</v>
      </c>
      <c r="CB239" s="1989" t="s">
        <v>8659</v>
      </c>
      <c r="CC239" s="1678" t="s">
        <v>8658</v>
      </c>
      <c r="CD239" s="1678"/>
      <c r="CE239" s="1989" t="s">
        <v>8657</v>
      </c>
      <c r="CF239" s="1661" t="s">
        <v>10055</v>
      </c>
      <c r="CG239" s="1661" t="s">
        <v>11055</v>
      </c>
      <c r="CL239" s="1699" t="s">
        <v>6545</v>
      </c>
      <c r="CM239" s="1699" t="s">
        <v>4306</v>
      </c>
      <c r="CN239" s="1699" t="s">
        <v>3821</v>
      </c>
      <c r="CO239" s="1690" t="s">
        <v>5074</v>
      </c>
      <c r="CP239" s="1699" t="s">
        <v>6297</v>
      </c>
      <c r="CW239" s="2252">
        <v>752</v>
      </c>
      <c r="CX239" s="2150" t="s">
        <v>12750</v>
      </c>
    </row>
    <row r="240" spans="73:102" ht="15" x14ac:dyDescent="0.25">
      <c r="BU240" s="1678" t="s">
        <v>7830</v>
      </c>
      <c r="BW240" s="1678" t="s">
        <v>248</v>
      </c>
      <c r="BY240" s="1678" t="s">
        <v>248</v>
      </c>
      <c r="CB240" s="1989" t="s">
        <v>8660</v>
      </c>
      <c r="CC240" s="1678" t="s">
        <v>8659</v>
      </c>
      <c r="CD240" s="1678"/>
      <c r="CE240" s="1989" t="s">
        <v>8658</v>
      </c>
      <c r="CF240" s="1661" t="s">
        <v>10056</v>
      </c>
      <c r="CG240" s="1661" t="s">
        <v>11056</v>
      </c>
      <c r="CL240" s="1699" t="s">
        <v>6544</v>
      </c>
      <c r="CM240" s="1699" t="s">
        <v>4307</v>
      </c>
      <c r="CN240" s="1699" t="s">
        <v>3820</v>
      </c>
      <c r="CO240" s="1690" t="s">
        <v>5075</v>
      </c>
      <c r="CP240" s="1699" t="s">
        <v>6609</v>
      </c>
      <c r="CW240" s="2252">
        <v>753</v>
      </c>
      <c r="CX240" s="2150" t="s">
        <v>12750</v>
      </c>
    </row>
    <row r="241" spans="73:102" ht="15" x14ac:dyDescent="0.25">
      <c r="BU241" s="1678" t="s">
        <v>248</v>
      </c>
      <c r="BW241" s="1678" t="s">
        <v>249</v>
      </c>
      <c r="BY241" s="1678" t="s">
        <v>249</v>
      </c>
      <c r="CB241" s="1989" t="s">
        <v>8661</v>
      </c>
      <c r="CC241" s="1678" t="s">
        <v>8660</v>
      </c>
      <c r="CD241" s="1678"/>
      <c r="CE241" s="1989" t="s">
        <v>8659</v>
      </c>
      <c r="CF241" s="1661" t="s">
        <v>10057</v>
      </c>
      <c r="CG241" s="1661" t="s">
        <v>11057</v>
      </c>
      <c r="CL241" s="1699" t="s">
        <v>6543</v>
      </c>
      <c r="CM241" s="1699" t="s">
        <v>4308</v>
      </c>
      <c r="CN241" s="1699" t="s">
        <v>3819</v>
      </c>
      <c r="CO241" s="1690" t="s">
        <v>5076</v>
      </c>
      <c r="CP241" s="1699" t="s">
        <v>6296</v>
      </c>
      <c r="CW241" s="2252">
        <v>768</v>
      </c>
      <c r="CX241" s="2150" t="s">
        <v>12750</v>
      </c>
    </row>
    <row r="242" spans="73:102" ht="15" x14ac:dyDescent="0.25">
      <c r="BU242" s="1678" t="s">
        <v>249</v>
      </c>
      <c r="BW242" s="1678" t="s">
        <v>250</v>
      </c>
      <c r="BY242" s="1678" t="s">
        <v>250</v>
      </c>
      <c r="CB242" s="1989" t="s">
        <v>8662</v>
      </c>
      <c r="CC242" s="1678" t="s">
        <v>8661</v>
      </c>
      <c r="CD242" s="1678"/>
      <c r="CE242" s="1989" t="s">
        <v>8660</v>
      </c>
      <c r="CF242" s="1661" t="s">
        <v>10058</v>
      </c>
      <c r="CG242" s="1661" t="s">
        <v>11058</v>
      </c>
      <c r="CL242" s="1699" t="s">
        <v>6542</v>
      </c>
      <c r="CM242" s="1699" t="s">
        <v>4309</v>
      </c>
      <c r="CN242" s="1699" t="s">
        <v>3818</v>
      </c>
      <c r="CO242" s="1690" t="s">
        <v>5079</v>
      </c>
      <c r="CP242" s="1699" t="s">
        <v>6295</v>
      </c>
      <c r="CW242" s="2252">
        <v>751</v>
      </c>
      <c r="CX242" s="2150" t="s">
        <v>12750</v>
      </c>
    </row>
    <row r="243" spans="73:102" ht="15" x14ac:dyDescent="0.25">
      <c r="BU243" s="1678" t="s">
        <v>250</v>
      </c>
      <c r="BW243" s="1678" t="s">
        <v>7831</v>
      </c>
      <c r="BY243" s="1678" t="s">
        <v>7831</v>
      </c>
      <c r="CB243" s="1989" t="s">
        <v>8826</v>
      </c>
      <c r="CC243" s="1678" t="s">
        <v>8662</v>
      </c>
      <c r="CD243" s="1678"/>
      <c r="CE243" s="1989" t="s">
        <v>8661</v>
      </c>
      <c r="CF243" s="1661" t="s">
        <v>10059</v>
      </c>
      <c r="CG243" s="1661" t="s">
        <v>11059</v>
      </c>
      <c r="CL243" s="1699" t="s">
        <v>6541</v>
      </c>
      <c r="CM243" s="1699" t="s">
        <v>4310</v>
      </c>
      <c r="CN243" s="1699" t="s">
        <v>3817</v>
      </c>
      <c r="CO243" s="1690" t="s">
        <v>5080</v>
      </c>
      <c r="CP243" s="1699" t="s">
        <v>6294</v>
      </c>
      <c r="CW243" s="2252">
        <v>767</v>
      </c>
      <c r="CX243" s="2150" t="s">
        <v>12750</v>
      </c>
    </row>
    <row r="244" spans="73:102" ht="15" x14ac:dyDescent="0.25">
      <c r="BU244" s="1678" t="s">
        <v>7831</v>
      </c>
      <c r="BW244" s="1678" t="s">
        <v>7832</v>
      </c>
      <c r="BY244" s="1678" t="s">
        <v>7832</v>
      </c>
      <c r="CB244" s="1989" t="s">
        <v>8663</v>
      </c>
      <c r="CC244" s="1678" t="s">
        <v>8826</v>
      </c>
      <c r="CD244" s="1678"/>
      <c r="CE244" s="1989" t="s">
        <v>8662</v>
      </c>
      <c r="CF244" s="1661" t="s">
        <v>10060</v>
      </c>
      <c r="CG244" s="1661" t="s">
        <v>11060</v>
      </c>
      <c r="CL244" s="1699" t="s">
        <v>6540</v>
      </c>
      <c r="CM244" s="1699" t="s">
        <v>4311</v>
      </c>
      <c r="CN244" s="1699" t="s">
        <v>3816</v>
      </c>
      <c r="CO244" s="1690" t="s">
        <v>5081</v>
      </c>
      <c r="CP244" s="1699" t="s">
        <v>6293</v>
      </c>
      <c r="CW244" s="2252">
        <v>756</v>
      </c>
      <c r="CX244" s="2150" t="s">
        <v>12750</v>
      </c>
    </row>
    <row r="245" spans="73:102" ht="15" x14ac:dyDescent="0.25">
      <c r="BU245" s="1678" t="s">
        <v>7832</v>
      </c>
      <c r="BW245" s="1678" t="s">
        <v>7833</v>
      </c>
      <c r="BY245" s="1678" t="s">
        <v>7833</v>
      </c>
      <c r="CB245" s="1989" t="s">
        <v>8827</v>
      </c>
      <c r="CC245" s="1678" t="s">
        <v>8663</v>
      </c>
      <c r="CD245" s="1678"/>
      <c r="CE245" s="1989" t="s">
        <v>8826</v>
      </c>
      <c r="CF245" s="1661" t="s">
        <v>10061</v>
      </c>
      <c r="CG245" s="1661" t="s">
        <v>11061</v>
      </c>
      <c r="CL245" s="1699" t="s">
        <v>6539</v>
      </c>
      <c r="CM245" s="1699" t="s">
        <v>4312</v>
      </c>
      <c r="CN245" s="1699" t="s">
        <v>3815</v>
      </c>
      <c r="CO245" s="1690" t="s">
        <v>5082</v>
      </c>
      <c r="CP245" s="1699" t="s">
        <v>6292</v>
      </c>
      <c r="CW245" s="2252">
        <v>758</v>
      </c>
      <c r="CX245" s="2150" t="s">
        <v>12750</v>
      </c>
    </row>
    <row r="246" spans="73:102" ht="15" x14ac:dyDescent="0.25">
      <c r="BU246" s="1678" t="s">
        <v>7833</v>
      </c>
      <c r="BW246" s="1678" t="s">
        <v>7834</v>
      </c>
      <c r="BY246" s="1678" t="s">
        <v>7834</v>
      </c>
      <c r="CB246" s="1989" t="s">
        <v>8664</v>
      </c>
      <c r="CC246" s="1678" t="s">
        <v>8827</v>
      </c>
      <c r="CD246" s="1678"/>
      <c r="CE246" s="1989" t="s">
        <v>8663</v>
      </c>
      <c r="CF246" s="1661" t="s">
        <v>10062</v>
      </c>
      <c r="CG246" s="1661" t="s">
        <v>11062</v>
      </c>
      <c r="CL246" s="1699" t="s">
        <v>6538</v>
      </c>
      <c r="CM246" s="1699" t="s">
        <v>4313</v>
      </c>
      <c r="CN246" s="1699" t="s">
        <v>3814</v>
      </c>
      <c r="CO246" s="1690" t="s">
        <v>5083</v>
      </c>
      <c r="CP246" s="1699" t="s">
        <v>6291</v>
      </c>
      <c r="CW246" s="2252">
        <v>762</v>
      </c>
      <c r="CX246" s="2150" t="s">
        <v>12750</v>
      </c>
    </row>
    <row r="247" spans="73:102" ht="15" x14ac:dyDescent="0.25">
      <c r="BU247" s="1678" t="s">
        <v>7834</v>
      </c>
      <c r="BW247" s="1678" t="s">
        <v>7835</v>
      </c>
      <c r="BY247" s="1678" t="s">
        <v>7835</v>
      </c>
      <c r="CB247" s="1989" t="s">
        <v>8665</v>
      </c>
      <c r="CC247" s="1678" t="s">
        <v>8664</v>
      </c>
      <c r="CD247" s="1678"/>
      <c r="CE247" s="1989" t="s">
        <v>8827</v>
      </c>
      <c r="CF247" s="1661" t="s">
        <v>10063</v>
      </c>
      <c r="CG247" s="1661" t="s">
        <v>11063</v>
      </c>
      <c r="CL247" s="1699" t="s">
        <v>2948</v>
      </c>
      <c r="CM247" s="1699" t="s">
        <v>4314</v>
      </c>
      <c r="CN247" s="1699" t="s">
        <v>3813</v>
      </c>
      <c r="CO247" s="1690" t="s">
        <v>5085</v>
      </c>
      <c r="CP247" s="1699" t="s">
        <v>6290</v>
      </c>
      <c r="CW247" s="2252">
        <v>757</v>
      </c>
      <c r="CX247" s="2150" t="s">
        <v>12750</v>
      </c>
    </row>
    <row r="248" spans="73:102" ht="15" x14ac:dyDescent="0.25">
      <c r="BU248" s="1678" t="s">
        <v>7835</v>
      </c>
      <c r="BW248" s="1678" t="s">
        <v>7836</v>
      </c>
      <c r="BY248" s="1678" t="s">
        <v>7836</v>
      </c>
      <c r="CB248" s="1989" t="s">
        <v>8828</v>
      </c>
      <c r="CC248" s="1678" t="s">
        <v>8665</v>
      </c>
      <c r="CD248" s="1678"/>
      <c r="CE248" s="1989" t="s">
        <v>8664</v>
      </c>
      <c r="CF248" s="1661" t="s">
        <v>10064</v>
      </c>
      <c r="CG248" s="1661" t="s">
        <v>11064</v>
      </c>
      <c r="CL248" s="1699" t="s">
        <v>2947</v>
      </c>
      <c r="CM248" s="1699" t="s">
        <v>4315</v>
      </c>
      <c r="CN248" s="1699" t="s">
        <v>3812</v>
      </c>
      <c r="CO248" s="1690" t="s">
        <v>5087</v>
      </c>
      <c r="CP248" s="1699" t="s">
        <v>6289</v>
      </c>
      <c r="CW248" s="2252">
        <v>766</v>
      </c>
      <c r="CX248" s="2150" t="s">
        <v>12750</v>
      </c>
    </row>
    <row r="249" spans="73:102" ht="15" x14ac:dyDescent="0.25">
      <c r="BU249" s="1678" t="s">
        <v>251</v>
      </c>
      <c r="BW249" s="1678" t="s">
        <v>252</v>
      </c>
      <c r="BY249" s="1678" t="s">
        <v>252</v>
      </c>
      <c r="CB249" s="1989" t="s">
        <v>8672</v>
      </c>
      <c r="CC249" s="1678" t="s">
        <v>8828</v>
      </c>
      <c r="CD249" s="1678"/>
      <c r="CE249" s="1989" t="s">
        <v>8665</v>
      </c>
      <c r="CF249" s="1661" t="s">
        <v>10065</v>
      </c>
      <c r="CG249" s="1661" t="s">
        <v>11065</v>
      </c>
      <c r="CL249" s="1699" t="s">
        <v>2946</v>
      </c>
      <c r="CM249" s="1699" t="s">
        <v>4316</v>
      </c>
      <c r="CN249" s="1699" t="s">
        <v>3811</v>
      </c>
      <c r="CO249" s="1690" t="s">
        <v>5089</v>
      </c>
      <c r="CP249" s="1699" t="s">
        <v>6288</v>
      </c>
      <c r="CW249" s="2252">
        <v>761</v>
      </c>
      <c r="CX249" s="2150" t="s">
        <v>12750</v>
      </c>
    </row>
    <row r="250" spans="73:102" ht="15" x14ac:dyDescent="0.25">
      <c r="BU250" s="1678" t="s">
        <v>253</v>
      </c>
      <c r="BW250" s="1678" t="s">
        <v>254</v>
      </c>
      <c r="BY250" s="1678" t="s">
        <v>254</v>
      </c>
      <c r="CB250" s="1989" t="s">
        <v>8674</v>
      </c>
      <c r="CC250" s="1678" t="s">
        <v>8666</v>
      </c>
      <c r="CD250" s="1678"/>
      <c r="CE250" s="1989" t="s">
        <v>8828</v>
      </c>
      <c r="CF250" s="1661" t="s">
        <v>10066</v>
      </c>
      <c r="CG250" s="1661" t="s">
        <v>11066</v>
      </c>
      <c r="CL250" s="1699" t="s">
        <v>2945</v>
      </c>
      <c r="CM250" s="1699" t="s">
        <v>4317</v>
      </c>
      <c r="CN250" s="1699" t="s">
        <v>3810</v>
      </c>
      <c r="CO250" s="1690" t="s">
        <v>5092</v>
      </c>
      <c r="CP250" s="1699" t="s">
        <v>6287</v>
      </c>
      <c r="CW250" s="2252">
        <v>760</v>
      </c>
      <c r="CX250" s="2150" t="s">
        <v>12750</v>
      </c>
    </row>
    <row r="251" spans="73:102" ht="15" x14ac:dyDescent="0.25">
      <c r="BU251" s="1678" t="s">
        <v>254</v>
      </c>
      <c r="BY251" s="1678" t="s">
        <v>9780</v>
      </c>
      <c r="CB251" s="1989" t="s">
        <v>8829</v>
      </c>
      <c r="CC251" s="1678" t="s">
        <v>8667</v>
      </c>
      <c r="CD251" s="1678"/>
      <c r="CE251" s="1989" t="s">
        <v>8666</v>
      </c>
      <c r="CF251" s="1661" t="s">
        <v>10067</v>
      </c>
      <c r="CG251" s="1661" t="s">
        <v>11067</v>
      </c>
      <c r="CL251" s="1699" t="s">
        <v>2944</v>
      </c>
      <c r="CM251" s="1699" t="s">
        <v>4318</v>
      </c>
      <c r="CN251" s="1699" t="s">
        <v>3809</v>
      </c>
      <c r="CO251" s="1690" t="s">
        <v>5093</v>
      </c>
      <c r="CP251" s="1699" t="s">
        <v>6286</v>
      </c>
      <c r="CW251" s="2252">
        <v>764</v>
      </c>
      <c r="CX251" s="2150" t="s">
        <v>12750</v>
      </c>
    </row>
    <row r="252" spans="73:102" ht="15" x14ac:dyDescent="0.25">
      <c r="CB252" s="1989" t="s">
        <v>8675</v>
      </c>
      <c r="CC252" s="1678" t="s">
        <v>8668</v>
      </c>
      <c r="CD252" s="1678"/>
      <c r="CE252" s="1989" t="s">
        <v>8667</v>
      </c>
      <c r="CF252" s="1661" t="s">
        <v>10068</v>
      </c>
      <c r="CG252" s="1661" t="s">
        <v>11068</v>
      </c>
      <c r="CL252" s="1699" t="s">
        <v>2943</v>
      </c>
      <c r="CM252" s="1699" t="s">
        <v>4319</v>
      </c>
      <c r="CN252" s="1699" t="s">
        <v>3808</v>
      </c>
      <c r="CO252" s="1690" t="s">
        <v>5095</v>
      </c>
      <c r="CP252" s="1699" t="s">
        <v>6285</v>
      </c>
      <c r="CW252" s="2252">
        <v>770</v>
      </c>
      <c r="CX252" s="2150" t="s">
        <v>12750</v>
      </c>
    </row>
    <row r="253" spans="73:102" ht="15" x14ac:dyDescent="0.25">
      <c r="CB253" s="1989" t="s">
        <v>8676</v>
      </c>
      <c r="CC253" s="1678" t="s">
        <v>8669</v>
      </c>
      <c r="CD253" s="1678"/>
      <c r="CE253" s="1989" t="s">
        <v>8668</v>
      </c>
      <c r="CF253" s="1661" t="s">
        <v>10069</v>
      </c>
      <c r="CG253" s="1661" t="s">
        <v>11069</v>
      </c>
      <c r="CL253" s="1699" t="s">
        <v>2942</v>
      </c>
      <c r="CM253" s="1699" t="s">
        <v>4320</v>
      </c>
      <c r="CN253" s="1699" t="s">
        <v>3807</v>
      </c>
      <c r="CO253" s="1690" t="s">
        <v>5097</v>
      </c>
      <c r="CP253" s="1699" t="s">
        <v>6284</v>
      </c>
      <c r="CW253" s="2252">
        <v>769</v>
      </c>
      <c r="CX253" s="2150" t="s">
        <v>12750</v>
      </c>
    </row>
    <row r="254" spans="73:102" ht="15" x14ac:dyDescent="0.25">
      <c r="CB254" s="1989" t="s">
        <v>8677</v>
      </c>
      <c r="CC254" s="1678" t="s">
        <v>8670</v>
      </c>
      <c r="CD254" s="1678"/>
      <c r="CE254" s="1989" t="s">
        <v>8669</v>
      </c>
      <c r="CF254" s="1661" t="s">
        <v>10070</v>
      </c>
      <c r="CG254" s="1661" t="s">
        <v>11070</v>
      </c>
      <c r="CL254" s="1699" t="s">
        <v>2941</v>
      </c>
      <c r="CM254" s="1699" t="s">
        <v>4321</v>
      </c>
      <c r="CN254" s="1699" t="s">
        <v>3806</v>
      </c>
      <c r="CO254" s="1690" t="s">
        <v>5098</v>
      </c>
      <c r="CP254" s="1699" t="s">
        <v>6283</v>
      </c>
      <c r="CW254" s="2252">
        <v>765</v>
      </c>
      <c r="CX254" s="2150" t="s">
        <v>12750</v>
      </c>
    </row>
    <row r="255" spans="73:102" ht="15" x14ac:dyDescent="0.25">
      <c r="CB255" s="1989" t="s">
        <v>8682</v>
      </c>
      <c r="CC255" s="1678" t="s">
        <v>8671</v>
      </c>
      <c r="CD255" s="1678"/>
      <c r="CE255" s="1989" t="s">
        <v>8670</v>
      </c>
      <c r="CF255" s="1661" t="s">
        <v>10071</v>
      </c>
      <c r="CG255" s="1661" t="s">
        <v>11071</v>
      </c>
      <c r="CL255" s="1699" t="s">
        <v>2940</v>
      </c>
      <c r="CM255" s="1699" t="s">
        <v>4322</v>
      </c>
      <c r="CN255" s="1699" t="s">
        <v>3805</v>
      </c>
      <c r="CO255" s="1690" t="s">
        <v>5099</v>
      </c>
      <c r="CP255" s="1699" t="s">
        <v>6282</v>
      </c>
      <c r="CW255" s="2252">
        <v>763</v>
      </c>
      <c r="CX255" s="2150" t="s">
        <v>12750</v>
      </c>
    </row>
    <row r="256" spans="73:102" ht="15" x14ac:dyDescent="0.25">
      <c r="CB256" s="1989" t="s">
        <v>8686</v>
      </c>
      <c r="CC256" s="1678" t="s">
        <v>8672</v>
      </c>
      <c r="CD256" s="1678"/>
      <c r="CE256" s="1989" t="s">
        <v>8671</v>
      </c>
      <c r="CF256" s="1661" t="s">
        <v>10072</v>
      </c>
      <c r="CG256" s="1661" t="s">
        <v>11072</v>
      </c>
      <c r="CL256" s="1699" t="s">
        <v>2939</v>
      </c>
      <c r="CM256" s="1699" t="s">
        <v>4323</v>
      </c>
      <c r="CN256" s="1699" t="s">
        <v>3804</v>
      </c>
      <c r="CO256" s="1690" t="s">
        <v>5100</v>
      </c>
      <c r="CP256" s="1699" t="s">
        <v>6281</v>
      </c>
      <c r="CW256" s="2252">
        <v>605</v>
      </c>
      <c r="CX256" s="2150" t="s">
        <v>12757</v>
      </c>
    </row>
    <row r="257" spans="80:102" ht="15" x14ac:dyDescent="0.25">
      <c r="CB257" s="1989" t="s">
        <v>8688</v>
      </c>
      <c r="CC257" s="1678" t="s">
        <v>8673</v>
      </c>
      <c r="CD257" s="1678"/>
      <c r="CE257" s="1989" t="s">
        <v>8672</v>
      </c>
      <c r="CF257" s="1661" t="s">
        <v>10073</v>
      </c>
      <c r="CG257" s="1661" t="s">
        <v>11073</v>
      </c>
      <c r="CL257" s="1699" t="s">
        <v>2938</v>
      </c>
      <c r="CM257" s="1699" t="s">
        <v>4324</v>
      </c>
      <c r="CN257" s="1699" t="s">
        <v>3803</v>
      </c>
      <c r="CO257" s="1690" t="s">
        <v>5101</v>
      </c>
      <c r="CP257" s="1699" t="s">
        <v>6280</v>
      </c>
      <c r="CW257" s="2252">
        <v>607</v>
      </c>
      <c r="CX257" s="2150" t="s">
        <v>12757</v>
      </c>
    </row>
    <row r="258" spans="80:102" ht="15" x14ac:dyDescent="0.25">
      <c r="CB258" s="1989" t="s">
        <v>8690</v>
      </c>
      <c r="CC258" s="1678" t="s">
        <v>8829</v>
      </c>
      <c r="CD258" s="1678"/>
      <c r="CE258" s="1989" t="s">
        <v>8673</v>
      </c>
      <c r="CF258" s="1661" t="s">
        <v>10074</v>
      </c>
      <c r="CG258" s="1661" t="s">
        <v>11074</v>
      </c>
      <c r="CL258" s="1699" t="s">
        <v>2937</v>
      </c>
      <c r="CM258" s="1699" t="s">
        <v>4325</v>
      </c>
      <c r="CN258" s="1699" t="s">
        <v>3802</v>
      </c>
      <c r="CO258" s="1690" t="s">
        <v>5103</v>
      </c>
      <c r="CP258" s="1699" t="s">
        <v>8201</v>
      </c>
      <c r="CW258" s="2252">
        <v>609</v>
      </c>
      <c r="CX258" s="2150" t="s">
        <v>12757</v>
      </c>
    </row>
    <row r="259" spans="80:102" ht="15" x14ac:dyDescent="0.25">
      <c r="CB259" s="1989" t="s">
        <v>8831</v>
      </c>
      <c r="CC259" s="1678" t="s">
        <v>8676</v>
      </c>
      <c r="CD259" s="1678"/>
      <c r="CE259" s="1989" t="s">
        <v>8674</v>
      </c>
      <c r="CF259" s="1661" t="s">
        <v>10075</v>
      </c>
      <c r="CG259" s="1661" t="s">
        <v>11075</v>
      </c>
      <c r="CL259" s="1699" t="s">
        <v>2936</v>
      </c>
      <c r="CM259" s="1699" t="s">
        <v>4326</v>
      </c>
      <c r="CN259" s="1699" t="s">
        <v>3801</v>
      </c>
      <c r="CO259" s="1690" t="s">
        <v>5104</v>
      </c>
      <c r="CP259" s="1699" t="s">
        <v>6279</v>
      </c>
      <c r="CW259" s="2252">
        <v>147</v>
      </c>
      <c r="CX259" s="2150" t="s">
        <v>70</v>
      </c>
    </row>
    <row r="260" spans="80:102" ht="15" x14ac:dyDescent="0.25">
      <c r="CB260" s="1989" t="s">
        <v>8832</v>
      </c>
      <c r="CC260" s="1678" t="s">
        <v>8677</v>
      </c>
      <c r="CD260" s="1678"/>
      <c r="CE260" s="1989" t="s">
        <v>8829</v>
      </c>
      <c r="CF260" s="1661" t="s">
        <v>10076</v>
      </c>
      <c r="CG260" s="1661" t="s">
        <v>11076</v>
      </c>
      <c r="CL260" s="1699" t="s">
        <v>2935</v>
      </c>
      <c r="CM260" s="1699" t="s">
        <v>4327</v>
      </c>
      <c r="CN260" s="1699" t="s">
        <v>3800</v>
      </c>
      <c r="CO260" s="1690" t="s">
        <v>5105</v>
      </c>
      <c r="CP260" s="1699" t="s">
        <v>6278</v>
      </c>
      <c r="CW260" s="2252">
        <v>140</v>
      </c>
      <c r="CX260" s="2150" t="s">
        <v>70</v>
      </c>
    </row>
    <row r="261" spans="80:102" ht="15" x14ac:dyDescent="0.25">
      <c r="CB261" s="1989" t="s">
        <v>8691</v>
      </c>
      <c r="CC261" s="1678" t="s">
        <v>8678</v>
      </c>
      <c r="CD261" s="1678"/>
      <c r="CE261" s="1989" t="s">
        <v>8675</v>
      </c>
      <c r="CF261" s="1661" t="s">
        <v>10077</v>
      </c>
      <c r="CG261" s="1661" t="s">
        <v>11077</v>
      </c>
      <c r="CL261" s="1699" t="s">
        <v>2934</v>
      </c>
      <c r="CM261" s="1699" t="s">
        <v>4328</v>
      </c>
      <c r="CN261" s="1699" t="s">
        <v>3799</v>
      </c>
      <c r="CO261" s="1690" t="s">
        <v>5106</v>
      </c>
      <c r="CP261" s="1699" t="s">
        <v>6277</v>
      </c>
      <c r="CW261" s="2252">
        <v>151</v>
      </c>
      <c r="CX261" s="2150" t="s">
        <v>70</v>
      </c>
    </row>
    <row r="262" spans="80:102" ht="15" x14ac:dyDescent="0.25">
      <c r="CB262" s="1989" t="s">
        <v>8833</v>
      </c>
      <c r="CC262" s="1678" t="s">
        <v>8830</v>
      </c>
      <c r="CD262" s="1678"/>
      <c r="CE262" s="1989" t="s">
        <v>8676</v>
      </c>
      <c r="CF262" s="1661" t="s">
        <v>10078</v>
      </c>
      <c r="CG262" s="1661" t="s">
        <v>11078</v>
      </c>
      <c r="CL262" s="1699" t="s">
        <v>2933</v>
      </c>
      <c r="CM262" s="1699" t="s">
        <v>4329</v>
      </c>
      <c r="CN262" s="1699" t="s">
        <v>3798</v>
      </c>
      <c r="CO262" s="1690" t="s">
        <v>5107</v>
      </c>
      <c r="CP262" s="1699" t="s">
        <v>6276</v>
      </c>
      <c r="CW262" s="2252">
        <v>142</v>
      </c>
      <c r="CX262" s="2150" t="s">
        <v>70</v>
      </c>
    </row>
    <row r="263" spans="80:102" ht="15" x14ac:dyDescent="0.25">
      <c r="CB263" s="1989" t="s">
        <v>8693</v>
      </c>
      <c r="CC263" s="1678" t="s">
        <v>8679</v>
      </c>
      <c r="CD263" s="1678"/>
      <c r="CE263" s="1989" t="s">
        <v>8677</v>
      </c>
      <c r="CF263" s="1661" t="s">
        <v>10079</v>
      </c>
      <c r="CG263" s="1661" t="s">
        <v>11079</v>
      </c>
      <c r="CL263" s="1699" t="s">
        <v>2932</v>
      </c>
      <c r="CM263" s="1699" t="s">
        <v>4330</v>
      </c>
      <c r="CN263" s="1699" t="s">
        <v>3797</v>
      </c>
      <c r="CO263" s="1690" t="s">
        <v>5108</v>
      </c>
      <c r="CP263" s="1699" t="s">
        <v>6275</v>
      </c>
      <c r="CW263" s="2252">
        <v>141</v>
      </c>
      <c r="CX263" s="2150" t="s">
        <v>70</v>
      </c>
    </row>
    <row r="264" spans="80:102" ht="15" x14ac:dyDescent="0.25">
      <c r="CB264" s="1989" t="s">
        <v>8834</v>
      </c>
      <c r="CC264" s="1678" t="s">
        <v>8680</v>
      </c>
      <c r="CD264" s="1678"/>
      <c r="CE264" s="1989" t="s">
        <v>8678</v>
      </c>
      <c r="CF264" s="1661" t="s">
        <v>10080</v>
      </c>
      <c r="CG264" s="1661" t="s">
        <v>11080</v>
      </c>
      <c r="CL264" s="1699" t="s">
        <v>2931</v>
      </c>
      <c r="CM264" s="1699" t="s">
        <v>4331</v>
      </c>
      <c r="CN264" s="1699" t="s">
        <v>3796</v>
      </c>
      <c r="CO264" s="1690" t="s">
        <v>5109</v>
      </c>
      <c r="CP264" s="1699" t="s">
        <v>6274</v>
      </c>
      <c r="CW264" s="2252">
        <v>144</v>
      </c>
      <c r="CX264" s="2150" t="s">
        <v>70</v>
      </c>
    </row>
    <row r="265" spans="80:102" ht="15" x14ac:dyDescent="0.25">
      <c r="CB265" s="1989" t="s">
        <v>8835</v>
      </c>
      <c r="CC265" s="1678" t="s">
        <v>8681</v>
      </c>
      <c r="CD265" s="1678"/>
      <c r="CE265" s="1989" t="s">
        <v>8830</v>
      </c>
      <c r="CF265" s="1661" t="s">
        <v>10081</v>
      </c>
      <c r="CG265" s="1661" t="s">
        <v>11081</v>
      </c>
      <c r="CL265" s="1699" t="s">
        <v>2930</v>
      </c>
      <c r="CM265" s="1699" t="s">
        <v>4332</v>
      </c>
      <c r="CN265" s="1699" t="s">
        <v>3795</v>
      </c>
      <c r="CO265" s="1690" t="s">
        <v>5110</v>
      </c>
      <c r="CP265" s="1699" t="s">
        <v>6273</v>
      </c>
      <c r="CW265" s="2252">
        <v>148</v>
      </c>
      <c r="CX265" s="2150" t="s">
        <v>70</v>
      </c>
    </row>
    <row r="266" spans="80:102" ht="15" x14ac:dyDescent="0.25">
      <c r="CB266" s="1989" t="s">
        <v>8694</v>
      </c>
      <c r="CC266" s="1678" t="s">
        <v>8682</v>
      </c>
      <c r="CD266" s="1678"/>
      <c r="CE266" s="1989" t="s">
        <v>8679</v>
      </c>
      <c r="CF266" s="1661" t="s">
        <v>10082</v>
      </c>
      <c r="CG266" s="1661" t="s">
        <v>11082</v>
      </c>
      <c r="CL266" s="1699" t="s">
        <v>2929</v>
      </c>
      <c r="CM266" s="1699" t="s">
        <v>4333</v>
      </c>
      <c r="CN266" s="1699" t="s">
        <v>3794</v>
      </c>
      <c r="CO266" s="1690" t="s">
        <v>5111</v>
      </c>
      <c r="CP266" s="1699" t="s">
        <v>6272</v>
      </c>
      <c r="CW266" s="2252">
        <v>143</v>
      </c>
      <c r="CX266" s="2150" t="s">
        <v>70</v>
      </c>
    </row>
    <row r="267" spans="80:102" ht="15" x14ac:dyDescent="0.25">
      <c r="CB267" s="1989" t="s">
        <v>8695</v>
      </c>
      <c r="CC267" s="1678" t="s">
        <v>8683</v>
      </c>
      <c r="CD267" s="1678"/>
      <c r="CE267" s="1989" t="s">
        <v>8680</v>
      </c>
      <c r="CF267" s="1661" t="s">
        <v>10083</v>
      </c>
      <c r="CG267" s="1661" t="s">
        <v>11083</v>
      </c>
      <c r="CL267" s="1699" t="s">
        <v>2928</v>
      </c>
      <c r="CM267" s="1699" t="s">
        <v>4334</v>
      </c>
      <c r="CN267" s="1699" t="s">
        <v>3793</v>
      </c>
      <c r="CO267" s="1690" t="s">
        <v>5112</v>
      </c>
      <c r="CP267" s="1699" t="s">
        <v>6271</v>
      </c>
      <c r="CW267" s="2252">
        <v>146</v>
      </c>
      <c r="CX267" s="2150" t="s">
        <v>70</v>
      </c>
    </row>
    <row r="268" spans="80:102" ht="15" x14ac:dyDescent="0.25">
      <c r="CB268" s="1989" t="s">
        <v>8696</v>
      </c>
      <c r="CC268" s="1678" t="s">
        <v>8684</v>
      </c>
      <c r="CD268" s="1678"/>
      <c r="CE268" s="1989" t="s">
        <v>8681</v>
      </c>
      <c r="CF268" s="1661" t="s">
        <v>10084</v>
      </c>
      <c r="CG268" s="1661" t="s">
        <v>11084</v>
      </c>
      <c r="CL268" s="1699" t="s">
        <v>2927</v>
      </c>
      <c r="CM268" s="1699" t="s">
        <v>4335</v>
      </c>
      <c r="CN268" s="1699" t="s">
        <v>3792</v>
      </c>
      <c r="CO268" s="1690" t="s">
        <v>5113</v>
      </c>
      <c r="CP268" s="1699" t="s">
        <v>6270</v>
      </c>
      <c r="CW268" s="2252">
        <v>152</v>
      </c>
      <c r="CX268" s="2150" t="s">
        <v>70</v>
      </c>
    </row>
    <row r="269" spans="80:102" ht="15" x14ac:dyDescent="0.25">
      <c r="CB269" s="1989" t="s">
        <v>8697</v>
      </c>
      <c r="CC269" s="1678" t="s">
        <v>8685</v>
      </c>
      <c r="CD269" s="1678"/>
      <c r="CE269" s="1989" t="s">
        <v>8682</v>
      </c>
      <c r="CF269" s="1661" t="s">
        <v>10085</v>
      </c>
      <c r="CG269" s="1661" t="s">
        <v>11085</v>
      </c>
      <c r="CL269" s="1699" t="s">
        <v>2926</v>
      </c>
      <c r="CM269" s="1699" t="s">
        <v>4336</v>
      </c>
      <c r="CN269" s="1699" t="s">
        <v>3791</v>
      </c>
      <c r="CO269" s="1690" t="s">
        <v>5114</v>
      </c>
      <c r="CP269" s="1699" t="s">
        <v>6269</v>
      </c>
      <c r="CW269" s="2252">
        <v>145</v>
      </c>
      <c r="CX269" s="2150" t="s">
        <v>70</v>
      </c>
    </row>
    <row r="270" spans="80:102" ht="15" x14ac:dyDescent="0.25">
      <c r="CB270" s="1989" t="s">
        <v>8703</v>
      </c>
      <c r="CC270" s="1678" t="s">
        <v>8686</v>
      </c>
      <c r="CD270" s="1678"/>
      <c r="CE270" s="1989" t="s">
        <v>8683</v>
      </c>
      <c r="CF270" s="1661" t="s">
        <v>10086</v>
      </c>
      <c r="CG270" s="1661" t="s">
        <v>11086</v>
      </c>
      <c r="CL270" s="1699" t="s">
        <v>2925</v>
      </c>
      <c r="CM270" s="1699" t="s">
        <v>4337</v>
      </c>
      <c r="CN270" s="1699" t="s">
        <v>3790</v>
      </c>
      <c r="CO270" s="1690" t="s">
        <v>5115</v>
      </c>
      <c r="CP270" s="1699" t="s">
        <v>6268</v>
      </c>
      <c r="CW270" s="2252">
        <v>342</v>
      </c>
      <c r="CX270" s="2150" t="s">
        <v>71</v>
      </c>
    </row>
    <row r="271" spans="80:102" ht="15" x14ac:dyDescent="0.25">
      <c r="CB271" s="1989" t="s">
        <v>8704</v>
      </c>
      <c r="CC271" s="1678" t="s">
        <v>8687</v>
      </c>
      <c r="CD271" s="1678"/>
      <c r="CE271" s="1989" t="s">
        <v>8684</v>
      </c>
      <c r="CF271" s="1661" t="s">
        <v>10087</v>
      </c>
      <c r="CG271" s="1661" t="s">
        <v>11087</v>
      </c>
      <c r="CL271" s="1699" t="s">
        <v>2924</v>
      </c>
      <c r="CM271" s="1699" t="s">
        <v>4338</v>
      </c>
      <c r="CN271" s="1699" t="s">
        <v>3789</v>
      </c>
      <c r="CO271" s="1690" t="s">
        <v>5116</v>
      </c>
      <c r="CP271" s="1699" t="s">
        <v>6267</v>
      </c>
      <c r="CW271" s="2252">
        <v>343</v>
      </c>
      <c r="CX271" s="2149" t="s">
        <v>71</v>
      </c>
    </row>
    <row r="272" spans="80:102" ht="15" x14ac:dyDescent="0.25">
      <c r="CB272" s="1989" t="s">
        <v>8705</v>
      </c>
      <c r="CC272" s="1678" t="s">
        <v>8688</v>
      </c>
      <c r="CD272" s="1678"/>
      <c r="CE272" s="1989" t="s">
        <v>8685</v>
      </c>
      <c r="CF272" s="1661" t="s">
        <v>10088</v>
      </c>
      <c r="CG272" s="1661" t="s">
        <v>11088</v>
      </c>
      <c r="CL272" s="1699" t="s">
        <v>2923</v>
      </c>
      <c r="CM272" s="1699" t="s">
        <v>4339</v>
      </c>
      <c r="CN272" s="1699" t="s">
        <v>3788</v>
      </c>
      <c r="CO272" s="1690" t="s">
        <v>5117</v>
      </c>
      <c r="CP272" s="1699" t="s">
        <v>6266</v>
      </c>
      <c r="CW272" s="2252">
        <v>335</v>
      </c>
      <c r="CX272" s="2150" t="s">
        <v>71</v>
      </c>
    </row>
    <row r="273" spans="80:102" ht="15" x14ac:dyDescent="0.25">
      <c r="CB273" s="1989" t="s">
        <v>8836</v>
      </c>
      <c r="CC273" s="1678" t="s">
        <v>8689</v>
      </c>
      <c r="CD273" s="1678"/>
      <c r="CE273" s="1989" t="s">
        <v>8686</v>
      </c>
      <c r="CF273" s="1661" t="s">
        <v>10089</v>
      </c>
      <c r="CG273" s="1661" t="s">
        <v>11089</v>
      </c>
      <c r="CL273" s="1699" t="s">
        <v>2922</v>
      </c>
      <c r="CM273" s="1699" t="s">
        <v>4340</v>
      </c>
      <c r="CN273" s="1699" t="s">
        <v>3787</v>
      </c>
      <c r="CO273" s="1690" t="s">
        <v>5118</v>
      </c>
      <c r="CP273" s="1699" t="s">
        <v>6265</v>
      </c>
      <c r="CW273" s="2252">
        <v>305</v>
      </c>
      <c r="CX273" s="2150" t="s">
        <v>71</v>
      </c>
    </row>
    <row r="274" spans="80:102" ht="15" x14ac:dyDescent="0.25">
      <c r="CB274" s="1989" t="s">
        <v>8838</v>
      </c>
      <c r="CC274" s="1678" t="s">
        <v>8690</v>
      </c>
      <c r="CD274" s="1678"/>
      <c r="CE274" s="1989" t="s">
        <v>8687</v>
      </c>
      <c r="CF274" s="1661" t="s">
        <v>10090</v>
      </c>
      <c r="CG274" s="1661" t="s">
        <v>11090</v>
      </c>
      <c r="CL274" s="1699" t="s">
        <v>2921</v>
      </c>
      <c r="CM274" s="1699" t="s">
        <v>4341</v>
      </c>
      <c r="CN274" s="1699" t="s">
        <v>3786</v>
      </c>
      <c r="CO274" s="1690" t="s">
        <v>5119</v>
      </c>
      <c r="CP274" s="1699" t="s">
        <v>6264</v>
      </c>
      <c r="CW274" s="2252">
        <v>324</v>
      </c>
      <c r="CX274" s="2150" t="s">
        <v>71</v>
      </c>
    </row>
    <row r="275" spans="80:102" ht="15" x14ac:dyDescent="0.25">
      <c r="CB275" s="1989" t="s">
        <v>8839</v>
      </c>
      <c r="CC275" s="1678" t="s">
        <v>8831</v>
      </c>
      <c r="CD275" s="1678"/>
      <c r="CE275" s="1989" t="s">
        <v>8688</v>
      </c>
      <c r="CF275" s="1661" t="s">
        <v>10091</v>
      </c>
      <c r="CG275" s="1661" t="s">
        <v>11091</v>
      </c>
      <c r="CL275" s="1699" t="s">
        <v>2920</v>
      </c>
      <c r="CM275" s="1699" t="s">
        <v>4342</v>
      </c>
      <c r="CN275" s="1699" t="s">
        <v>3785</v>
      </c>
      <c r="CO275" s="1690" t="s">
        <v>5120</v>
      </c>
      <c r="CP275" s="1699" t="s">
        <v>6263</v>
      </c>
      <c r="CW275" s="2252">
        <v>325</v>
      </c>
      <c r="CX275" s="2150" t="s">
        <v>71</v>
      </c>
    </row>
    <row r="276" spans="80:102" ht="15" x14ac:dyDescent="0.25">
      <c r="CB276" s="1989" t="s">
        <v>8713</v>
      </c>
      <c r="CC276" s="1678" t="s">
        <v>8832</v>
      </c>
      <c r="CD276" s="1678"/>
      <c r="CE276" s="1989" t="s">
        <v>8689</v>
      </c>
      <c r="CF276" s="1661" t="s">
        <v>10092</v>
      </c>
      <c r="CG276" s="1661" t="s">
        <v>11092</v>
      </c>
      <c r="CL276" s="1699" t="s">
        <v>2919</v>
      </c>
      <c r="CM276" s="1699" t="s">
        <v>4343</v>
      </c>
      <c r="CN276" s="1699" t="s">
        <v>3784</v>
      </c>
      <c r="CO276" s="1690" t="s">
        <v>5121</v>
      </c>
      <c r="CP276" s="1699" t="s">
        <v>6787</v>
      </c>
      <c r="CW276" s="2252">
        <v>303</v>
      </c>
      <c r="CX276" s="2150" t="s">
        <v>71</v>
      </c>
    </row>
    <row r="277" spans="80:102" ht="15" x14ac:dyDescent="0.25">
      <c r="CB277" s="1989" t="s">
        <v>8714</v>
      </c>
      <c r="CC277" s="1678" t="s">
        <v>8691</v>
      </c>
      <c r="CD277" s="1678"/>
      <c r="CE277" s="1989" t="s">
        <v>8690</v>
      </c>
      <c r="CF277" s="1661" t="s">
        <v>10093</v>
      </c>
      <c r="CG277" s="1661" t="s">
        <v>11093</v>
      </c>
      <c r="CL277" s="1699" t="s">
        <v>2918</v>
      </c>
      <c r="CM277" s="1699" t="s">
        <v>4344</v>
      </c>
      <c r="CN277" s="1699" t="s">
        <v>3783</v>
      </c>
      <c r="CO277" s="1690" t="s">
        <v>5122</v>
      </c>
      <c r="CP277" s="1699" t="s">
        <v>6262</v>
      </c>
      <c r="CW277" s="2252">
        <v>331</v>
      </c>
      <c r="CX277" s="2150" t="s">
        <v>71</v>
      </c>
    </row>
    <row r="278" spans="80:102" ht="15" x14ac:dyDescent="0.25">
      <c r="CB278" s="1989" t="s">
        <v>8715</v>
      </c>
      <c r="CC278" s="1678" t="s">
        <v>8692</v>
      </c>
      <c r="CD278" s="1678"/>
      <c r="CE278" s="1989" t="s">
        <v>8831</v>
      </c>
      <c r="CF278" s="1661" t="s">
        <v>10094</v>
      </c>
      <c r="CG278" s="1661" t="s">
        <v>11094</v>
      </c>
      <c r="CL278" s="1699" t="s">
        <v>2917</v>
      </c>
      <c r="CM278" s="1699" t="s">
        <v>4345</v>
      </c>
      <c r="CN278" s="1699" t="s">
        <v>3782</v>
      </c>
      <c r="CO278" s="1690" t="s">
        <v>5123</v>
      </c>
      <c r="CP278" s="1699" t="s">
        <v>6261</v>
      </c>
      <c r="CW278" s="2252">
        <v>334</v>
      </c>
      <c r="CX278" s="2150" t="s">
        <v>71</v>
      </c>
    </row>
    <row r="279" spans="80:102" ht="15" x14ac:dyDescent="0.25">
      <c r="CB279" s="1989" t="s">
        <v>8716</v>
      </c>
      <c r="CC279" s="1678" t="s">
        <v>8833</v>
      </c>
      <c r="CD279" s="1678"/>
      <c r="CE279" s="1989" t="s">
        <v>8832</v>
      </c>
      <c r="CF279" s="1661" t="s">
        <v>10095</v>
      </c>
      <c r="CG279" s="1661" t="s">
        <v>11095</v>
      </c>
      <c r="CL279" s="1699" t="s">
        <v>2916</v>
      </c>
      <c r="CM279" s="1699" t="s">
        <v>4346</v>
      </c>
      <c r="CN279" s="1699" t="s">
        <v>3781</v>
      </c>
      <c r="CO279" s="1690" t="s">
        <v>5124</v>
      </c>
      <c r="CP279" s="1699" t="s">
        <v>6260</v>
      </c>
      <c r="CW279" s="2252">
        <v>345</v>
      </c>
      <c r="CX279" s="2150" t="s">
        <v>71</v>
      </c>
    </row>
    <row r="280" spans="80:102" ht="15" x14ac:dyDescent="0.25">
      <c r="CB280" s="1989" t="s">
        <v>8717</v>
      </c>
      <c r="CC280" s="1678" t="s">
        <v>8693</v>
      </c>
      <c r="CD280" s="1678"/>
      <c r="CE280" s="1989" t="s">
        <v>8691</v>
      </c>
      <c r="CF280" s="1661" t="s">
        <v>10096</v>
      </c>
      <c r="CG280" s="1661" t="s">
        <v>11096</v>
      </c>
      <c r="CL280" s="1699" t="s">
        <v>2915</v>
      </c>
      <c r="CM280" s="1699" t="s">
        <v>4347</v>
      </c>
      <c r="CN280" s="1699" t="s">
        <v>3780</v>
      </c>
      <c r="CO280" s="1690" t="s">
        <v>5125</v>
      </c>
      <c r="CP280" s="1699" t="s">
        <v>6259</v>
      </c>
      <c r="CW280" s="2252">
        <v>313</v>
      </c>
      <c r="CX280" s="2150" t="s">
        <v>71</v>
      </c>
    </row>
    <row r="281" spans="80:102" ht="15" x14ac:dyDescent="0.25">
      <c r="CB281" s="1989" t="s">
        <v>8718</v>
      </c>
      <c r="CC281" s="1678" t="s">
        <v>8834</v>
      </c>
      <c r="CD281" s="1678"/>
      <c r="CE281" s="1989" t="s">
        <v>8692</v>
      </c>
      <c r="CF281" s="1661" t="s">
        <v>10097</v>
      </c>
      <c r="CG281" s="1661" t="s">
        <v>11097</v>
      </c>
      <c r="CL281" s="1699" t="s">
        <v>2914</v>
      </c>
      <c r="CM281" s="1699" t="s">
        <v>4348</v>
      </c>
      <c r="CN281" s="1699" t="s">
        <v>3779</v>
      </c>
      <c r="CO281" s="1690" t="s">
        <v>5126</v>
      </c>
      <c r="CP281" s="1699" t="s">
        <v>6258</v>
      </c>
      <c r="CW281" s="2252">
        <v>301</v>
      </c>
      <c r="CX281" s="2150" t="s">
        <v>71</v>
      </c>
    </row>
    <row r="282" spans="80:102" ht="15" x14ac:dyDescent="0.25">
      <c r="CB282" s="1989" t="s">
        <v>8719</v>
      </c>
      <c r="CC282" s="1678" t="s">
        <v>8835</v>
      </c>
      <c r="CD282" s="1678"/>
      <c r="CE282" s="1989" t="s">
        <v>12722</v>
      </c>
      <c r="CF282" s="1661" t="s">
        <v>10098</v>
      </c>
      <c r="CG282" s="1661" t="s">
        <v>11098</v>
      </c>
      <c r="CL282" s="1699" t="s">
        <v>2913</v>
      </c>
      <c r="CM282" s="1699" t="s">
        <v>4349</v>
      </c>
      <c r="CN282" s="1699" t="s">
        <v>3778</v>
      </c>
      <c r="CO282" s="1690" t="s">
        <v>5127</v>
      </c>
      <c r="CP282" s="1699" t="s">
        <v>6257</v>
      </c>
      <c r="CW282" s="2252">
        <v>321</v>
      </c>
      <c r="CX282" s="2150" t="s">
        <v>71</v>
      </c>
    </row>
    <row r="283" spans="80:102" ht="25.5" x14ac:dyDescent="0.25">
      <c r="CB283" s="1989" t="s">
        <v>8720</v>
      </c>
      <c r="CC283" s="1678" t="s">
        <v>8694</v>
      </c>
      <c r="CD283" s="1678"/>
      <c r="CE283" s="1989" t="s">
        <v>12717</v>
      </c>
      <c r="CF283" s="1661" t="s">
        <v>10099</v>
      </c>
      <c r="CG283" s="1661" t="s">
        <v>11099</v>
      </c>
      <c r="CL283" s="1699" t="s">
        <v>2912</v>
      </c>
      <c r="CM283" s="1699" t="s">
        <v>4350</v>
      </c>
      <c r="CN283" s="1699" t="s">
        <v>3777</v>
      </c>
      <c r="CO283" s="1690" t="s">
        <v>5128</v>
      </c>
      <c r="CP283" s="1699" t="s">
        <v>6256</v>
      </c>
      <c r="CW283" s="2252">
        <v>333</v>
      </c>
      <c r="CX283" s="2150" t="s">
        <v>71</v>
      </c>
    </row>
    <row r="284" spans="80:102" ht="25.5" x14ac:dyDescent="0.25">
      <c r="CB284" s="1989" t="s">
        <v>8721</v>
      </c>
      <c r="CC284" s="1678" t="s">
        <v>8695</v>
      </c>
      <c r="CD284" s="1678"/>
      <c r="CE284" s="1989" t="s">
        <v>8833</v>
      </c>
      <c r="CF284" s="1661" t="s">
        <v>10100</v>
      </c>
      <c r="CG284" s="1661" t="s">
        <v>11100</v>
      </c>
      <c r="CL284" s="1699" t="s">
        <v>2911</v>
      </c>
      <c r="CM284" s="1699" t="s">
        <v>4351</v>
      </c>
      <c r="CN284" s="1699" t="s">
        <v>3776</v>
      </c>
      <c r="CO284" s="1690" t="s">
        <v>5129</v>
      </c>
      <c r="CP284" s="1699" t="s">
        <v>6255</v>
      </c>
      <c r="CW284" s="2252">
        <v>326</v>
      </c>
      <c r="CX284" s="2150" t="s">
        <v>71</v>
      </c>
    </row>
    <row r="285" spans="80:102" ht="25.5" x14ac:dyDescent="0.25">
      <c r="CB285" s="1989" t="s">
        <v>8722</v>
      </c>
      <c r="CC285" s="1678" t="s">
        <v>8696</v>
      </c>
      <c r="CD285" s="1678"/>
      <c r="CE285" s="1989" t="s">
        <v>8693</v>
      </c>
      <c r="CF285" s="1661" t="s">
        <v>10101</v>
      </c>
      <c r="CG285" s="1661" t="s">
        <v>11101</v>
      </c>
      <c r="CL285" s="1699" t="s">
        <v>2910</v>
      </c>
      <c r="CM285" s="1699" t="s">
        <v>4352</v>
      </c>
      <c r="CN285" s="1699" t="s">
        <v>3775</v>
      </c>
      <c r="CO285" s="1690" t="s">
        <v>5130</v>
      </c>
      <c r="CP285" s="1699" t="s">
        <v>6254</v>
      </c>
      <c r="CW285" s="2252">
        <v>323</v>
      </c>
      <c r="CX285" s="2150" t="s">
        <v>71</v>
      </c>
    </row>
    <row r="286" spans="80:102" ht="25.5" x14ac:dyDescent="0.25">
      <c r="CB286" s="1989" t="s">
        <v>8723</v>
      </c>
      <c r="CC286" s="1678" t="s">
        <v>8697</v>
      </c>
      <c r="CD286" s="1678"/>
      <c r="CE286" s="1989" t="s">
        <v>8834</v>
      </c>
      <c r="CF286" s="1661" t="s">
        <v>10102</v>
      </c>
      <c r="CG286" s="1661" t="s">
        <v>11102</v>
      </c>
      <c r="CL286" s="1699" t="s">
        <v>2909</v>
      </c>
      <c r="CM286" s="1699" t="s">
        <v>4353</v>
      </c>
      <c r="CN286" s="1699" t="s">
        <v>3774</v>
      </c>
      <c r="CO286" s="1690" t="s">
        <v>5131</v>
      </c>
      <c r="CP286" s="1699" t="s">
        <v>6253</v>
      </c>
      <c r="CW286" s="2252">
        <v>314</v>
      </c>
      <c r="CX286" s="2150" t="s">
        <v>71</v>
      </c>
    </row>
    <row r="287" spans="80:102" ht="25.5" x14ac:dyDescent="0.25">
      <c r="CB287" s="1989" t="s">
        <v>8724</v>
      </c>
      <c r="CC287" s="1678" t="s">
        <v>8698</v>
      </c>
      <c r="CD287" s="1678"/>
      <c r="CE287" s="1989" t="s">
        <v>8835</v>
      </c>
      <c r="CF287" s="1661" t="s">
        <v>10103</v>
      </c>
      <c r="CG287" s="1661" t="s">
        <v>11103</v>
      </c>
      <c r="CL287" s="1699" t="s">
        <v>2908</v>
      </c>
      <c r="CM287" s="1699" t="s">
        <v>4354</v>
      </c>
      <c r="CN287" s="1699" t="s">
        <v>3773</v>
      </c>
      <c r="CO287" s="1690" t="s">
        <v>5132</v>
      </c>
      <c r="CP287" s="1699" t="s">
        <v>6252</v>
      </c>
      <c r="CW287" s="2252">
        <v>344</v>
      </c>
      <c r="CX287" s="2150" t="s">
        <v>71</v>
      </c>
    </row>
    <row r="288" spans="80:102" ht="15" x14ac:dyDescent="0.25">
      <c r="CB288" s="1989" t="s">
        <v>8725</v>
      </c>
      <c r="CC288" s="1678" t="s">
        <v>8699</v>
      </c>
      <c r="CD288" s="1678"/>
      <c r="CE288" s="1989" t="s">
        <v>8694</v>
      </c>
      <c r="CF288" s="1661" t="s">
        <v>10104</v>
      </c>
      <c r="CG288" s="1661" t="s">
        <v>11104</v>
      </c>
      <c r="CL288" s="1699" t="s">
        <v>2907</v>
      </c>
      <c r="CM288" s="1699" t="s">
        <v>4355</v>
      </c>
      <c r="CN288" s="1699" t="s">
        <v>3772</v>
      </c>
      <c r="CO288" s="1690" t="s">
        <v>5133</v>
      </c>
      <c r="CP288" s="1699" t="s">
        <v>6251</v>
      </c>
      <c r="CW288" s="2252">
        <v>328</v>
      </c>
      <c r="CX288" s="2150" t="s">
        <v>71</v>
      </c>
    </row>
    <row r="289" spans="80:102" ht="15" x14ac:dyDescent="0.25">
      <c r="CB289" s="1989" t="s">
        <v>8726</v>
      </c>
      <c r="CC289" s="1678" t="s">
        <v>8700</v>
      </c>
      <c r="CD289" s="1678"/>
      <c r="CE289" s="1989" t="s">
        <v>8695</v>
      </c>
      <c r="CF289" s="1661" t="s">
        <v>10105</v>
      </c>
      <c r="CG289" s="1661" t="s">
        <v>11105</v>
      </c>
      <c r="CL289" s="1699" t="s">
        <v>2906</v>
      </c>
      <c r="CM289" s="1699" t="s">
        <v>4356</v>
      </c>
      <c r="CN289" s="1699" t="s">
        <v>3771</v>
      </c>
      <c r="CO289" s="1690" t="s">
        <v>5134</v>
      </c>
      <c r="CP289" s="1699" t="s">
        <v>6250</v>
      </c>
      <c r="CW289" s="2252">
        <v>327</v>
      </c>
      <c r="CX289" s="2150" t="s">
        <v>71</v>
      </c>
    </row>
    <row r="290" spans="80:102" ht="15" x14ac:dyDescent="0.25">
      <c r="CB290" s="1989" t="s">
        <v>8727</v>
      </c>
      <c r="CC290" s="1678" t="s">
        <v>8701</v>
      </c>
      <c r="CD290" s="1678"/>
      <c r="CE290" s="1989" t="s">
        <v>8696</v>
      </c>
      <c r="CF290" s="1661" t="s">
        <v>10106</v>
      </c>
      <c r="CG290" s="1661" t="s">
        <v>11106</v>
      </c>
      <c r="CL290" s="1699" t="s">
        <v>2905</v>
      </c>
      <c r="CM290" s="1699" t="s">
        <v>4357</v>
      </c>
      <c r="CN290" s="1699" t="s">
        <v>3770</v>
      </c>
      <c r="CO290" s="1690" t="s">
        <v>5135</v>
      </c>
      <c r="CP290" s="1699" t="s">
        <v>6249</v>
      </c>
      <c r="CW290" s="2252">
        <v>307</v>
      </c>
      <c r="CX290" s="2150" t="s">
        <v>71</v>
      </c>
    </row>
    <row r="291" spans="80:102" ht="15" x14ac:dyDescent="0.25">
      <c r="CB291" s="1989" t="s">
        <v>8728</v>
      </c>
      <c r="CC291" s="1678" t="s">
        <v>8702</v>
      </c>
      <c r="CD291" s="1678"/>
      <c r="CE291" s="1989" t="s">
        <v>8697</v>
      </c>
      <c r="CF291" s="1661" t="s">
        <v>10107</v>
      </c>
      <c r="CG291" s="1661" t="s">
        <v>11107</v>
      </c>
      <c r="CL291" s="1699" t="s">
        <v>2904</v>
      </c>
      <c r="CM291" s="1699" t="s">
        <v>4358</v>
      </c>
      <c r="CN291" s="1699" t="s">
        <v>3769</v>
      </c>
      <c r="CO291" s="1690" t="s">
        <v>5136</v>
      </c>
      <c r="CP291" s="1699" t="s">
        <v>6248</v>
      </c>
      <c r="CW291" s="2252">
        <v>341</v>
      </c>
      <c r="CX291" s="2150" t="s">
        <v>71</v>
      </c>
    </row>
    <row r="292" spans="80:102" ht="15" x14ac:dyDescent="0.25">
      <c r="CB292" s="1989" t="s">
        <v>8731</v>
      </c>
      <c r="CC292" s="1678" t="s">
        <v>8703</v>
      </c>
      <c r="CD292" s="1678"/>
      <c r="CE292" s="1989" t="s">
        <v>8698</v>
      </c>
      <c r="CF292" s="1661" t="s">
        <v>10108</v>
      </c>
      <c r="CG292" s="1661" t="s">
        <v>11108</v>
      </c>
      <c r="CL292" s="1699" t="s">
        <v>2903</v>
      </c>
      <c r="CM292" s="1699" t="s">
        <v>4359</v>
      </c>
      <c r="CN292" s="1699" t="s">
        <v>3768</v>
      </c>
      <c r="CO292" s="1690" t="s">
        <v>5137</v>
      </c>
      <c r="CP292" s="1699" t="s">
        <v>6247</v>
      </c>
      <c r="CW292" s="2252">
        <v>332</v>
      </c>
      <c r="CX292" s="2150" t="s">
        <v>71</v>
      </c>
    </row>
    <row r="293" spans="80:102" ht="15" x14ac:dyDescent="0.25">
      <c r="CB293" s="1989" t="s">
        <v>8732</v>
      </c>
      <c r="CC293" s="1678" t="s">
        <v>8704</v>
      </c>
      <c r="CD293" s="1678"/>
      <c r="CE293" s="1989" t="s">
        <v>12718</v>
      </c>
      <c r="CF293" s="1661" t="s">
        <v>10109</v>
      </c>
      <c r="CG293" s="1661" t="s">
        <v>11109</v>
      </c>
      <c r="CL293" s="1699" t="s">
        <v>2902</v>
      </c>
      <c r="CM293" s="1699" t="s">
        <v>4360</v>
      </c>
      <c r="CN293" s="1699" t="s">
        <v>3767</v>
      </c>
      <c r="CO293" s="1690" t="s">
        <v>5138</v>
      </c>
      <c r="CP293" s="1699" t="s">
        <v>6246</v>
      </c>
      <c r="CW293" s="2252">
        <v>312</v>
      </c>
      <c r="CX293" s="2150" t="s">
        <v>71</v>
      </c>
    </row>
    <row r="294" spans="80:102" ht="15" x14ac:dyDescent="0.25">
      <c r="CB294" s="1989" t="s">
        <v>8733</v>
      </c>
      <c r="CC294" s="1678" t="s">
        <v>8705</v>
      </c>
      <c r="CD294" s="1678"/>
      <c r="CE294" s="1989" t="s">
        <v>8700</v>
      </c>
      <c r="CF294" s="1661" t="s">
        <v>10110</v>
      </c>
      <c r="CG294" s="1661" t="s">
        <v>11110</v>
      </c>
      <c r="CL294" s="1699" t="s">
        <v>2901</v>
      </c>
      <c r="CM294" s="1699" t="s">
        <v>4361</v>
      </c>
      <c r="CN294" s="1699" t="s">
        <v>3766</v>
      </c>
      <c r="CO294" s="1690" t="s">
        <v>5139</v>
      </c>
      <c r="CP294" s="1699" t="s">
        <v>6245</v>
      </c>
      <c r="CW294" s="2252">
        <v>322</v>
      </c>
      <c r="CX294" s="2150" t="s">
        <v>71</v>
      </c>
    </row>
    <row r="295" spans="80:102" ht="15" x14ac:dyDescent="0.25">
      <c r="CB295" s="1989" t="s">
        <v>8734</v>
      </c>
      <c r="CC295" s="1678" t="s">
        <v>8836</v>
      </c>
      <c r="CD295" s="1678"/>
      <c r="CE295" s="1989" t="s">
        <v>8701</v>
      </c>
      <c r="CF295" s="1661" t="s">
        <v>10111</v>
      </c>
      <c r="CG295" s="1661" t="s">
        <v>11111</v>
      </c>
      <c r="CL295" s="1699" t="s">
        <v>2900</v>
      </c>
      <c r="CM295" s="1699" t="s">
        <v>4362</v>
      </c>
      <c r="CN295" s="1699" t="s">
        <v>3765</v>
      </c>
      <c r="CO295" s="1690" t="s">
        <v>5140</v>
      </c>
      <c r="CP295" s="1699" t="s">
        <v>6244</v>
      </c>
      <c r="CW295" s="2252">
        <v>304</v>
      </c>
      <c r="CX295" s="2150" t="s">
        <v>71</v>
      </c>
    </row>
    <row r="296" spans="80:102" ht="15" x14ac:dyDescent="0.25">
      <c r="CB296" s="1989" t="s">
        <v>8735</v>
      </c>
      <c r="CC296" s="1678" t="s">
        <v>8706</v>
      </c>
      <c r="CD296" s="1678"/>
      <c r="CE296" s="1989" t="s">
        <v>8702</v>
      </c>
      <c r="CF296" s="1661" t="s">
        <v>10112</v>
      </c>
      <c r="CG296" s="1661" t="s">
        <v>11112</v>
      </c>
      <c r="CL296" s="1699" t="s">
        <v>2899</v>
      </c>
      <c r="CM296" s="1699" t="s">
        <v>4363</v>
      </c>
      <c r="CN296" s="1699" t="s">
        <v>3764</v>
      </c>
      <c r="CO296" s="1690" t="s">
        <v>5141</v>
      </c>
      <c r="CP296" s="1699" t="s">
        <v>6243</v>
      </c>
      <c r="CW296" s="2252">
        <v>311</v>
      </c>
      <c r="CX296" s="2150" t="s">
        <v>71</v>
      </c>
    </row>
    <row r="297" spans="80:102" ht="15" x14ac:dyDescent="0.25">
      <c r="CB297" s="1989" t="s">
        <v>8736</v>
      </c>
      <c r="CC297" s="1678" t="s">
        <v>8837</v>
      </c>
      <c r="CD297" s="1678"/>
      <c r="CE297" s="1989" t="s">
        <v>8703</v>
      </c>
      <c r="CF297" s="1661" t="s">
        <v>10113</v>
      </c>
      <c r="CG297" s="1661" t="s">
        <v>11113</v>
      </c>
      <c r="CL297" s="1699" t="s">
        <v>2898</v>
      </c>
      <c r="CM297" s="1699" t="s">
        <v>4364</v>
      </c>
      <c r="CN297" s="1699" t="s">
        <v>3763</v>
      </c>
      <c r="CO297" s="1690" t="s">
        <v>5142</v>
      </c>
      <c r="CP297" s="1699" t="s">
        <v>6242</v>
      </c>
      <c r="CW297" s="2252">
        <v>306</v>
      </c>
      <c r="CX297" s="2150" t="s">
        <v>71</v>
      </c>
    </row>
    <row r="298" spans="80:102" ht="15" x14ac:dyDescent="0.25">
      <c r="CB298" s="1989" t="s">
        <v>8737</v>
      </c>
      <c r="CC298" s="1678" t="s">
        <v>8707</v>
      </c>
      <c r="CD298" s="1678"/>
      <c r="CE298" s="1989" t="s">
        <v>8704</v>
      </c>
      <c r="CF298" s="1661" t="s">
        <v>10114</v>
      </c>
      <c r="CG298" s="1661" t="s">
        <v>11114</v>
      </c>
      <c r="CL298" s="1699" t="s">
        <v>2897</v>
      </c>
      <c r="CM298" s="1699" t="s">
        <v>4365</v>
      </c>
      <c r="CN298" s="1699" t="s">
        <v>3762</v>
      </c>
      <c r="CO298" s="1690" t="s">
        <v>5143</v>
      </c>
      <c r="CP298" s="1699" t="s">
        <v>6241</v>
      </c>
      <c r="CW298" s="2252">
        <v>302</v>
      </c>
      <c r="CX298" s="2150" t="s">
        <v>71</v>
      </c>
    </row>
    <row r="299" spans="80:102" ht="15" x14ac:dyDescent="0.25">
      <c r="CB299" s="1989" t="s">
        <v>8738</v>
      </c>
      <c r="CC299" s="1678" t="s">
        <v>8708</v>
      </c>
      <c r="CD299" s="1678"/>
      <c r="CE299" s="1989" t="s">
        <v>8705</v>
      </c>
      <c r="CF299" s="1661" t="s">
        <v>10115</v>
      </c>
      <c r="CG299" s="1661" t="s">
        <v>11115</v>
      </c>
      <c r="CL299" s="1699" t="s">
        <v>2896</v>
      </c>
      <c r="CM299" s="1699" t="s">
        <v>4366</v>
      </c>
      <c r="CN299" s="1699" t="s">
        <v>3761</v>
      </c>
      <c r="CO299" s="1690" t="s">
        <v>5144</v>
      </c>
      <c r="CP299" s="1699" t="s">
        <v>6240</v>
      </c>
      <c r="CW299" s="2252">
        <v>737</v>
      </c>
      <c r="CX299" s="2150" t="s">
        <v>72</v>
      </c>
    </row>
    <row r="300" spans="80:102" ht="15" x14ac:dyDescent="0.25">
      <c r="CB300" s="1989" t="s">
        <v>8739</v>
      </c>
      <c r="CC300" s="1678" t="s">
        <v>8709</v>
      </c>
      <c r="CD300" s="1678"/>
      <c r="CE300" s="1989" t="s">
        <v>8836</v>
      </c>
      <c r="CF300" s="1661" t="s">
        <v>10116</v>
      </c>
      <c r="CG300" s="1661" t="s">
        <v>11116</v>
      </c>
      <c r="CL300" s="1699" t="s">
        <v>2895</v>
      </c>
      <c r="CM300" s="1699" t="s">
        <v>4367</v>
      </c>
      <c r="CN300" s="1699" t="s">
        <v>3760</v>
      </c>
      <c r="CO300" s="1690" t="s">
        <v>5145</v>
      </c>
      <c r="CP300" s="1699" t="s">
        <v>6239</v>
      </c>
      <c r="CW300" s="2252">
        <v>638</v>
      </c>
      <c r="CX300" s="2150" t="s">
        <v>73</v>
      </c>
    </row>
    <row r="301" spans="80:102" ht="15" x14ac:dyDescent="0.25">
      <c r="CB301" s="1989" t="s">
        <v>8740</v>
      </c>
      <c r="CC301" s="1678" t="s">
        <v>8710</v>
      </c>
      <c r="CD301" s="1678"/>
      <c r="CE301" s="1989" t="s">
        <v>8706</v>
      </c>
      <c r="CF301" s="1661" t="s">
        <v>10117</v>
      </c>
      <c r="CG301" s="1661" t="s">
        <v>11117</v>
      </c>
      <c r="CL301" s="1699" t="s">
        <v>2894</v>
      </c>
      <c r="CM301" s="1699" t="s">
        <v>4368</v>
      </c>
      <c r="CN301" s="1699" t="s">
        <v>3759</v>
      </c>
      <c r="CO301" s="1690" t="s">
        <v>5146</v>
      </c>
      <c r="CP301" s="1699" t="s">
        <v>6238</v>
      </c>
      <c r="CW301" s="2252">
        <v>628</v>
      </c>
      <c r="CX301" s="2150" t="s">
        <v>73</v>
      </c>
    </row>
    <row r="302" spans="80:102" ht="15" x14ac:dyDescent="0.25">
      <c r="CB302" s="1989" t="s">
        <v>12719</v>
      </c>
      <c r="CC302" s="1678" t="s">
        <v>8711</v>
      </c>
      <c r="CD302" s="1678"/>
      <c r="CE302" s="1989" t="s">
        <v>8837</v>
      </c>
      <c r="CF302" s="1661" t="s">
        <v>10118</v>
      </c>
      <c r="CG302" s="1661" t="s">
        <v>11118</v>
      </c>
      <c r="CL302" s="1699" t="s">
        <v>2893</v>
      </c>
      <c r="CM302" s="1699" t="s">
        <v>4369</v>
      </c>
      <c r="CN302" s="1699" t="s">
        <v>3758</v>
      </c>
      <c r="CO302" s="1690" t="s">
        <v>5147</v>
      </c>
      <c r="CP302" s="1699" t="s">
        <v>6237</v>
      </c>
      <c r="CW302" s="2252">
        <v>641</v>
      </c>
      <c r="CX302" s="2150" t="s">
        <v>73</v>
      </c>
    </row>
    <row r="303" spans="80:102" ht="15" x14ac:dyDescent="0.25">
      <c r="CB303" s="1989" t="s">
        <v>8741</v>
      </c>
      <c r="CC303" s="1678" t="s">
        <v>8712</v>
      </c>
      <c r="CD303" s="1678"/>
      <c r="CE303" s="1989" t="s">
        <v>8707</v>
      </c>
      <c r="CF303" s="1661" t="s">
        <v>10119</v>
      </c>
      <c r="CG303" s="1661" t="s">
        <v>11119</v>
      </c>
      <c r="CL303" s="1699" t="s">
        <v>2892</v>
      </c>
      <c r="CM303" s="1699" t="s">
        <v>4370</v>
      </c>
      <c r="CN303" s="1699" t="s">
        <v>3757</v>
      </c>
      <c r="CO303" s="1690" t="s">
        <v>5148</v>
      </c>
      <c r="CP303" s="1699" t="s">
        <v>8200</v>
      </c>
      <c r="CW303" s="2252">
        <v>635</v>
      </c>
      <c r="CX303" s="2150" t="s">
        <v>73</v>
      </c>
    </row>
    <row r="304" spans="80:102" ht="15" x14ac:dyDescent="0.25">
      <c r="CB304" s="1989" t="s">
        <v>8841</v>
      </c>
      <c r="CC304" s="1678" t="s">
        <v>8838</v>
      </c>
      <c r="CD304" s="1678"/>
      <c r="CE304" s="1989" t="s">
        <v>8708</v>
      </c>
      <c r="CF304" s="1661" t="s">
        <v>10120</v>
      </c>
      <c r="CG304" s="1661" t="s">
        <v>11120</v>
      </c>
      <c r="CL304" s="1699" t="s">
        <v>2891</v>
      </c>
      <c r="CM304" s="1699" t="s">
        <v>4371</v>
      </c>
      <c r="CN304" s="1699" t="s">
        <v>3756</v>
      </c>
      <c r="CO304" s="1690" t="s">
        <v>5149</v>
      </c>
      <c r="CP304" s="1699" t="s">
        <v>6236</v>
      </c>
      <c r="CW304" s="2252">
        <v>627</v>
      </c>
      <c r="CX304" s="2150" t="s">
        <v>73</v>
      </c>
    </row>
    <row r="305" spans="80:102" ht="15" x14ac:dyDescent="0.25">
      <c r="CB305" s="1989" t="s">
        <v>8742</v>
      </c>
      <c r="CC305" s="1678" t="s">
        <v>8839</v>
      </c>
      <c r="CD305" s="1678"/>
      <c r="CE305" s="1989" t="s">
        <v>8709</v>
      </c>
      <c r="CF305" s="1661" t="s">
        <v>10121</v>
      </c>
      <c r="CG305" s="1661" t="s">
        <v>11121</v>
      </c>
      <c r="CL305" s="1699" t="s">
        <v>2890</v>
      </c>
      <c r="CM305" s="1699" t="s">
        <v>4372</v>
      </c>
      <c r="CN305" s="1699" t="s">
        <v>3755</v>
      </c>
      <c r="CO305" s="1690" t="s">
        <v>5150</v>
      </c>
      <c r="CP305" s="1699" t="s">
        <v>6235</v>
      </c>
      <c r="CW305" s="2252">
        <v>636</v>
      </c>
      <c r="CX305" s="2150" t="s">
        <v>73</v>
      </c>
    </row>
    <row r="306" spans="80:102" ht="15" x14ac:dyDescent="0.25">
      <c r="CB306" s="1989" t="s">
        <v>8743</v>
      </c>
      <c r="CC306" s="1678" t="s">
        <v>8713</v>
      </c>
      <c r="CD306" s="1678"/>
      <c r="CE306" s="1989" t="s">
        <v>8710</v>
      </c>
      <c r="CF306" s="1661" t="s">
        <v>10122</v>
      </c>
      <c r="CG306" s="1661" t="s">
        <v>11122</v>
      </c>
      <c r="CL306" s="1699" t="s">
        <v>2889</v>
      </c>
      <c r="CM306" s="1699" t="s">
        <v>4373</v>
      </c>
      <c r="CN306" s="1699" t="s">
        <v>3754</v>
      </c>
      <c r="CO306" s="1690" t="s">
        <v>5151</v>
      </c>
      <c r="CP306" s="1699" t="s">
        <v>6234</v>
      </c>
      <c r="CW306" s="2252">
        <v>631</v>
      </c>
      <c r="CX306" s="2150" t="s">
        <v>73</v>
      </c>
    </row>
    <row r="307" spans="80:102" ht="15" x14ac:dyDescent="0.25">
      <c r="CB307" s="1989" t="s">
        <v>8744</v>
      </c>
      <c r="CC307" s="1678" t="s">
        <v>8714</v>
      </c>
      <c r="CD307" s="1678"/>
      <c r="CE307" s="1989" t="s">
        <v>8711</v>
      </c>
      <c r="CF307" s="1661" t="s">
        <v>10123</v>
      </c>
      <c r="CG307" s="1661" t="s">
        <v>11123</v>
      </c>
      <c r="CL307" s="1699" t="s">
        <v>2888</v>
      </c>
      <c r="CM307" s="1699" t="s">
        <v>4374</v>
      </c>
      <c r="CN307" s="1699" t="s">
        <v>3753</v>
      </c>
      <c r="CO307" s="1690" t="s">
        <v>5152</v>
      </c>
      <c r="CP307" s="1699" t="s">
        <v>6233</v>
      </c>
      <c r="CW307" s="2252">
        <v>602</v>
      </c>
      <c r="CX307" s="2150" t="s">
        <v>73</v>
      </c>
    </row>
    <row r="308" spans="80:102" ht="15" x14ac:dyDescent="0.25">
      <c r="CB308" s="1989" t="s">
        <v>8745</v>
      </c>
      <c r="CC308" s="1678" t="s">
        <v>8715</v>
      </c>
      <c r="CD308" s="1678"/>
      <c r="CE308" s="1989" t="s">
        <v>9774</v>
      </c>
      <c r="CF308" s="1661" t="s">
        <v>10124</v>
      </c>
      <c r="CG308" s="1661" t="s">
        <v>11124</v>
      </c>
      <c r="CL308" s="1699" t="s">
        <v>2887</v>
      </c>
      <c r="CM308" s="1699" t="s">
        <v>4375</v>
      </c>
      <c r="CN308" s="1699" t="s">
        <v>3752</v>
      </c>
      <c r="CO308" s="1690" t="s">
        <v>5153</v>
      </c>
      <c r="CP308" s="1699" t="s">
        <v>6232</v>
      </c>
      <c r="CW308" s="2252">
        <v>630</v>
      </c>
      <c r="CX308" s="2150" t="s">
        <v>73</v>
      </c>
    </row>
    <row r="309" spans="80:102" ht="15" x14ac:dyDescent="0.25">
      <c r="CB309" s="1989" t="s">
        <v>8746</v>
      </c>
      <c r="CC309" s="1678" t="s">
        <v>8716</v>
      </c>
      <c r="CD309" s="1678"/>
      <c r="CE309" s="1989" t="s">
        <v>9775</v>
      </c>
      <c r="CF309" s="1661" t="s">
        <v>10125</v>
      </c>
      <c r="CG309" s="1661" t="s">
        <v>11125</v>
      </c>
      <c r="CL309" s="1699" t="s">
        <v>2886</v>
      </c>
      <c r="CM309" s="1699" t="s">
        <v>4376</v>
      </c>
      <c r="CN309" s="1699" t="s">
        <v>3751</v>
      </c>
      <c r="CO309" s="1690" t="s">
        <v>5170</v>
      </c>
      <c r="CP309" s="1699" t="s">
        <v>6231</v>
      </c>
      <c r="CW309" s="2252">
        <v>601</v>
      </c>
      <c r="CX309" s="2150" t="s">
        <v>73</v>
      </c>
    </row>
    <row r="310" spans="80:102" ht="15" x14ac:dyDescent="0.25">
      <c r="CB310" s="1989" t="s">
        <v>12720</v>
      </c>
      <c r="CC310" s="1678" t="s">
        <v>8717</v>
      </c>
      <c r="CD310" s="1678"/>
      <c r="CE310" s="1989" t="s">
        <v>9776</v>
      </c>
      <c r="CF310" s="1661" t="s">
        <v>10126</v>
      </c>
      <c r="CG310" s="1661" t="s">
        <v>11126</v>
      </c>
      <c r="CL310" s="1699" t="s">
        <v>2885</v>
      </c>
      <c r="CM310" s="1699" t="s">
        <v>4377</v>
      </c>
      <c r="CN310" s="1699" t="s">
        <v>3750</v>
      </c>
      <c r="CO310" s="1690" t="s">
        <v>5171</v>
      </c>
      <c r="CP310" s="1699" t="s">
        <v>8199</v>
      </c>
      <c r="CW310" s="2252">
        <v>604</v>
      </c>
      <c r="CX310" s="2150" t="s">
        <v>73</v>
      </c>
    </row>
    <row r="311" spans="80:102" ht="15" x14ac:dyDescent="0.25">
      <c r="CB311" s="1989" t="s">
        <v>8748</v>
      </c>
      <c r="CC311" s="1678" t="s">
        <v>8718</v>
      </c>
      <c r="CD311" s="1678"/>
      <c r="CE311" s="1989" t="s">
        <v>9777</v>
      </c>
      <c r="CF311" s="1661" t="s">
        <v>10127</v>
      </c>
      <c r="CG311" s="1661" t="s">
        <v>11127</v>
      </c>
      <c r="CL311" s="1699" t="s">
        <v>2884</v>
      </c>
      <c r="CM311" s="1699" t="s">
        <v>4378</v>
      </c>
      <c r="CN311" s="1699" t="s">
        <v>3749</v>
      </c>
      <c r="CO311" s="1690" t="s">
        <v>4060</v>
      </c>
      <c r="CP311" s="1699" t="s">
        <v>6230</v>
      </c>
      <c r="CW311" s="2252">
        <v>610</v>
      </c>
      <c r="CX311" s="2150" t="s">
        <v>73</v>
      </c>
    </row>
    <row r="312" spans="80:102" ht="15" x14ac:dyDescent="0.25">
      <c r="CB312" s="1989" t="s">
        <v>12721</v>
      </c>
      <c r="CC312" s="1678" t="s">
        <v>8719</v>
      </c>
      <c r="CD312" s="1678"/>
      <c r="CE312" s="1989" t="s">
        <v>8838</v>
      </c>
      <c r="CF312" s="1661" t="s">
        <v>10128</v>
      </c>
      <c r="CG312" s="1661" t="s">
        <v>11128</v>
      </c>
      <c r="CL312" s="1699" t="s">
        <v>2883</v>
      </c>
      <c r="CM312" s="1699" t="s">
        <v>4379</v>
      </c>
      <c r="CN312" s="1699" t="s">
        <v>3748</v>
      </c>
      <c r="CO312" s="1690" t="s">
        <v>5077</v>
      </c>
      <c r="CP312" s="1699" t="s">
        <v>6229</v>
      </c>
      <c r="CW312" s="2252">
        <v>606</v>
      </c>
      <c r="CX312" s="2150" t="s">
        <v>73</v>
      </c>
    </row>
    <row r="313" spans="80:102" ht="15" x14ac:dyDescent="0.25">
      <c r="CB313" s="1989" t="s">
        <v>8749</v>
      </c>
      <c r="CC313" s="1678" t="s">
        <v>8720</v>
      </c>
      <c r="CD313" s="1678"/>
      <c r="CE313" s="1989" t="s">
        <v>8839</v>
      </c>
      <c r="CF313" s="1661" t="s">
        <v>10129</v>
      </c>
      <c r="CG313" s="1661" t="s">
        <v>11129</v>
      </c>
      <c r="CL313" s="1699" t="s">
        <v>2882</v>
      </c>
      <c r="CM313" s="1699" t="s">
        <v>4380</v>
      </c>
      <c r="CN313" s="1699" t="s">
        <v>3747</v>
      </c>
      <c r="CO313" s="1690" t="s">
        <v>5078</v>
      </c>
      <c r="CP313" s="1699" t="s">
        <v>6228</v>
      </c>
      <c r="CW313" s="2252">
        <v>632</v>
      </c>
      <c r="CX313" s="2150" t="s">
        <v>73</v>
      </c>
    </row>
    <row r="314" spans="80:102" ht="15" x14ac:dyDescent="0.25">
      <c r="CB314" s="1989" t="s">
        <v>8750</v>
      </c>
      <c r="CC314" s="1678" t="s">
        <v>8721</v>
      </c>
      <c r="CD314" s="1678"/>
      <c r="CE314" s="1989" t="s">
        <v>8713</v>
      </c>
      <c r="CF314" s="1661" t="s">
        <v>10130</v>
      </c>
      <c r="CG314" s="1661" t="s">
        <v>11130</v>
      </c>
      <c r="CL314" s="1699" t="s">
        <v>2881</v>
      </c>
      <c r="CM314" s="1699" t="s">
        <v>4381</v>
      </c>
      <c r="CN314" s="1699" t="s">
        <v>3746</v>
      </c>
      <c r="CO314" s="1690" t="s">
        <v>5084</v>
      </c>
      <c r="CP314" s="1699" t="s">
        <v>6227</v>
      </c>
      <c r="CW314" s="2252">
        <v>624</v>
      </c>
      <c r="CX314" s="2150" t="s">
        <v>73</v>
      </c>
    </row>
    <row r="315" spans="80:102" ht="15" x14ac:dyDescent="0.25">
      <c r="CC315" s="1678" t="s">
        <v>8722</v>
      </c>
      <c r="CD315" s="1678"/>
      <c r="CE315" s="1989" t="s">
        <v>8714</v>
      </c>
      <c r="CF315" s="1661" t="s">
        <v>10131</v>
      </c>
      <c r="CG315" s="1661" t="s">
        <v>11131</v>
      </c>
      <c r="CL315" s="1699" t="s">
        <v>2880</v>
      </c>
      <c r="CM315" s="1699" t="s">
        <v>4382</v>
      </c>
      <c r="CN315" s="1699" t="s">
        <v>3745</v>
      </c>
      <c r="CO315" s="1690" t="s">
        <v>5086</v>
      </c>
      <c r="CP315" s="1699" t="s">
        <v>6226</v>
      </c>
      <c r="CW315" s="2252">
        <v>642</v>
      </c>
      <c r="CX315" s="2150" t="s">
        <v>73</v>
      </c>
    </row>
    <row r="316" spans="80:102" ht="15" x14ac:dyDescent="0.25">
      <c r="CC316" s="1678" t="s">
        <v>8723</v>
      </c>
      <c r="CD316" s="1678"/>
      <c r="CE316" s="1989" t="s">
        <v>8715</v>
      </c>
      <c r="CF316" s="1661" t="s">
        <v>10132</v>
      </c>
      <c r="CG316" s="1661" t="s">
        <v>11132</v>
      </c>
      <c r="CL316" s="1699" t="s">
        <v>2879</v>
      </c>
      <c r="CM316" s="1699" t="s">
        <v>4383</v>
      </c>
      <c r="CN316" s="1699" t="s">
        <v>3744</v>
      </c>
      <c r="CO316" s="1690" t="s">
        <v>5088</v>
      </c>
      <c r="CP316" s="1699" t="s">
        <v>6225</v>
      </c>
      <c r="CW316" s="2252">
        <v>637</v>
      </c>
      <c r="CX316" s="2150" t="s">
        <v>73</v>
      </c>
    </row>
    <row r="317" spans="80:102" ht="15" x14ac:dyDescent="0.25">
      <c r="CC317" s="1678" t="s">
        <v>8724</v>
      </c>
      <c r="CD317" s="1678"/>
      <c r="CE317" s="1989" t="s">
        <v>8716</v>
      </c>
      <c r="CF317" s="1661" t="s">
        <v>10133</v>
      </c>
      <c r="CG317" s="1661" t="s">
        <v>11133</v>
      </c>
      <c r="CL317" s="1699" t="s">
        <v>2878</v>
      </c>
      <c r="CM317" s="1699" t="s">
        <v>4384</v>
      </c>
      <c r="CN317" s="1699" t="s">
        <v>3743</v>
      </c>
      <c r="CO317" s="1690" t="s">
        <v>5090</v>
      </c>
      <c r="CP317" s="1699" t="s">
        <v>6224</v>
      </c>
      <c r="CW317" s="2252">
        <v>623</v>
      </c>
      <c r="CX317" s="2150" t="s">
        <v>73</v>
      </c>
    </row>
    <row r="318" spans="80:102" ht="15" x14ac:dyDescent="0.25">
      <c r="CC318" s="1678" t="s">
        <v>8725</v>
      </c>
      <c r="CD318" s="1678"/>
      <c r="CE318" s="1989" t="s">
        <v>8717</v>
      </c>
      <c r="CF318" s="1661" t="s">
        <v>10134</v>
      </c>
      <c r="CG318" s="1661" t="s">
        <v>11134</v>
      </c>
      <c r="CL318" s="1699" t="s">
        <v>2877</v>
      </c>
      <c r="CM318" s="1699" t="s">
        <v>4385</v>
      </c>
      <c r="CN318" s="1699" t="s">
        <v>3742</v>
      </c>
      <c r="CO318" s="1690" t="s">
        <v>5091</v>
      </c>
      <c r="CP318" s="1699" t="s">
        <v>6223</v>
      </c>
      <c r="CW318" s="2252">
        <v>614</v>
      </c>
      <c r="CX318" s="2150" t="s">
        <v>73</v>
      </c>
    </row>
    <row r="319" spans="80:102" ht="15" x14ac:dyDescent="0.25">
      <c r="CC319" s="1678" t="s">
        <v>8726</v>
      </c>
      <c r="CD319" s="1678"/>
      <c r="CE319" s="1989" t="s">
        <v>8718</v>
      </c>
      <c r="CF319" s="1661" t="s">
        <v>10135</v>
      </c>
      <c r="CG319" s="1661" t="s">
        <v>11135</v>
      </c>
      <c r="CL319" s="1699" t="s">
        <v>2876</v>
      </c>
      <c r="CM319" s="1699" t="s">
        <v>4386</v>
      </c>
      <c r="CN319" s="1699" t="s">
        <v>3741</v>
      </c>
      <c r="CO319" s="1690" t="s">
        <v>5094</v>
      </c>
      <c r="CP319" s="1699" t="s">
        <v>6222</v>
      </c>
      <c r="CW319" s="2252">
        <v>643</v>
      </c>
      <c r="CX319" s="2150" t="s">
        <v>73</v>
      </c>
    </row>
    <row r="320" spans="80:102" ht="15" x14ac:dyDescent="0.25">
      <c r="CC320" s="1678" t="s">
        <v>8727</v>
      </c>
      <c r="CD320" s="1678"/>
      <c r="CE320" s="1989" t="s">
        <v>8719</v>
      </c>
      <c r="CF320" s="1661" t="s">
        <v>10136</v>
      </c>
      <c r="CG320" s="1661" t="s">
        <v>11136</v>
      </c>
      <c r="CL320" s="1699" t="s">
        <v>2875</v>
      </c>
      <c r="CM320" s="1699" t="s">
        <v>4387</v>
      </c>
      <c r="CN320" s="1699" t="s">
        <v>3740</v>
      </c>
      <c r="CO320" s="1690" t="s">
        <v>5096</v>
      </c>
      <c r="CP320" s="1699" t="s">
        <v>6221</v>
      </c>
      <c r="CW320" s="2252">
        <v>613</v>
      </c>
      <c r="CX320" s="2150" t="s">
        <v>73</v>
      </c>
    </row>
    <row r="321" spans="81:102" ht="15" x14ac:dyDescent="0.25">
      <c r="CC321" s="1678" t="s">
        <v>8728</v>
      </c>
      <c r="CD321" s="1678"/>
      <c r="CE321" s="1989" t="s">
        <v>8720</v>
      </c>
      <c r="CF321" s="1661" t="s">
        <v>10137</v>
      </c>
      <c r="CG321" s="1661" t="s">
        <v>11137</v>
      </c>
      <c r="CL321" s="1699" t="s">
        <v>2874</v>
      </c>
      <c r="CM321" s="1699" t="s">
        <v>4388</v>
      </c>
      <c r="CN321" s="1699" t="s">
        <v>3739</v>
      </c>
      <c r="CO321" s="1690" t="s">
        <v>5102</v>
      </c>
      <c r="CP321" s="1699" t="s">
        <v>6220</v>
      </c>
      <c r="CW321" s="2252">
        <v>603</v>
      </c>
      <c r="CX321" s="2150" t="s">
        <v>73</v>
      </c>
    </row>
    <row r="322" spans="81:102" ht="15" x14ac:dyDescent="0.25">
      <c r="CC322" s="1678" t="s">
        <v>8729</v>
      </c>
      <c r="CD322" s="1678"/>
      <c r="CE322" s="1989" t="s">
        <v>8721</v>
      </c>
      <c r="CF322" s="1661" t="s">
        <v>10138</v>
      </c>
      <c r="CG322" s="1661" t="s">
        <v>11138</v>
      </c>
      <c r="CL322" s="1699" t="s">
        <v>2873</v>
      </c>
      <c r="CM322" s="1699" t="s">
        <v>4389</v>
      </c>
      <c r="CN322" s="1699" t="s">
        <v>3738</v>
      </c>
      <c r="CO322" s="1690" t="s">
        <v>5154</v>
      </c>
      <c r="CP322" s="1699" t="s">
        <v>6219</v>
      </c>
      <c r="CW322" s="2252">
        <v>621</v>
      </c>
      <c r="CX322" s="2150" t="s">
        <v>73</v>
      </c>
    </row>
    <row r="323" spans="81:102" ht="15" x14ac:dyDescent="0.25">
      <c r="CC323" s="1678" t="s">
        <v>8730</v>
      </c>
      <c r="CD323" s="1678"/>
      <c r="CE323" s="1989" t="s">
        <v>8722</v>
      </c>
      <c r="CF323" s="1661" t="s">
        <v>10139</v>
      </c>
      <c r="CG323" s="1661" t="s">
        <v>11139</v>
      </c>
      <c r="CL323" s="1699" t="s">
        <v>2872</v>
      </c>
      <c r="CM323" s="1699" t="s">
        <v>4390</v>
      </c>
      <c r="CN323" s="1699" t="s">
        <v>3737</v>
      </c>
      <c r="CO323" s="1690" t="s">
        <v>5155</v>
      </c>
      <c r="CP323" s="1699" t="s">
        <v>6218</v>
      </c>
      <c r="CW323" s="2252">
        <v>629</v>
      </c>
      <c r="CX323" s="2150" t="s">
        <v>73</v>
      </c>
    </row>
    <row r="324" spans="81:102" ht="15" x14ac:dyDescent="0.25">
      <c r="CC324" s="1678" t="s">
        <v>8840</v>
      </c>
      <c r="CD324" s="1678"/>
      <c r="CE324" s="1989" t="s">
        <v>8723</v>
      </c>
      <c r="CF324" s="1661" t="s">
        <v>10140</v>
      </c>
      <c r="CG324" s="1661" t="s">
        <v>11140</v>
      </c>
      <c r="CL324" s="1699" t="s">
        <v>2871</v>
      </c>
      <c r="CM324" s="1699" t="s">
        <v>4391</v>
      </c>
      <c r="CN324" s="1699" t="s">
        <v>3736</v>
      </c>
      <c r="CO324" s="1690" t="s">
        <v>5156</v>
      </c>
      <c r="CP324" s="1699" t="s">
        <v>6217</v>
      </c>
      <c r="CW324" s="2252">
        <v>639</v>
      </c>
      <c r="CX324" s="2150" t="s">
        <v>73</v>
      </c>
    </row>
    <row r="325" spans="81:102" ht="15" x14ac:dyDescent="0.25">
      <c r="CC325" s="1678" t="s">
        <v>8731</v>
      </c>
      <c r="CD325" s="1678"/>
      <c r="CE325" s="1989" t="s">
        <v>8724</v>
      </c>
      <c r="CF325" s="1661" t="s">
        <v>10141</v>
      </c>
      <c r="CG325" s="1661" t="s">
        <v>11141</v>
      </c>
      <c r="CL325" s="1699" t="s">
        <v>2870</v>
      </c>
      <c r="CM325" s="1699" t="s">
        <v>4392</v>
      </c>
      <c r="CN325" s="1699" t="s">
        <v>3735</v>
      </c>
      <c r="CO325" s="1690" t="s">
        <v>5157</v>
      </c>
      <c r="CP325" s="1699" t="s">
        <v>6216</v>
      </c>
      <c r="CW325" s="2252">
        <v>608</v>
      </c>
      <c r="CX325" s="2150" t="s">
        <v>73</v>
      </c>
    </row>
    <row r="326" spans="81:102" ht="15" x14ac:dyDescent="0.25">
      <c r="CC326" s="1678" t="s">
        <v>8732</v>
      </c>
      <c r="CD326" s="1678"/>
      <c r="CE326" s="1989" t="s">
        <v>8725</v>
      </c>
      <c r="CF326" s="1661" t="s">
        <v>10142</v>
      </c>
      <c r="CG326" s="1661" t="s">
        <v>11142</v>
      </c>
      <c r="CL326" s="1699" t="s">
        <v>2869</v>
      </c>
      <c r="CM326" s="1699" t="s">
        <v>4393</v>
      </c>
      <c r="CN326" s="1699" t="s">
        <v>3734</v>
      </c>
      <c r="CO326" s="1690" t="s">
        <v>5158</v>
      </c>
      <c r="CP326" s="1699" t="s">
        <v>6215</v>
      </c>
      <c r="CW326" s="2252">
        <v>611</v>
      </c>
      <c r="CX326" s="2150" t="s">
        <v>73</v>
      </c>
    </row>
    <row r="327" spans="81:102" ht="15" x14ac:dyDescent="0.25">
      <c r="CC327" s="1678" t="s">
        <v>8733</v>
      </c>
      <c r="CD327" s="1678"/>
      <c r="CE327" s="1989" t="s">
        <v>8726</v>
      </c>
      <c r="CF327" s="1661" t="s">
        <v>10143</v>
      </c>
      <c r="CG327" s="1661" t="s">
        <v>11143</v>
      </c>
      <c r="CL327" s="1699" t="s">
        <v>2868</v>
      </c>
      <c r="CM327" s="1699" t="s">
        <v>4394</v>
      </c>
      <c r="CN327" s="1699" t="s">
        <v>3733</v>
      </c>
      <c r="CO327" s="1690" t="s">
        <v>5159</v>
      </c>
      <c r="CP327" s="1699" t="s">
        <v>6214</v>
      </c>
      <c r="CW327" s="2252">
        <v>626</v>
      </c>
      <c r="CX327" s="2150" t="s">
        <v>73</v>
      </c>
    </row>
    <row r="328" spans="81:102" ht="15" x14ac:dyDescent="0.25">
      <c r="CC328" s="1678" t="s">
        <v>8734</v>
      </c>
      <c r="CD328" s="1678"/>
      <c r="CE328" s="1989" t="s">
        <v>8727</v>
      </c>
      <c r="CF328" s="1661" t="s">
        <v>10144</v>
      </c>
      <c r="CG328" s="1661" t="s">
        <v>11144</v>
      </c>
      <c r="CL328" s="1699" t="s">
        <v>2867</v>
      </c>
      <c r="CM328" s="1699" t="s">
        <v>4395</v>
      </c>
      <c r="CN328" s="1699" t="s">
        <v>3732</v>
      </c>
      <c r="CO328" s="1690" t="s">
        <v>5160</v>
      </c>
      <c r="CP328" s="1699" t="s">
        <v>6213</v>
      </c>
      <c r="CW328" s="2252">
        <v>612</v>
      </c>
      <c r="CX328" s="2150" t="s">
        <v>73</v>
      </c>
    </row>
    <row r="329" spans="81:102" ht="15" x14ac:dyDescent="0.25">
      <c r="CC329" s="1678" t="s">
        <v>8735</v>
      </c>
      <c r="CD329" s="1678"/>
      <c r="CE329" s="1989" t="s">
        <v>8728</v>
      </c>
      <c r="CF329" s="1661" t="s">
        <v>10145</v>
      </c>
      <c r="CG329" s="1661" t="s">
        <v>11145</v>
      </c>
      <c r="CL329" s="1699" t="s">
        <v>2866</v>
      </c>
      <c r="CM329" s="1699" t="s">
        <v>4396</v>
      </c>
      <c r="CN329" s="1699" t="s">
        <v>3731</v>
      </c>
      <c r="CO329" s="1690" t="s">
        <v>5161</v>
      </c>
      <c r="CP329" s="1699" t="s">
        <v>6212</v>
      </c>
      <c r="CW329" s="2252">
        <v>622</v>
      </c>
      <c r="CX329" s="2150" t="s">
        <v>73</v>
      </c>
    </row>
    <row r="330" spans="81:102" ht="15" x14ac:dyDescent="0.25">
      <c r="CC330" s="1678" t="s">
        <v>8736</v>
      </c>
      <c r="CD330" s="1678"/>
      <c r="CE330" s="1989" t="s">
        <v>8729</v>
      </c>
      <c r="CF330" s="1661" t="s">
        <v>10146</v>
      </c>
      <c r="CG330" s="1661" t="s">
        <v>11146</v>
      </c>
      <c r="CL330" s="1699" t="s">
        <v>2865</v>
      </c>
      <c r="CM330" s="1699" t="s">
        <v>4397</v>
      </c>
      <c r="CN330" s="1699" t="s">
        <v>3730</v>
      </c>
      <c r="CO330" s="1690" t="s">
        <v>5172</v>
      </c>
      <c r="CP330" s="1699" t="s">
        <v>6211</v>
      </c>
      <c r="CW330" s="2252">
        <v>625</v>
      </c>
      <c r="CX330" s="2150" t="s">
        <v>73</v>
      </c>
    </row>
    <row r="331" spans="81:102" ht="15" x14ac:dyDescent="0.25">
      <c r="CC331" s="1678" t="s">
        <v>8737</v>
      </c>
      <c r="CD331" s="1678"/>
      <c r="CE331" s="1989" t="s">
        <v>8730</v>
      </c>
      <c r="CF331" s="1661" t="s">
        <v>10147</v>
      </c>
      <c r="CG331" s="1661" t="s">
        <v>11147</v>
      </c>
      <c r="CL331" s="1699" t="s">
        <v>2864</v>
      </c>
      <c r="CM331" s="1699" t="s">
        <v>4398</v>
      </c>
      <c r="CN331" s="1699" t="s">
        <v>3729</v>
      </c>
      <c r="CO331" s="1690" t="s">
        <v>5162</v>
      </c>
      <c r="CP331" s="1699" t="s">
        <v>6210</v>
      </c>
      <c r="CW331" s="2252">
        <v>620</v>
      </c>
      <c r="CX331" s="2150" t="s">
        <v>73</v>
      </c>
    </row>
    <row r="332" spans="81:102" ht="15" x14ac:dyDescent="0.25">
      <c r="CC332" s="1678" t="s">
        <v>8738</v>
      </c>
      <c r="CD332" s="1678"/>
      <c r="CE332" s="1989" t="s">
        <v>8840</v>
      </c>
      <c r="CF332" s="1661" t="s">
        <v>10148</v>
      </c>
      <c r="CG332" s="1661" t="s">
        <v>11148</v>
      </c>
      <c r="CL332" s="1699" t="s">
        <v>2863</v>
      </c>
      <c r="CM332" s="1699" t="s">
        <v>4399</v>
      </c>
      <c r="CN332" s="1699" t="s">
        <v>3728</v>
      </c>
      <c r="CO332" s="1690" t="s">
        <v>5163</v>
      </c>
      <c r="CP332" s="1699" t="s">
        <v>6209</v>
      </c>
      <c r="CW332" s="2252">
        <v>500</v>
      </c>
      <c r="CX332" s="2150" t="s">
        <v>78</v>
      </c>
    </row>
    <row r="333" spans="81:102" ht="15" x14ac:dyDescent="0.25">
      <c r="CC333" s="1678" t="s">
        <v>8739</v>
      </c>
      <c r="CD333" s="1678"/>
      <c r="CE333" s="1989" t="s">
        <v>8731</v>
      </c>
      <c r="CF333" s="1661" t="s">
        <v>10149</v>
      </c>
      <c r="CG333" s="1661" t="s">
        <v>11149</v>
      </c>
      <c r="CL333" s="1699" t="s">
        <v>2862</v>
      </c>
      <c r="CM333" s="1699" t="s">
        <v>4400</v>
      </c>
      <c r="CN333" s="1699" t="s">
        <v>3727</v>
      </c>
      <c r="CO333" s="1690" t="s">
        <v>5164</v>
      </c>
      <c r="CP333" s="1699" t="s">
        <v>6208</v>
      </c>
      <c r="CW333" s="2252">
        <v>501</v>
      </c>
      <c r="CX333" s="2150" t="s">
        <v>78</v>
      </c>
    </row>
    <row r="334" spans="81:102" ht="15" x14ac:dyDescent="0.25">
      <c r="CC334" s="1678" t="s">
        <v>8740</v>
      </c>
      <c r="CD334" s="1678"/>
      <c r="CE334" s="1989" t="s">
        <v>8732</v>
      </c>
      <c r="CF334" s="1661" t="s">
        <v>10150</v>
      </c>
      <c r="CG334" s="1661" t="s">
        <v>11150</v>
      </c>
      <c r="CL334" s="1699" t="s">
        <v>2861</v>
      </c>
      <c r="CM334" s="1699" t="s">
        <v>4401</v>
      </c>
      <c r="CN334" s="1699" t="s">
        <v>3726</v>
      </c>
      <c r="CO334" s="1690" t="s">
        <v>5165</v>
      </c>
      <c r="CP334" s="1699" t="s">
        <v>6207</v>
      </c>
      <c r="CW334" s="2252">
        <v>502</v>
      </c>
      <c r="CX334" s="2150" t="s">
        <v>78</v>
      </c>
    </row>
    <row r="335" spans="81:102" ht="15" x14ac:dyDescent="0.25">
      <c r="CC335" s="1678" t="s">
        <v>8741</v>
      </c>
      <c r="CD335" s="1678"/>
      <c r="CE335" s="1989" t="s">
        <v>8733</v>
      </c>
      <c r="CF335" s="1661" t="s">
        <v>10151</v>
      </c>
      <c r="CG335" s="1661" t="s">
        <v>11151</v>
      </c>
      <c r="CL335" s="1699" t="s">
        <v>2860</v>
      </c>
      <c r="CM335" s="1699" t="s">
        <v>4402</v>
      </c>
      <c r="CN335" s="1699" t="s">
        <v>3725</v>
      </c>
      <c r="CO335" s="1690" t="s">
        <v>5166</v>
      </c>
      <c r="CP335" s="1699" t="s">
        <v>6206</v>
      </c>
      <c r="CW335" s="2252">
        <v>507</v>
      </c>
      <c r="CX335" s="2150" t="s">
        <v>78</v>
      </c>
    </row>
    <row r="336" spans="81:102" ht="15" x14ac:dyDescent="0.25">
      <c r="CC336" s="1678" t="s">
        <v>8841</v>
      </c>
      <c r="CD336" s="1678"/>
      <c r="CE336" s="1989" t="s">
        <v>8734</v>
      </c>
      <c r="CF336" s="1661" t="s">
        <v>10152</v>
      </c>
      <c r="CG336" s="1661" t="s">
        <v>11152</v>
      </c>
      <c r="CL336" s="1699" t="s">
        <v>2859</v>
      </c>
      <c r="CM336" s="1699" t="s">
        <v>4403</v>
      </c>
      <c r="CN336" s="1699" t="s">
        <v>3724</v>
      </c>
      <c r="CO336" s="1690" t="s">
        <v>5167</v>
      </c>
      <c r="CP336" s="1699" t="s">
        <v>6205</v>
      </c>
      <c r="CW336" s="2252">
        <v>999</v>
      </c>
      <c r="CX336" s="2150" t="s">
        <v>78</v>
      </c>
    </row>
    <row r="337" spans="81:102" ht="15" x14ac:dyDescent="0.25">
      <c r="CC337" s="1678" t="s">
        <v>8742</v>
      </c>
      <c r="CD337" s="1678"/>
      <c r="CE337" s="1989" t="s">
        <v>8735</v>
      </c>
      <c r="CF337" s="1661" t="s">
        <v>10153</v>
      </c>
      <c r="CG337" s="1661" t="s">
        <v>11153</v>
      </c>
      <c r="CL337" s="1699" t="s">
        <v>2858</v>
      </c>
      <c r="CM337" s="1699" t="s">
        <v>4404</v>
      </c>
      <c r="CN337" s="1699" t="s">
        <v>3723</v>
      </c>
      <c r="CO337" s="1690" t="s">
        <v>5168</v>
      </c>
      <c r="CP337" s="1699" t="s">
        <v>6204</v>
      </c>
      <c r="CW337" s="2252">
        <v>508</v>
      </c>
      <c r="CX337" s="2150" t="s">
        <v>78</v>
      </c>
    </row>
    <row r="338" spans="81:102" ht="15" x14ac:dyDescent="0.25">
      <c r="CC338" s="1678" t="s">
        <v>8743</v>
      </c>
      <c r="CD338" s="1678"/>
      <c r="CE338" s="1989" t="s">
        <v>8736</v>
      </c>
      <c r="CF338" s="1661" t="s">
        <v>10154</v>
      </c>
      <c r="CG338" s="1661" t="s">
        <v>11154</v>
      </c>
      <c r="CL338" s="1699" t="s">
        <v>2857</v>
      </c>
      <c r="CM338" s="1699" t="s">
        <v>4405</v>
      </c>
      <c r="CN338" s="1699" t="s">
        <v>3722</v>
      </c>
      <c r="CO338" s="1690" t="s">
        <v>5169</v>
      </c>
      <c r="CP338" s="1699" t="s">
        <v>6203</v>
      </c>
      <c r="CW338" s="2252">
        <v>212</v>
      </c>
      <c r="CX338" s="2150" t="s">
        <v>75</v>
      </c>
    </row>
    <row r="339" spans="81:102" ht="15" x14ac:dyDescent="0.25">
      <c r="CC339" s="1678" t="s">
        <v>8744</v>
      </c>
      <c r="CD339" s="1678"/>
      <c r="CE339" s="1989" t="s">
        <v>8737</v>
      </c>
      <c r="CF339" s="1661" t="s">
        <v>10155</v>
      </c>
      <c r="CG339" s="1661" t="s">
        <v>11155</v>
      </c>
      <c r="CL339" s="1699" t="s">
        <v>2856</v>
      </c>
      <c r="CM339" s="1699" t="s">
        <v>4406</v>
      </c>
      <c r="CN339" s="1699" t="s">
        <v>3721</v>
      </c>
      <c r="CO339" s="1699" t="s">
        <v>5192</v>
      </c>
      <c r="CP339" s="1699" t="s">
        <v>6202</v>
      </c>
      <c r="CW339" s="2252">
        <v>277</v>
      </c>
      <c r="CX339" s="2150" t="s">
        <v>75</v>
      </c>
    </row>
    <row r="340" spans="81:102" ht="15" x14ac:dyDescent="0.25">
      <c r="CC340" s="1678" t="s">
        <v>8745</v>
      </c>
      <c r="CD340" s="1678"/>
      <c r="CE340" s="1989" t="s">
        <v>8738</v>
      </c>
      <c r="CF340" s="1661" t="s">
        <v>10156</v>
      </c>
      <c r="CG340" s="1661" t="s">
        <v>11156</v>
      </c>
      <c r="CL340" s="1699" t="s">
        <v>2855</v>
      </c>
      <c r="CM340" s="1699" t="s">
        <v>4407</v>
      </c>
      <c r="CN340" s="1699" t="s">
        <v>3720</v>
      </c>
      <c r="CO340" s="1699" t="s">
        <v>7440</v>
      </c>
      <c r="CP340" s="1699" t="s">
        <v>6201</v>
      </c>
      <c r="CW340" s="2252">
        <v>221</v>
      </c>
      <c r="CX340" s="2150" t="s">
        <v>75</v>
      </c>
    </row>
    <row r="341" spans="81:102" ht="15" x14ac:dyDescent="0.25">
      <c r="CC341" s="1678" t="s">
        <v>8746</v>
      </c>
      <c r="CD341" s="1678"/>
      <c r="CE341" s="1989" t="s">
        <v>8739</v>
      </c>
      <c r="CF341" s="1661" t="s">
        <v>10157</v>
      </c>
      <c r="CG341" s="1661" t="s">
        <v>11157</v>
      </c>
      <c r="CL341" s="1699" t="s">
        <v>2854</v>
      </c>
      <c r="CM341" s="1699" t="s">
        <v>4408</v>
      </c>
      <c r="CN341" s="1699" t="s">
        <v>3719</v>
      </c>
      <c r="CO341" s="1699" t="s">
        <v>7622</v>
      </c>
      <c r="CP341" s="1699" t="s">
        <v>6200</v>
      </c>
      <c r="CW341" s="2252">
        <v>232</v>
      </c>
      <c r="CX341" s="2150" t="s">
        <v>75</v>
      </c>
    </row>
    <row r="342" spans="81:102" ht="15" x14ac:dyDescent="0.25">
      <c r="CC342" s="1678" t="s">
        <v>8747</v>
      </c>
      <c r="CD342" s="1678"/>
      <c r="CE342" s="1989" t="s">
        <v>8740</v>
      </c>
      <c r="CF342" s="1661" t="s">
        <v>10158</v>
      </c>
      <c r="CG342" s="1661" t="s">
        <v>11158</v>
      </c>
      <c r="CL342" s="1699" t="s">
        <v>2853</v>
      </c>
      <c r="CM342" s="1699" t="s">
        <v>4409</v>
      </c>
      <c r="CN342" s="1699" t="s">
        <v>3718</v>
      </c>
      <c r="CO342" s="1699" t="s">
        <v>7439</v>
      </c>
      <c r="CP342" s="1699" t="s">
        <v>6199</v>
      </c>
      <c r="CW342" s="2252">
        <v>281</v>
      </c>
      <c r="CX342" s="2150" t="s">
        <v>75</v>
      </c>
    </row>
    <row r="343" spans="81:102" ht="15" x14ac:dyDescent="0.25">
      <c r="CC343" s="1678" t="s">
        <v>8748</v>
      </c>
      <c r="CD343" s="1678"/>
      <c r="CE343" s="1989" t="s">
        <v>12719</v>
      </c>
      <c r="CF343" s="1661" t="s">
        <v>10159</v>
      </c>
      <c r="CG343" s="1661" t="s">
        <v>11159</v>
      </c>
      <c r="CL343" s="1699" t="s">
        <v>2852</v>
      </c>
      <c r="CM343" s="1699" t="s">
        <v>4410</v>
      </c>
      <c r="CN343" s="1699" t="s">
        <v>3717</v>
      </c>
      <c r="CO343" s="1699" t="s">
        <v>5191</v>
      </c>
      <c r="CP343" s="1699" t="s">
        <v>6198</v>
      </c>
      <c r="CW343" s="2252">
        <v>211</v>
      </c>
      <c r="CX343" s="2150" t="s">
        <v>75</v>
      </c>
    </row>
    <row r="344" spans="81:102" ht="15" x14ac:dyDescent="0.25">
      <c r="CC344" s="1678" t="s">
        <v>8749</v>
      </c>
      <c r="CD344" s="1678"/>
      <c r="CE344" s="1989" t="s">
        <v>8741</v>
      </c>
      <c r="CF344" s="1661" t="s">
        <v>10160</v>
      </c>
      <c r="CG344" s="1661" t="s">
        <v>11160</v>
      </c>
      <c r="CL344" s="1699" t="s">
        <v>2851</v>
      </c>
      <c r="CM344" s="1699" t="s">
        <v>4411</v>
      </c>
      <c r="CN344" s="1699" t="s">
        <v>3716</v>
      </c>
      <c r="CO344" s="1699" t="s">
        <v>5190</v>
      </c>
      <c r="CP344" s="1699" t="s">
        <v>6197</v>
      </c>
      <c r="CW344" s="2252">
        <v>244</v>
      </c>
      <c r="CX344" s="2150" t="s">
        <v>75</v>
      </c>
    </row>
    <row r="345" spans="81:102" ht="15" x14ac:dyDescent="0.25">
      <c r="CC345" s="1678" t="s">
        <v>8750</v>
      </c>
      <c r="CD345" s="1678"/>
      <c r="CE345" s="1989" t="s">
        <v>8841</v>
      </c>
      <c r="CF345" s="1661" t="s">
        <v>10161</v>
      </c>
      <c r="CG345" s="1661" t="s">
        <v>11161</v>
      </c>
      <c r="CL345" s="1699" t="s">
        <v>2850</v>
      </c>
      <c r="CM345" s="1699" t="s">
        <v>4412</v>
      </c>
      <c r="CN345" s="1699" t="s">
        <v>3715</v>
      </c>
      <c r="CO345" s="1699" t="s">
        <v>5189</v>
      </c>
      <c r="CP345" s="1699" t="s">
        <v>6196</v>
      </c>
      <c r="CW345" s="2252">
        <v>284</v>
      </c>
      <c r="CX345" s="2150" t="s">
        <v>75</v>
      </c>
    </row>
    <row r="346" spans="81:102" ht="15" x14ac:dyDescent="0.25">
      <c r="CE346" s="1989" t="s">
        <v>8742</v>
      </c>
      <c r="CF346" s="1661" t="s">
        <v>10162</v>
      </c>
      <c r="CG346" s="1661" t="s">
        <v>11162</v>
      </c>
      <c r="CL346" s="1699" t="s">
        <v>2849</v>
      </c>
      <c r="CM346" s="1699" t="s">
        <v>4413</v>
      </c>
      <c r="CN346" s="1699" t="s">
        <v>3714</v>
      </c>
      <c r="CO346" s="1699" t="s">
        <v>5188</v>
      </c>
      <c r="CP346" s="1699" t="s">
        <v>6195</v>
      </c>
      <c r="CW346" s="2252">
        <v>272</v>
      </c>
      <c r="CX346" s="2150" t="s">
        <v>75</v>
      </c>
    </row>
    <row r="347" spans="81:102" ht="15" x14ac:dyDescent="0.25">
      <c r="CE347" s="1989" t="s">
        <v>8743</v>
      </c>
      <c r="CF347" s="1661" t="s">
        <v>10163</v>
      </c>
      <c r="CG347" s="1661" t="s">
        <v>11163</v>
      </c>
      <c r="CL347" s="1699" t="s">
        <v>2848</v>
      </c>
      <c r="CM347" s="1699" t="s">
        <v>4414</v>
      </c>
      <c r="CN347" s="1699" t="s">
        <v>3713</v>
      </c>
      <c r="CO347" s="1699" t="s">
        <v>5187</v>
      </c>
      <c r="CP347" s="1699" t="s">
        <v>6194</v>
      </c>
      <c r="CW347" s="2252">
        <v>209</v>
      </c>
      <c r="CX347" s="2150" t="s">
        <v>75</v>
      </c>
    </row>
    <row r="348" spans="81:102" ht="15" x14ac:dyDescent="0.25">
      <c r="CE348" s="1989" t="s">
        <v>8744</v>
      </c>
      <c r="CF348" s="1661" t="s">
        <v>10164</v>
      </c>
      <c r="CG348" s="1661" t="s">
        <v>11164</v>
      </c>
      <c r="CL348" s="1699" t="s">
        <v>2847</v>
      </c>
      <c r="CM348" s="1699" t="s">
        <v>4415</v>
      </c>
      <c r="CN348" s="1699" t="s">
        <v>3712</v>
      </c>
      <c r="CO348" s="1699" t="s">
        <v>5186</v>
      </c>
      <c r="CP348" s="1699" t="s">
        <v>6193</v>
      </c>
      <c r="CW348" s="2252">
        <v>242</v>
      </c>
      <c r="CX348" s="2150" t="s">
        <v>75</v>
      </c>
    </row>
    <row r="349" spans="81:102" ht="15" x14ac:dyDescent="0.25">
      <c r="CE349" s="1989" t="s">
        <v>8745</v>
      </c>
      <c r="CF349" s="1661" t="s">
        <v>10165</v>
      </c>
      <c r="CG349" s="1661" t="s">
        <v>11165</v>
      </c>
      <c r="CL349" s="1699" t="s">
        <v>2846</v>
      </c>
      <c r="CM349" s="1699" t="s">
        <v>4416</v>
      </c>
      <c r="CN349" s="1699" t="s">
        <v>3711</v>
      </c>
      <c r="CO349" s="1699" t="s">
        <v>5185</v>
      </c>
      <c r="CP349" s="1699" t="s">
        <v>6192</v>
      </c>
      <c r="CW349" s="2252">
        <v>250</v>
      </c>
      <c r="CX349" s="2150" t="s">
        <v>75</v>
      </c>
    </row>
    <row r="350" spans="81:102" ht="15" x14ac:dyDescent="0.25">
      <c r="CE350" s="1989" t="s">
        <v>8746</v>
      </c>
      <c r="CF350" s="1661" t="s">
        <v>10166</v>
      </c>
      <c r="CG350" s="1661" t="s">
        <v>11166</v>
      </c>
      <c r="CL350" s="1699" t="s">
        <v>2845</v>
      </c>
      <c r="CM350" s="1699" t="s">
        <v>4417</v>
      </c>
      <c r="CN350" s="1699" t="s">
        <v>3710</v>
      </c>
      <c r="CO350" s="1699" t="s">
        <v>5184</v>
      </c>
      <c r="CP350" s="1699" t="s">
        <v>6191</v>
      </c>
      <c r="CW350" s="2252">
        <v>245</v>
      </c>
      <c r="CX350" s="2150" t="s">
        <v>75</v>
      </c>
    </row>
    <row r="351" spans="81:102" ht="15" x14ac:dyDescent="0.25">
      <c r="CE351" s="1989" t="s">
        <v>12720</v>
      </c>
      <c r="CF351" s="1661" t="s">
        <v>10167</v>
      </c>
      <c r="CG351" s="1661" t="s">
        <v>11167</v>
      </c>
      <c r="CL351" s="1699" t="s">
        <v>2844</v>
      </c>
      <c r="CM351" s="1699" t="s">
        <v>4418</v>
      </c>
      <c r="CN351" s="1699" t="s">
        <v>3709</v>
      </c>
      <c r="CO351" s="1699" t="s">
        <v>5183</v>
      </c>
      <c r="CP351" s="1699" t="s">
        <v>6190</v>
      </c>
      <c r="CW351" s="2252">
        <v>273</v>
      </c>
      <c r="CX351" s="2150" t="s">
        <v>75</v>
      </c>
    </row>
    <row r="352" spans="81:102" ht="15" x14ac:dyDescent="0.25">
      <c r="CE352" s="1989" t="s">
        <v>8748</v>
      </c>
      <c r="CF352" s="1661" t="s">
        <v>10168</v>
      </c>
      <c r="CG352" s="1661" t="s">
        <v>11168</v>
      </c>
      <c r="CL352" s="1699" t="s">
        <v>2843</v>
      </c>
      <c r="CM352" s="1699" t="s">
        <v>4419</v>
      </c>
      <c r="CN352" s="1699" t="s">
        <v>3708</v>
      </c>
      <c r="CO352" s="1699" t="s">
        <v>5182</v>
      </c>
      <c r="CP352" s="1699" t="s">
        <v>6189</v>
      </c>
      <c r="CW352" s="2252">
        <v>262</v>
      </c>
      <c r="CX352" s="2150" t="s">
        <v>75</v>
      </c>
    </row>
    <row r="353" spans="83:102" ht="15" x14ac:dyDescent="0.25">
      <c r="CE353" s="1989" t="s">
        <v>12721</v>
      </c>
      <c r="CF353" s="1661" t="s">
        <v>10169</v>
      </c>
      <c r="CG353" s="1661" t="s">
        <v>11169</v>
      </c>
      <c r="CL353" s="1699" t="s">
        <v>2842</v>
      </c>
      <c r="CM353" s="1699" t="s">
        <v>4420</v>
      </c>
      <c r="CN353" s="1699" t="s">
        <v>3707</v>
      </c>
      <c r="CO353" s="1699" t="s">
        <v>5181</v>
      </c>
      <c r="CP353" s="1699" t="s">
        <v>6188</v>
      </c>
      <c r="CW353" s="2252">
        <v>283</v>
      </c>
      <c r="CX353" s="2150" t="s">
        <v>75</v>
      </c>
    </row>
    <row r="354" spans="83:102" ht="15" x14ac:dyDescent="0.25">
      <c r="CE354" s="1989" t="s">
        <v>8749</v>
      </c>
      <c r="CF354" s="1661" t="s">
        <v>10170</v>
      </c>
      <c r="CG354" s="1661" t="s">
        <v>11170</v>
      </c>
      <c r="CL354" s="1699" t="s">
        <v>2841</v>
      </c>
      <c r="CM354" s="1699" t="s">
        <v>4421</v>
      </c>
      <c r="CN354" s="1699" t="s">
        <v>3706</v>
      </c>
      <c r="CO354" s="1699" t="s">
        <v>5180</v>
      </c>
      <c r="CP354" s="1699" t="s">
        <v>6187</v>
      </c>
      <c r="CW354" s="2252">
        <v>282</v>
      </c>
      <c r="CX354" s="2150" t="s">
        <v>75</v>
      </c>
    </row>
    <row r="355" spans="83:102" ht="15" x14ac:dyDescent="0.25">
      <c r="CE355" s="1989" t="s">
        <v>8750</v>
      </c>
      <c r="CF355" s="1661" t="s">
        <v>10171</v>
      </c>
      <c r="CG355" s="1661" t="s">
        <v>11171</v>
      </c>
      <c r="CL355" s="1699" t="s">
        <v>2840</v>
      </c>
      <c r="CM355" s="1699" t="s">
        <v>4422</v>
      </c>
      <c r="CN355" s="1699" t="s">
        <v>3705</v>
      </c>
      <c r="CO355" s="1699" t="s">
        <v>5179</v>
      </c>
      <c r="CP355" s="1699" t="s">
        <v>6186</v>
      </c>
      <c r="CW355" s="2252">
        <v>224</v>
      </c>
      <c r="CX355" s="2150" t="s">
        <v>75</v>
      </c>
    </row>
    <row r="356" spans="83:102" ht="15" x14ac:dyDescent="0.25">
      <c r="CF356" s="1661" t="s">
        <v>10172</v>
      </c>
      <c r="CG356" s="1661" t="s">
        <v>11172</v>
      </c>
      <c r="CL356" s="1699" t="s">
        <v>2839</v>
      </c>
      <c r="CM356" s="1699" t="s">
        <v>4423</v>
      </c>
      <c r="CN356" s="1699" t="s">
        <v>3704</v>
      </c>
      <c r="CO356" s="1699" t="s">
        <v>5178</v>
      </c>
      <c r="CP356" s="1699" t="s">
        <v>6185</v>
      </c>
      <c r="CW356" s="2252">
        <v>231</v>
      </c>
      <c r="CX356" s="2150" t="s">
        <v>75</v>
      </c>
    </row>
    <row r="357" spans="83:102" ht="15" x14ac:dyDescent="0.25">
      <c r="CF357" s="1661" t="s">
        <v>10173</v>
      </c>
      <c r="CG357" s="1661" t="s">
        <v>11173</v>
      </c>
      <c r="CL357" s="1699" t="s">
        <v>2838</v>
      </c>
      <c r="CM357" s="1699" t="s">
        <v>4424</v>
      </c>
      <c r="CN357" s="1699" t="s">
        <v>3703</v>
      </c>
      <c r="CO357" s="1699" t="s">
        <v>5177</v>
      </c>
      <c r="CP357" s="1699" t="s">
        <v>6184</v>
      </c>
      <c r="CW357" s="2252">
        <v>275</v>
      </c>
      <c r="CX357" s="2150" t="s">
        <v>75</v>
      </c>
    </row>
    <row r="358" spans="83:102" ht="15" x14ac:dyDescent="0.25">
      <c r="CF358" s="1661" t="s">
        <v>10174</v>
      </c>
      <c r="CG358" s="1661" t="s">
        <v>11174</v>
      </c>
      <c r="CL358" s="1699" t="s">
        <v>2837</v>
      </c>
      <c r="CM358" s="1699" t="s">
        <v>4425</v>
      </c>
      <c r="CN358" s="1699" t="s">
        <v>3702</v>
      </c>
      <c r="CO358" s="1699" t="s">
        <v>5176</v>
      </c>
      <c r="CP358" s="1699" t="s">
        <v>6183</v>
      </c>
      <c r="CW358" s="2252">
        <v>276</v>
      </c>
      <c r="CX358" s="2150" t="s">
        <v>75</v>
      </c>
    </row>
    <row r="359" spans="83:102" ht="15" x14ac:dyDescent="0.25">
      <c r="CF359" s="1661" t="s">
        <v>10175</v>
      </c>
      <c r="CG359" s="1661" t="s">
        <v>11175</v>
      </c>
      <c r="CL359" s="1699" t="s">
        <v>2836</v>
      </c>
      <c r="CM359" s="1699" t="s">
        <v>4426</v>
      </c>
      <c r="CN359" s="1699" t="s">
        <v>3701</v>
      </c>
      <c r="CO359" s="1699" t="s">
        <v>5175</v>
      </c>
      <c r="CP359" s="1699" t="s">
        <v>6182</v>
      </c>
      <c r="CW359" s="2252">
        <v>233</v>
      </c>
      <c r="CX359" s="2150" t="s">
        <v>75</v>
      </c>
    </row>
    <row r="360" spans="83:102" ht="15" x14ac:dyDescent="0.25">
      <c r="CF360" s="1661" t="s">
        <v>10176</v>
      </c>
      <c r="CG360" s="1661" t="s">
        <v>11176</v>
      </c>
      <c r="CL360" s="1699" t="s">
        <v>2835</v>
      </c>
      <c r="CM360" s="1699" t="s">
        <v>4427</v>
      </c>
      <c r="CN360" s="1699" t="s">
        <v>3700</v>
      </c>
      <c r="CO360" s="1699" t="s">
        <v>5174</v>
      </c>
      <c r="CP360" s="1699" t="s">
        <v>6181</v>
      </c>
      <c r="CW360" s="2252">
        <v>206</v>
      </c>
      <c r="CX360" s="2150" t="s">
        <v>75</v>
      </c>
    </row>
    <row r="361" spans="83:102" ht="15" x14ac:dyDescent="0.25">
      <c r="CF361" s="1661" t="s">
        <v>10177</v>
      </c>
      <c r="CG361" s="1661" t="s">
        <v>11177</v>
      </c>
      <c r="CL361" s="1699" t="s">
        <v>2834</v>
      </c>
      <c r="CM361" s="1699" t="s">
        <v>4428</v>
      </c>
      <c r="CN361" s="1699" t="s">
        <v>3699</v>
      </c>
      <c r="CO361" s="1699" t="s">
        <v>5173</v>
      </c>
      <c r="CP361" s="1699" t="s">
        <v>8198</v>
      </c>
      <c r="CW361" s="2252">
        <v>271</v>
      </c>
      <c r="CX361" s="2150" t="s">
        <v>75</v>
      </c>
    </row>
    <row r="362" spans="83:102" ht="15" x14ac:dyDescent="0.25">
      <c r="CF362" s="1661" t="s">
        <v>10178</v>
      </c>
      <c r="CG362" s="1661" t="s">
        <v>11178</v>
      </c>
      <c r="CL362" s="1699" t="s">
        <v>2833</v>
      </c>
      <c r="CM362" s="1699" t="s">
        <v>4429</v>
      </c>
      <c r="CN362" s="1699" t="s">
        <v>3698</v>
      </c>
      <c r="CO362" s="1711" t="s">
        <v>4065</v>
      </c>
      <c r="CP362" s="1699" t="s">
        <v>8197</v>
      </c>
      <c r="CW362" s="2252">
        <v>201</v>
      </c>
      <c r="CX362" s="2150" t="s">
        <v>75</v>
      </c>
    </row>
    <row r="363" spans="83:102" ht="15" x14ac:dyDescent="0.25">
      <c r="CF363" s="1661" t="s">
        <v>10179</v>
      </c>
      <c r="CG363" s="1661" t="s">
        <v>11179</v>
      </c>
      <c r="CL363" s="1699" t="s">
        <v>2832</v>
      </c>
      <c r="CM363" s="1699" t="s">
        <v>4430</v>
      </c>
      <c r="CN363" s="1699" t="s">
        <v>3697</v>
      </c>
      <c r="CO363" s="1699" t="s">
        <v>5575</v>
      </c>
      <c r="CP363" s="1699" t="s">
        <v>6180</v>
      </c>
      <c r="CW363" s="2252">
        <v>207</v>
      </c>
      <c r="CX363" s="2150" t="s">
        <v>75</v>
      </c>
    </row>
    <row r="364" spans="83:102" ht="15" x14ac:dyDescent="0.25">
      <c r="CF364" s="1661" t="s">
        <v>10180</v>
      </c>
      <c r="CG364" s="1661" t="s">
        <v>11180</v>
      </c>
      <c r="CL364" s="1699" t="s">
        <v>2831</v>
      </c>
      <c r="CM364" s="1699" t="s">
        <v>4431</v>
      </c>
      <c r="CN364" s="1699" t="s">
        <v>3696</v>
      </c>
      <c r="CO364" s="1699" t="s">
        <v>5574</v>
      </c>
      <c r="CP364" s="1699" t="s">
        <v>6179</v>
      </c>
      <c r="CW364" s="2252">
        <v>230</v>
      </c>
      <c r="CX364" s="2150" t="s">
        <v>75</v>
      </c>
    </row>
    <row r="365" spans="83:102" ht="15" x14ac:dyDescent="0.25">
      <c r="CF365" s="1661" t="s">
        <v>10181</v>
      </c>
      <c r="CG365" s="1661" t="s">
        <v>11181</v>
      </c>
      <c r="CL365" s="1699" t="s">
        <v>2830</v>
      </c>
      <c r="CM365" s="1699" t="s">
        <v>4432</v>
      </c>
      <c r="CN365" s="1699" t="s">
        <v>3695</v>
      </c>
      <c r="CO365" s="1699" t="s">
        <v>4063</v>
      </c>
      <c r="CP365" s="1699" t="s">
        <v>6178</v>
      </c>
      <c r="CW365" s="2252">
        <v>202</v>
      </c>
      <c r="CX365" s="2150" t="s">
        <v>75</v>
      </c>
    </row>
    <row r="366" spans="83:102" ht="15" x14ac:dyDescent="0.25">
      <c r="CF366" s="1661" t="s">
        <v>10182</v>
      </c>
      <c r="CG366" s="1661" t="s">
        <v>11182</v>
      </c>
      <c r="CL366" s="1699" t="s">
        <v>2829</v>
      </c>
      <c r="CM366" s="1699" t="s">
        <v>4433</v>
      </c>
      <c r="CN366" s="1699" t="s">
        <v>3694</v>
      </c>
      <c r="CO366" s="1699" t="s">
        <v>5573</v>
      </c>
      <c r="CP366" s="1699" t="s">
        <v>6177</v>
      </c>
      <c r="CW366" s="2252">
        <v>222</v>
      </c>
      <c r="CX366" s="2150" t="s">
        <v>75</v>
      </c>
    </row>
    <row r="367" spans="83:102" ht="15" x14ac:dyDescent="0.25">
      <c r="CF367" s="1661" t="s">
        <v>10183</v>
      </c>
      <c r="CG367" s="1661" t="s">
        <v>11183</v>
      </c>
      <c r="CL367" s="1699" t="s">
        <v>2828</v>
      </c>
      <c r="CM367" s="1699" t="s">
        <v>4434</v>
      </c>
      <c r="CN367" s="1699" t="s">
        <v>3693</v>
      </c>
      <c r="CO367" s="1699" t="s">
        <v>5572</v>
      </c>
      <c r="CP367" s="1699" t="s">
        <v>6176</v>
      </c>
      <c r="CW367" s="2252">
        <v>225</v>
      </c>
      <c r="CX367" s="2150" t="s">
        <v>75</v>
      </c>
    </row>
    <row r="368" spans="83:102" ht="15" x14ac:dyDescent="0.25">
      <c r="CF368" s="1661" t="s">
        <v>10184</v>
      </c>
      <c r="CG368" s="1661" t="s">
        <v>11184</v>
      </c>
      <c r="CL368" s="1699" t="s">
        <v>2827</v>
      </c>
      <c r="CM368" s="1699" t="s">
        <v>4435</v>
      </c>
      <c r="CN368" s="1699" t="s">
        <v>3692</v>
      </c>
      <c r="CO368" s="1699" t="s">
        <v>5571</v>
      </c>
      <c r="CP368" s="1699" t="s">
        <v>6175</v>
      </c>
      <c r="CW368" s="2252">
        <v>261</v>
      </c>
      <c r="CX368" s="2150" t="s">
        <v>75</v>
      </c>
    </row>
    <row r="369" spans="84:102" ht="15" x14ac:dyDescent="0.25">
      <c r="CF369" s="1661" t="s">
        <v>10185</v>
      </c>
      <c r="CG369" s="1661" t="s">
        <v>11185</v>
      </c>
      <c r="CL369" s="1699" t="s">
        <v>2826</v>
      </c>
      <c r="CM369" s="1699" t="s">
        <v>4436</v>
      </c>
      <c r="CN369" s="1699" t="s">
        <v>3691</v>
      </c>
      <c r="CO369" s="1699" t="s">
        <v>5570</v>
      </c>
      <c r="CP369" s="1699" t="s">
        <v>8196</v>
      </c>
      <c r="CW369" s="2252">
        <v>204</v>
      </c>
      <c r="CX369" s="2150" t="s">
        <v>75</v>
      </c>
    </row>
    <row r="370" spans="84:102" ht="15" x14ac:dyDescent="0.25">
      <c r="CF370" s="1661" t="s">
        <v>10186</v>
      </c>
      <c r="CG370" s="1661" t="s">
        <v>11186</v>
      </c>
      <c r="CL370" s="1699" t="s">
        <v>2825</v>
      </c>
      <c r="CM370" s="1699" t="s">
        <v>4437</v>
      </c>
      <c r="CN370" s="1699" t="s">
        <v>3690</v>
      </c>
      <c r="CO370" s="1699" t="s">
        <v>5569</v>
      </c>
      <c r="CP370" s="1699" t="s">
        <v>6174</v>
      </c>
      <c r="CW370" s="2252">
        <v>223</v>
      </c>
      <c r="CX370" s="2150" t="s">
        <v>75</v>
      </c>
    </row>
    <row r="371" spans="84:102" ht="15" x14ac:dyDescent="0.25">
      <c r="CF371" s="1661" t="s">
        <v>10187</v>
      </c>
      <c r="CG371" s="1661" t="s">
        <v>11187</v>
      </c>
      <c r="CL371" s="1699" t="s">
        <v>2824</v>
      </c>
      <c r="CM371" s="1699" t="s">
        <v>4438</v>
      </c>
      <c r="CN371" s="1699" t="s">
        <v>3689</v>
      </c>
      <c r="CO371" s="1699" t="s">
        <v>5568</v>
      </c>
      <c r="CP371" s="1699" t="s">
        <v>6173</v>
      </c>
      <c r="CW371" s="2252">
        <v>203</v>
      </c>
      <c r="CX371" s="2150" t="s">
        <v>75</v>
      </c>
    </row>
    <row r="372" spans="84:102" ht="15" x14ac:dyDescent="0.25">
      <c r="CF372" s="1661" t="s">
        <v>10188</v>
      </c>
      <c r="CG372" s="1661" t="s">
        <v>11188</v>
      </c>
      <c r="CL372" s="1699" t="s">
        <v>2823</v>
      </c>
      <c r="CM372" s="1699" t="s">
        <v>4439</v>
      </c>
      <c r="CN372" s="1699" t="s">
        <v>3688</v>
      </c>
      <c r="CO372" s="1699" t="s">
        <v>5567</v>
      </c>
      <c r="CP372" s="1699" t="s">
        <v>6172</v>
      </c>
      <c r="CW372" s="2252">
        <v>274</v>
      </c>
      <c r="CX372" s="2150" t="s">
        <v>75</v>
      </c>
    </row>
    <row r="373" spans="84:102" ht="15" x14ac:dyDescent="0.25">
      <c r="CF373" s="1661" t="s">
        <v>10189</v>
      </c>
      <c r="CG373" s="1661" t="s">
        <v>11189</v>
      </c>
      <c r="CL373" s="1699" t="s">
        <v>2822</v>
      </c>
      <c r="CM373" s="1699" t="s">
        <v>4440</v>
      </c>
      <c r="CN373" s="1699" t="s">
        <v>3687</v>
      </c>
      <c r="CO373" s="1699" t="s">
        <v>5566</v>
      </c>
      <c r="CP373" s="1699" t="s">
        <v>6171</v>
      </c>
      <c r="CW373" s="2252">
        <v>285</v>
      </c>
      <c r="CX373" s="2150" t="s">
        <v>75</v>
      </c>
    </row>
    <row r="374" spans="84:102" ht="15" x14ac:dyDescent="0.25">
      <c r="CF374" s="1661" t="s">
        <v>10190</v>
      </c>
      <c r="CG374" s="1661" t="s">
        <v>11190</v>
      </c>
      <c r="CL374" s="1699" t="s">
        <v>2821</v>
      </c>
      <c r="CM374" s="1699" t="s">
        <v>4441</v>
      </c>
      <c r="CN374" s="1699" t="s">
        <v>3686</v>
      </c>
      <c r="CO374" s="1699" t="s">
        <v>5565</v>
      </c>
      <c r="CP374" s="1699" t="s">
        <v>6170</v>
      </c>
      <c r="CW374" s="2252">
        <v>243</v>
      </c>
      <c r="CX374" s="2150" t="s">
        <v>75</v>
      </c>
    </row>
    <row r="375" spans="84:102" ht="15" x14ac:dyDescent="0.25">
      <c r="CF375" s="1661" t="s">
        <v>10191</v>
      </c>
      <c r="CG375" s="1661" t="s">
        <v>11191</v>
      </c>
      <c r="CL375" s="1699" t="s">
        <v>2820</v>
      </c>
      <c r="CM375" s="1699" t="s">
        <v>4442</v>
      </c>
      <c r="CN375" s="1699" t="s">
        <v>3685</v>
      </c>
      <c r="CO375" s="1699" t="s">
        <v>5564</v>
      </c>
      <c r="CP375" s="1699" t="s">
        <v>6169</v>
      </c>
      <c r="CW375" s="2252">
        <v>241</v>
      </c>
      <c r="CX375" s="2150" t="s">
        <v>75</v>
      </c>
    </row>
    <row r="376" spans="84:102" ht="15" x14ac:dyDescent="0.25">
      <c r="CF376" s="1661" t="s">
        <v>10192</v>
      </c>
      <c r="CG376" s="1661" t="s">
        <v>11192</v>
      </c>
      <c r="CL376" s="1699" t="s">
        <v>2819</v>
      </c>
      <c r="CM376" s="1699" t="s">
        <v>4443</v>
      </c>
      <c r="CN376" s="1699" t="s">
        <v>3684</v>
      </c>
      <c r="CO376" s="1699" t="s">
        <v>5563</v>
      </c>
      <c r="CP376" s="1699" t="s">
        <v>6168</v>
      </c>
      <c r="CW376" s="2252">
        <v>210</v>
      </c>
      <c r="CX376" s="2150" t="s">
        <v>75</v>
      </c>
    </row>
    <row r="377" spans="84:102" ht="15" x14ac:dyDescent="0.25">
      <c r="CF377" s="1661" t="s">
        <v>10193</v>
      </c>
      <c r="CG377" s="1661" t="s">
        <v>11193</v>
      </c>
      <c r="CL377" s="1699" t="s">
        <v>2818</v>
      </c>
      <c r="CM377" s="1699" t="s">
        <v>4444</v>
      </c>
      <c r="CN377" s="1699" t="s">
        <v>3683</v>
      </c>
      <c r="CO377" s="1699" t="s">
        <v>5562</v>
      </c>
      <c r="CP377" s="1699" t="s">
        <v>6167</v>
      </c>
      <c r="CW377" s="2252">
        <v>205</v>
      </c>
      <c r="CX377" s="2150" t="s">
        <v>75</v>
      </c>
    </row>
    <row r="378" spans="84:102" ht="15" x14ac:dyDescent="0.25">
      <c r="CF378" s="1661" t="s">
        <v>10194</v>
      </c>
      <c r="CG378" s="1661" t="s">
        <v>11194</v>
      </c>
      <c r="CL378" s="1699" t="s">
        <v>2817</v>
      </c>
      <c r="CM378" s="1699" t="s">
        <v>4445</v>
      </c>
      <c r="CN378" s="1699" t="s">
        <v>3682</v>
      </c>
      <c r="CO378" s="1699" t="s">
        <v>5561</v>
      </c>
      <c r="CP378" s="1699" t="s">
        <v>6166</v>
      </c>
      <c r="CW378" s="2252">
        <v>247</v>
      </c>
      <c r="CX378" s="2150" t="s">
        <v>75</v>
      </c>
    </row>
    <row r="379" spans="84:102" ht="15" x14ac:dyDescent="0.25">
      <c r="CF379" s="1661" t="s">
        <v>10195</v>
      </c>
      <c r="CG379" s="1661" t="s">
        <v>11195</v>
      </c>
      <c r="CL379" s="1699" t="s">
        <v>2816</v>
      </c>
      <c r="CM379" s="1699" t="s">
        <v>4446</v>
      </c>
      <c r="CN379" s="1699" t="s">
        <v>3681</v>
      </c>
      <c r="CO379" s="1699" t="s">
        <v>5560</v>
      </c>
      <c r="CP379" s="1699" t="s">
        <v>6165</v>
      </c>
      <c r="CW379" s="2252">
        <v>229</v>
      </c>
      <c r="CX379" s="2150" t="s">
        <v>75</v>
      </c>
    </row>
    <row r="380" spans="84:102" ht="15" x14ac:dyDescent="0.25">
      <c r="CF380" s="1661" t="s">
        <v>10196</v>
      </c>
      <c r="CG380" s="1661" t="s">
        <v>11196</v>
      </c>
      <c r="CL380" s="1699" t="s">
        <v>2815</v>
      </c>
      <c r="CM380" s="1699" t="s">
        <v>4447</v>
      </c>
      <c r="CN380" s="1699" t="s">
        <v>3680</v>
      </c>
      <c r="CO380" s="1699" t="s">
        <v>5559</v>
      </c>
      <c r="CP380" s="1699" t="s">
        <v>6164</v>
      </c>
      <c r="CW380" s="2252">
        <v>226</v>
      </c>
      <c r="CX380" s="2150" t="s">
        <v>75</v>
      </c>
    </row>
    <row r="381" spans="84:102" ht="15" x14ac:dyDescent="0.25">
      <c r="CF381" s="1661" t="s">
        <v>10197</v>
      </c>
      <c r="CG381" s="1661" t="s">
        <v>11197</v>
      </c>
      <c r="CL381" s="1699" t="s">
        <v>2814</v>
      </c>
      <c r="CM381" s="1699" t="s">
        <v>4448</v>
      </c>
      <c r="CN381" s="1699" t="s">
        <v>3679</v>
      </c>
      <c r="CO381" s="1699" t="s">
        <v>5558</v>
      </c>
      <c r="CP381" s="1699" t="s">
        <v>6163</v>
      </c>
      <c r="CW381" s="2252">
        <v>246</v>
      </c>
      <c r="CX381" s="2150" t="s">
        <v>75</v>
      </c>
    </row>
    <row r="382" spans="84:102" ht="15" x14ac:dyDescent="0.25">
      <c r="CF382" s="1661" t="s">
        <v>10198</v>
      </c>
      <c r="CG382" s="1661" t="s">
        <v>11198</v>
      </c>
      <c r="CL382" s="1699" t="s">
        <v>2813</v>
      </c>
      <c r="CM382" s="1699" t="s">
        <v>4449</v>
      </c>
      <c r="CN382" s="1699" t="s">
        <v>3678</v>
      </c>
      <c r="CO382" s="1699" t="s">
        <v>5557</v>
      </c>
      <c r="CP382" s="1699" t="s">
        <v>6162</v>
      </c>
      <c r="CW382" s="2252">
        <v>228</v>
      </c>
      <c r="CX382" s="2150" t="s">
        <v>75</v>
      </c>
    </row>
    <row r="383" spans="84:102" ht="15" x14ac:dyDescent="0.25">
      <c r="CF383" s="1661" t="s">
        <v>10199</v>
      </c>
      <c r="CG383" s="1661" t="s">
        <v>11199</v>
      </c>
      <c r="CL383" s="1699" t="s">
        <v>2812</v>
      </c>
      <c r="CM383" s="1699" t="s">
        <v>4450</v>
      </c>
      <c r="CN383" s="1699" t="s">
        <v>3677</v>
      </c>
      <c r="CO383" s="1699" t="s">
        <v>5556</v>
      </c>
      <c r="CP383" s="1699" t="s">
        <v>6161</v>
      </c>
      <c r="CW383" s="2252">
        <v>227</v>
      </c>
      <c r="CX383" s="2150" t="s">
        <v>75</v>
      </c>
    </row>
    <row r="384" spans="84:102" ht="15" x14ac:dyDescent="0.25">
      <c r="CF384" s="1661" t="s">
        <v>10200</v>
      </c>
      <c r="CG384" s="1661" t="s">
        <v>11200</v>
      </c>
      <c r="CL384" s="1699" t="s">
        <v>2811</v>
      </c>
      <c r="CM384" s="1699" t="s">
        <v>4451</v>
      </c>
      <c r="CN384" s="1699" t="s">
        <v>3676</v>
      </c>
      <c r="CO384" s="1699" t="s">
        <v>5555</v>
      </c>
      <c r="CP384" s="1699" t="s">
        <v>6160</v>
      </c>
      <c r="CW384" s="2252">
        <v>208</v>
      </c>
      <c r="CX384" s="2150" t="s">
        <v>75</v>
      </c>
    </row>
    <row r="385" spans="84:102" ht="15" x14ac:dyDescent="0.25">
      <c r="CF385" s="1661" t="s">
        <v>10201</v>
      </c>
      <c r="CG385" s="1661" t="s">
        <v>11201</v>
      </c>
      <c r="CL385" s="1699" t="s">
        <v>2810</v>
      </c>
      <c r="CM385" s="1699" t="s">
        <v>4452</v>
      </c>
      <c r="CN385" s="1699" t="s">
        <v>3675</v>
      </c>
      <c r="CO385" s="1699" t="s">
        <v>5554</v>
      </c>
      <c r="CP385" s="1699" t="s">
        <v>8195</v>
      </c>
      <c r="CW385" s="2252">
        <v>251</v>
      </c>
      <c r="CX385" s="2150" t="s">
        <v>75</v>
      </c>
    </row>
    <row r="386" spans="84:102" ht="15" x14ac:dyDescent="0.25">
      <c r="CF386" s="1661" t="s">
        <v>10202</v>
      </c>
      <c r="CG386" s="1661" t="s">
        <v>11202</v>
      </c>
      <c r="CL386" s="1699" t="s">
        <v>2809</v>
      </c>
      <c r="CM386" s="1699" t="s">
        <v>4453</v>
      </c>
      <c r="CN386" s="1699" t="s">
        <v>3674</v>
      </c>
      <c r="CO386" s="1699" t="s">
        <v>5553</v>
      </c>
      <c r="CP386" s="1699" t="s">
        <v>6159</v>
      </c>
      <c r="CW386" s="2252">
        <v>900</v>
      </c>
      <c r="CX386" s="2150" t="s">
        <v>75</v>
      </c>
    </row>
    <row r="387" spans="84:102" ht="15" x14ac:dyDescent="0.25">
      <c r="CF387" s="1661" t="s">
        <v>10203</v>
      </c>
      <c r="CG387" s="1661" t="s">
        <v>11203</v>
      </c>
      <c r="CL387" s="1699" t="s">
        <v>2808</v>
      </c>
      <c r="CM387" s="1699" t="s">
        <v>4454</v>
      </c>
      <c r="CN387" s="1699" t="s">
        <v>3673</v>
      </c>
      <c r="CO387" s="1699" t="s">
        <v>5552</v>
      </c>
      <c r="CP387" s="1699" t="s">
        <v>6158</v>
      </c>
      <c r="CW387" s="2252">
        <v>249</v>
      </c>
      <c r="CX387" s="2150" t="s">
        <v>8144</v>
      </c>
    </row>
    <row r="388" spans="84:102" ht="15" x14ac:dyDescent="0.25">
      <c r="CF388" s="1661" t="s">
        <v>10204</v>
      </c>
      <c r="CG388" s="1661" t="s">
        <v>11204</v>
      </c>
      <c r="CL388" s="1699" t="s">
        <v>2807</v>
      </c>
      <c r="CM388" s="1699" t="s">
        <v>4455</v>
      </c>
      <c r="CN388" s="1699" t="s">
        <v>3672</v>
      </c>
      <c r="CO388" s="1699" t="s">
        <v>5551</v>
      </c>
      <c r="CP388" s="1699" t="s">
        <v>6157</v>
      </c>
      <c r="CW388" s="2252">
        <v>263</v>
      </c>
      <c r="CX388" s="2150" t="s">
        <v>8144</v>
      </c>
    </row>
    <row r="389" spans="84:102" ht="15" x14ac:dyDescent="0.25">
      <c r="CF389" s="1661" t="s">
        <v>10205</v>
      </c>
      <c r="CG389" s="1661" t="s">
        <v>11205</v>
      </c>
      <c r="CL389" s="1699" t="s">
        <v>2806</v>
      </c>
      <c r="CM389" s="1699" t="s">
        <v>4456</v>
      </c>
      <c r="CN389" s="1699" t="s">
        <v>3671</v>
      </c>
      <c r="CO389" s="1699" t="s">
        <v>5550</v>
      </c>
      <c r="CP389" s="1699" t="s">
        <v>6156</v>
      </c>
      <c r="CW389" s="2252">
        <v>248</v>
      </c>
      <c r="CX389" s="2150" t="s">
        <v>8144</v>
      </c>
    </row>
    <row r="390" spans="84:102" ht="15" x14ac:dyDescent="0.25">
      <c r="CF390" s="1661" t="s">
        <v>10206</v>
      </c>
      <c r="CG390" s="1661" t="s">
        <v>11206</v>
      </c>
      <c r="CL390" s="1699" t="s">
        <v>2805</v>
      </c>
      <c r="CM390" s="1699" t="s">
        <v>4457</v>
      </c>
      <c r="CN390" s="1699" t="s">
        <v>3670</v>
      </c>
      <c r="CO390" s="1699" t="s">
        <v>5549</v>
      </c>
      <c r="CP390" s="1699" t="s">
        <v>6155</v>
      </c>
      <c r="CW390" s="2252">
        <v>741</v>
      </c>
      <c r="CX390" s="2150" t="s">
        <v>76</v>
      </c>
    </row>
    <row r="391" spans="84:102" ht="15" x14ac:dyDescent="0.25">
      <c r="CF391" s="1661" t="s">
        <v>10207</v>
      </c>
      <c r="CG391" s="1661" t="s">
        <v>11207</v>
      </c>
      <c r="CL391" s="1699" t="s">
        <v>2804</v>
      </c>
      <c r="CM391" s="1699" t="s">
        <v>4458</v>
      </c>
      <c r="CN391" s="1699" t="s">
        <v>3669</v>
      </c>
      <c r="CO391" s="1699" t="s">
        <v>5548</v>
      </c>
      <c r="CP391" s="1699" t="s">
        <v>6154</v>
      </c>
      <c r="CW391" s="2252">
        <v>721</v>
      </c>
      <c r="CX391" s="2150" t="s">
        <v>76</v>
      </c>
    </row>
    <row r="392" spans="84:102" ht="15" x14ac:dyDescent="0.25">
      <c r="CF392" s="1661" t="s">
        <v>10208</v>
      </c>
      <c r="CG392" s="1661" t="s">
        <v>11208</v>
      </c>
      <c r="CL392" s="1699" t="s">
        <v>2803</v>
      </c>
      <c r="CM392" s="1699" t="s">
        <v>4459</v>
      </c>
      <c r="CN392" s="1699" t="s">
        <v>3668</v>
      </c>
      <c r="CO392" s="1699" t="s">
        <v>5547</v>
      </c>
      <c r="CP392" s="1699" t="s">
        <v>6786</v>
      </c>
      <c r="CW392" s="2252">
        <v>700</v>
      </c>
      <c r="CX392" s="2150" t="s">
        <v>76</v>
      </c>
    </row>
    <row r="393" spans="84:102" ht="15" x14ac:dyDescent="0.25">
      <c r="CF393" s="1661" t="s">
        <v>10209</v>
      </c>
      <c r="CG393" s="1661" t="s">
        <v>11209</v>
      </c>
      <c r="CL393" s="1699" t="s">
        <v>2802</v>
      </c>
      <c r="CM393" s="1699" t="s">
        <v>4460</v>
      </c>
      <c r="CN393" s="1699" t="s">
        <v>3667</v>
      </c>
      <c r="CO393" s="1699" t="s">
        <v>5546</v>
      </c>
      <c r="CP393" s="1699" t="s">
        <v>6153</v>
      </c>
      <c r="CW393" s="2252">
        <v>742</v>
      </c>
      <c r="CX393" s="2150" t="s">
        <v>76</v>
      </c>
    </row>
    <row r="394" spans="84:102" ht="15" x14ac:dyDescent="0.25">
      <c r="CF394" s="1661" t="s">
        <v>10210</v>
      </c>
      <c r="CG394" s="1661" t="s">
        <v>11210</v>
      </c>
      <c r="CL394" s="1699" t="s">
        <v>2801</v>
      </c>
      <c r="CM394" s="1699" t="s">
        <v>4461</v>
      </c>
      <c r="CN394" s="1699" t="s">
        <v>3666</v>
      </c>
      <c r="CO394" s="1699" t="s">
        <v>5545</v>
      </c>
      <c r="CP394" s="1699" t="s">
        <v>6152</v>
      </c>
      <c r="CW394" s="2252">
        <v>711</v>
      </c>
      <c r="CX394" s="2150" t="s">
        <v>76</v>
      </c>
    </row>
    <row r="395" spans="84:102" ht="15" x14ac:dyDescent="0.25">
      <c r="CF395" s="1661" t="s">
        <v>10211</v>
      </c>
      <c r="CG395" s="1661" t="s">
        <v>11211</v>
      </c>
      <c r="CL395" s="1699" t="s">
        <v>2800</v>
      </c>
      <c r="CM395" s="1699" t="s">
        <v>4462</v>
      </c>
      <c r="CN395" s="1699" t="s">
        <v>3665</v>
      </c>
      <c r="CO395" s="1699" t="s">
        <v>5544</v>
      </c>
      <c r="CP395" s="1699" t="s">
        <v>6151</v>
      </c>
      <c r="CW395" s="2252">
        <v>743</v>
      </c>
      <c r="CX395" s="2150" t="s">
        <v>76</v>
      </c>
    </row>
    <row r="396" spans="84:102" ht="15" x14ac:dyDescent="0.25">
      <c r="CF396" s="1661" t="s">
        <v>10212</v>
      </c>
      <c r="CG396" s="1661" t="s">
        <v>11212</v>
      </c>
      <c r="CL396" s="1699" t="s">
        <v>2799</v>
      </c>
      <c r="CM396" s="1699" t="s">
        <v>4463</v>
      </c>
      <c r="CN396" s="1699" t="s">
        <v>3664</v>
      </c>
      <c r="CO396" s="1699" t="s">
        <v>5543</v>
      </c>
      <c r="CP396" s="1699" t="s">
        <v>6150</v>
      </c>
      <c r="CW396" s="2252">
        <v>731</v>
      </c>
      <c r="CX396" s="2150" t="s">
        <v>76</v>
      </c>
    </row>
    <row r="397" spans="84:102" ht="15" x14ac:dyDescent="0.25">
      <c r="CF397" s="1661" t="s">
        <v>10213</v>
      </c>
      <c r="CG397" s="1661" t="s">
        <v>11213</v>
      </c>
      <c r="CL397" s="1699" t="s">
        <v>2798</v>
      </c>
      <c r="CM397" s="1699" t="s">
        <v>4464</v>
      </c>
      <c r="CN397" s="1699" t="s">
        <v>3663</v>
      </c>
      <c r="CO397" s="1699" t="s">
        <v>5542</v>
      </c>
      <c r="CP397" s="1699" t="s">
        <v>6149</v>
      </c>
      <c r="CW397" s="2252">
        <v>736</v>
      </c>
      <c r="CX397" s="2150" t="s">
        <v>76</v>
      </c>
    </row>
    <row r="398" spans="84:102" ht="15" x14ac:dyDescent="0.25">
      <c r="CF398" s="1661" t="s">
        <v>10214</v>
      </c>
      <c r="CG398" s="1661" t="s">
        <v>11214</v>
      </c>
      <c r="CL398" s="1699" t="s">
        <v>2797</v>
      </c>
      <c r="CM398" s="1699" t="s">
        <v>4465</v>
      </c>
      <c r="CN398" s="1699" t="s">
        <v>3662</v>
      </c>
      <c r="CO398" s="1699" t="s">
        <v>5541</v>
      </c>
      <c r="CP398" s="1699" t="s">
        <v>6148</v>
      </c>
      <c r="CW398" s="2252">
        <v>713</v>
      </c>
      <c r="CX398" s="2150" t="s">
        <v>76</v>
      </c>
    </row>
    <row r="399" spans="84:102" ht="15" x14ac:dyDescent="0.25">
      <c r="CF399" s="1661" t="s">
        <v>10215</v>
      </c>
      <c r="CG399" s="1661" t="s">
        <v>11215</v>
      </c>
      <c r="CL399" s="1699" t="s">
        <v>2796</v>
      </c>
      <c r="CM399" s="1699" t="s">
        <v>4466</v>
      </c>
      <c r="CN399" s="1699" t="s">
        <v>3661</v>
      </c>
      <c r="CO399" s="1699" t="s">
        <v>5540</v>
      </c>
      <c r="CP399" s="1699" t="s">
        <v>6147</v>
      </c>
      <c r="CW399" s="2252">
        <v>722</v>
      </c>
      <c r="CX399" s="2150" t="s">
        <v>76</v>
      </c>
    </row>
    <row r="400" spans="84:102" ht="15" x14ac:dyDescent="0.25">
      <c r="CF400" s="1661" t="s">
        <v>10216</v>
      </c>
      <c r="CG400" s="1661" t="s">
        <v>11216</v>
      </c>
      <c r="CL400" s="1699" t="s">
        <v>2795</v>
      </c>
      <c r="CM400" s="1699" t="s">
        <v>4467</v>
      </c>
      <c r="CN400" s="1699" t="s">
        <v>3660</v>
      </c>
      <c r="CO400" s="1699" t="s">
        <v>5539</v>
      </c>
      <c r="CP400" s="1699" t="s">
        <v>6146</v>
      </c>
      <c r="CW400" s="2252">
        <v>733</v>
      </c>
      <c r="CX400" s="2150" t="s">
        <v>76</v>
      </c>
    </row>
    <row r="401" spans="84:102" ht="15" x14ac:dyDescent="0.25">
      <c r="CF401" s="1661" t="s">
        <v>10217</v>
      </c>
      <c r="CG401" s="1661" t="s">
        <v>11217</v>
      </c>
      <c r="CL401" s="1699" t="s">
        <v>2794</v>
      </c>
      <c r="CM401" s="1699" t="s">
        <v>4468</v>
      </c>
      <c r="CN401" s="1699" t="s">
        <v>3659</v>
      </c>
      <c r="CO401" s="1699" t="s">
        <v>5538</v>
      </c>
      <c r="CP401" s="1699" t="s">
        <v>6145</v>
      </c>
      <c r="CW401" s="2252">
        <v>735</v>
      </c>
      <c r="CX401" s="2150" t="s">
        <v>76</v>
      </c>
    </row>
    <row r="402" spans="84:102" ht="15" x14ac:dyDescent="0.25">
      <c r="CF402" s="1661" t="s">
        <v>10218</v>
      </c>
      <c r="CG402" s="1661" t="s">
        <v>11218</v>
      </c>
      <c r="CL402" s="1699" t="s">
        <v>2793</v>
      </c>
      <c r="CM402" s="1699" t="s">
        <v>4469</v>
      </c>
      <c r="CN402" s="1699" t="s">
        <v>3658</v>
      </c>
      <c r="CO402" s="1699" t="s">
        <v>5537</v>
      </c>
      <c r="CP402" s="1699" t="s">
        <v>6144</v>
      </c>
      <c r="CW402" s="2252">
        <v>732</v>
      </c>
      <c r="CX402" s="2150" t="s">
        <v>76</v>
      </c>
    </row>
    <row r="403" spans="84:102" ht="15" x14ac:dyDescent="0.25">
      <c r="CF403" s="1661" t="s">
        <v>10219</v>
      </c>
      <c r="CG403" s="1661" t="s">
        <v>11219</v>
      </c>
      <c r="CL403" s="1699" t="s">
        <v>2792</v>
      </c>
      <c r="CM403" s="1699" t="s">
        <v>4470</v>
      </c>
      <c r="CN403" s="1699" t="s">
        <v>3657</v>
      </c>
      <c r="CO403" s="1699" t="s">
        <v>5536</v>
      </c>
      <c r="CP403" s="1699" t="s">
        <v>6143</v>
      </c>
      <c r="CW403" s="2252">
        <v>712</v>
      </c>
      <c r="CX403" s="2150" t="s">
        <v>76</v>
      </c>
    </row>
    <row r="404" spans="84:102" ht="15" x14ac:dyDescent="0.25">
      <c r="CF404" s="1661" t="s">
        <v>10220</v>
      </c>
      <c r="CG404" s="1661" t="s">
        <v>11220</v>
      </c>
      <c r="CL404" s="1699" t="s">
        <v>2791</v>
      </c>
      <c r="CM404" s="1699" t="s">
        <v>4471</v>
      </c>
      <c r="CN404" s="1699" t="s">
        <v>3656</v>
      </c>
      <c r="CO404" s="1699" t="s">
        <v>5535</v>
      </c>
      <c r="CP404" s="1699" t="s">
        <v>6142</v>
      </c>
      <c r="CW404" s="2252">
        <v>723</v>
      </c>
      <c r="CX404" s="2150" t="s">
        <v>76</v>
      </c>
    </row>
    <row r="405" spans="84:102" ht="15" x14ac:dyDescent="0.25">
      <c r="CF405" s="1661" t="s">
        <v>10221</v>
      </c>
      <c r="CG405" s="1661" t="s">
        <v>11221</v>
      </c>
      <c r="CL405" s="1699" t="s">
        <v>2790</v>
      </c>
      <c r="CM405" s="1699" t="s">
        <v>4472</v>
      </c>
      <c r="CN405" s="1699" t="s">
        <v>3655</v>
      </c>
      <c r="CO405" s="1699" t="s">
        <v>5534</v>
      </c>
      <c r="CP405" s="1699" t="s">
        <v>8194</v>
      </c>
      <c r="CW405" s="2252">
        <v>734</v>
      </c>
      <c r="CX405" s="2150" t="s">
        <v>76</v>
      </c>
    </row>
    <row r="406" spans="84:102" x14ac:dyDescent="0.2">
      <c r="CF406" s="1661" t="s">
        <v>10222</v>
      </c>
      <c r="CG406" s="1661" t="s">
        <v>11222</v>
      </c>
      <c r="CL406" s="1699" t="s">
        <v>2789</v>
      </c>
      <c r="CM406" s="1699" t="s">
        <v>4473</v>
      </c>
      <c r="CN406" s="1699" t="s">
        <v>3654</v>
      </c>
      <c r="CO406" s="1699" t="s">
        <v>5533</v>
      </c>
      <c r="CP406" s="1699" t="s">
        <v>6141</v>
      </c>
    </row>
    <row r="407" spans="84:102" x14ac:dyDescent="0.2">
      <c r="CF407" s="1661" t="s">
        <v>10223</v>
      </c>
      <c r="CG407" s="1661" t="s">
        <v>11223</v>
      </c>
      <c r="CL407" s="1699" t="s">
        <v>2788</v>
      </c>
      <c r="CM407" s="1699" t="s">
        <v>4474</v>
      </c>
      <c r="CN407" s="1699" t="s">
        <v>3653</v>
      </c>
      <c r="CO407" s="1699" t="s">
        <v>5532</v>
      </c>
      <c r="CP407" s="1699" t="s">
        <v>6140</v>
      </c>
    </row>
    <row r="408" spans="84:102" x14ac:dyDescent="0.2">
      <c r="CF408" s="1661" t="s">
        <v>10224</v>
      </c>
      <c r="CG408" s="1661" t="s">
        <v>11224</v>
      </c>
      <c r="CL408" s="1699" t="s">
        <v>2787</v>
      </c>
      <c r="CM408" s="1699" t="s">
        <v>4475</v>
      </c>
      <c r="CN408" s="1699" t="s">
        <v>3652</v>
      </c>
      <c r="CO408" s="1699" t="s">
        <v>5531</v>
      </c>
      <c r="CP408" s="1699" t="s">
        <v>6139</v>
      </c>
    </row>
    <row r="409" spans="84:102" x14ac:dyDescent="0.2">
      <c r="CF409" s="1661" t="s">
        <v>10225</v>
      </c>
      <c r="CG409" s="1661" t="s">
        <v>11225</v>
      </c>
      <c r="CL409" s="1699" t="s">
        <v>2786</v>
      </c>
      <c r="CM409" s="1699" t="s">
        <v>4476</v>
      </c>
      <c r="CN409" s="1699" t="s">
        <v>3651</v>
      </c>
      <c r="CO409" s="1699" t="s">
        <v>5530</v>
      </c>
      <c r="CP409" s="1699" t="s">
        <v>6138</v>
      </c>
    </row>
    <row r="410" spans="84:102" x14ac:dyDescent="0.2">
      <c r="CF410" s="1661" t="s">
        <v>10226</v>
      </c>
      <c r="CG410" s="1661" t="s">
        <v>11226</v>
      </c>
      <c r="CL410" s="1699" t="s">
        <v>2785</v>
      </c>
      <c r="CM410" s="1699" t="s">
        <v>4477</v>
      </c>
      <c r="CN410" s="1699" t="s">
        <v>3650</v>
      </c>
      <c r="CO410" s="1699" t="s">
        <v>5529</v>
      </c>
      <c r="CP410" s="1699" t="s">
        <v>6137</v>
      </c>
    </row>
    <row r="411" spans="84:102" x14ac:dyDescent="0.2">
      <c r="CF411" s="1661" t="s">
        <v>10227</v>
      </c>
      <c r="CG411" s="1661" t="s">
        <v>11227</v>
      </c>
      <c r="CL411" s="1699" t="s">
        <v>2784</v>
      </c>
      <c r="CM411" s="1699" t="s">
        <v>4478</v>
      </c>
      <c r="CN411" s="1699" t="s">
        <v>3649</v>
      </c>
      <c r="CO411" s="1699" t="s">
        <v>5528</v>
      </c>
      <c r="CP411" s="1699" t="s">
        <v>6136</v>
      </c>
    </row>
    <row r="412" spans="84:102" x14ac:dyDescent="0.2">
      <c r="CF412" s="1661" t="s">
        <v>10228</v>
      </c>
      <c r="CG412" s="1661" t="s">
        <v>11228</v>
      </c>
      <c r="CL412" s="1699" t="s">
        <v>2783</v>
      </c>
      <c r="CM412" s="1699" t="s">
        <v>4479</v>
      </c>
      <c r="CN412" s="1699" t="s">
        <v>3648</v>
      </c>
      <c r="CO412" s="1699" t="s">
        <v>5527</v>
      </c>
      <c r="CP412" s="1699" t="s">
        <v>6135</v>
      </c>
    </row>
    <row r="413" spans="84:102" x14ac:dyDescent="0.2">
      <c r="CF413" s="1661" t="s">
        <v>10229</v>
      </c>
      <c r="CG413" s="1661" t="s">
        <v>11229</v>
      </c>
      <c r="CL413" s="1699" t="s">
        <v>2782</v>
      </c>
      <c r="CM413" s="1699" t="s">
        <v>4480</v>
      </c>
      <c r="CN413" s="1699" t="s">
        <v>3647</v>
      </c>
      <c r="CO413" s="1699" t="s">
        <v>5526</v>
      </c>
      <c r="CP413" s="1699" t="s">
        <v>6134</v>
      </c>
    </row>
    <row r="414" spans="84:102" x14ac:dyDescent="0.2">
      <c r="CF414" s="1661" t="s">
        <v>10230</v>
      </c>
      <c r="CG414" s="1661" t="s">
        <v>11230</v>
      </c>
      <c r="CL414" s="1699" t="s">
        <v>2781</v>
      </c>
      <c r="CM414" s="1699" t="s">
        <v>4481</v>
      </c>
      <c r="CN414" s="1699" t="s">
        <v>3646</v>
      </c>
      <c r="CO414" s="1699" t="s">
        <v>5525</v>
      </c>
      <c r="CP414" s="1699" t="s">
        <v>6133</v>
      </c>
    </row>
    <row r="415" spans="84:102" x14ac:dyDescent="0.2">
      <c r="CF415" s="1661" t="s">
        <v>10231</v>
      </c>
      <c r="CG415" s="1661" t="s">
        <v>11231</v>
      </c>
      <c r="CL415" s="1699" t="s">
        <v>2780</v>
      </c>
      <c r="CM415" s="1699" t="s">
        <v>4482</v>
      </c>
      <c r="CN415" s="1699" t="s">
        <v>3645</v>
      </c>
      <c r="CO415" s="1699" t="s">
        <v>5524</v>
      </c>
      <c r="CP415" s="1699" t="s">
        <v>6132</v>
      </c>
    </row>
    <row r="416" spans="84:102" x14ac:dyDescent="0.2">
      <c r="CF416" s="1661" t="s">
        <v>10232</v>
      </c>
      <c r="CG416" s="1661" t="s">
        <v>11232</v>
      </c>
      <c r="CL416" s="1699" t="s">
        <v>2779</v>
      </c>
      <c r="CM416" s="1699" t="s">
        <v>4483</v>
      </c>
      <c r="CN416" s="1699" t="s">
        <v>3644</v>
      </c>
      <c r="CO416" s="1699" t="s">
        <v>5523</v>
      </c>
      <c r="CP416" s="1699" t="s">
        <v>6131</v>
      </c>
    </row>
    <row r="417" spans="84:94" x14ac:dyDescent="0.2">
      <c r="CF417" s="1661" t="s">
        <v>10233</v>
      </c>
      <c r="CG417" s="1661" t="s">
        <v>11233</v>
      </c>
      <c r="CL417" s="1699" t="s">
        <v>2778</v>
      </c>
      <c r="CM417" s="1699" t="s">
        <v>4484</v>
      </c>
      <c r="CN417" s="1699" t="s">
        <v>3643</v>
      </c>
      <c r="CO417" s="1699" t="s">
        <v>5522</v>
      </c>
      <c r="CP417" s="1699" t="s">
        <v>6130</v>
      </c>
    </row>
    <row r="418" spans="84:94" x14ac:dyDescent="0.2">
      <c r="CF418" s="1661" t="s">
        <v>10234</v>
      </c>
      <c r="CG418" s="1661" t="s">
        <v>11234</v>
      </c>
      <c r="CL418" s="1699" t="s">
        <v>2777</v>
      </c>
      <c r="CM418" s="1699" t="s">
        <v>4485</v>
      </c>
      <c r="CN418" s="1699" t="s">
        <v>3642</v>
      </c>
      <c r="CO418" s="1699" t="s">
        <v>5521</v>
      </c>
      <c r="CP418" s="1699" t="s">
        <v>6129</v>
      </c>
    </row>
    <row r="419" spans="84:94" x14ac:dyDescent="0.2">
      <c r="CF419" s="1661" t="s">
        <v>10235</v>
      </c>
      <c r="CG419" s="1661" t="s">
        <v>11235</v>
      </c>
      <c r="CL419" s="1699" t="s">
        <v>2776</v>
      </c>
      <c r="CM419" s="1699" t="s">
        <v>4486</v>
      </c>
      <c r="CN419" s="1699" t="s">
        <v>3641</v>
      </c>
      <c r="CO419" s="1699" t="s">
        <v>5520</v>
      </c>
      <c r="CP419" s="1699" t="s">
        <v>6128</v>
      </c>
    </row>
    <row r="420" spans="84:94" x14ac:dyDescent="0.2">
      <c r="CF420" s="1661" t="s">
        <v>10236</v>
      </c>
      <c r="CG420" s="1661" t="s">
        <v>11236</v>
      </c>
      <c r="CL420" s="1699" t="s">
        <v>2775</v>
      </c>
      <c r="CM420" s="1699" t="s">
        <v>4487</v>
      </c>
      <c r="CN420" s="1699" t="s">
        <v>3640</v>
      </c>
      <c r="CO420" s="1699" t="s">
        <v>5519</v>
      </c>
      <c r="CP420" s="1699" t="s">
        <v>6127</v>
      </c>
    </row>
    <row r="421" spans="84:94" x14ac:dyDescent="0.2">
      <c r="CF421" s="1661" t="s">
        <v>10237</v>
      </c>
      <c r="CG421" s="1661" t="s">
        <v>11237</v>
      </c>
      <c r="CL421" s="1699" t="s">
        <v>2774</v>
      </c>
      <c r="CM421" s="1699" t="s">
        <v>4488</v>
      </c>
      <c r="CN421" s="1699" t="s">
        <v>3639</v>
      </c>
      <c r="CO421" s="1699" t="s">
        <v>5518</v>
      </c>
      <c r="CP421" s="1699" t="s">
        <v>6126</v>
      </c>
    </row>
    <row r="422" spans="84:94" x14ac:dyDescent="0.2">
      <c r="CF422" s="1661" t="s">
        <v>10238</v>
      </c>
      <c r="CG422" s="1661" t="s">
        <v>11238</v>
      </c>
      <c r="CL422" s="1699" t="s">
        <v>2773</v>
      </c>
      <c r="CM422" s="1699" t="s">
        <v>4489</v>
      </c>
      <c r="CN422" s="1699" t="s">
        <v>3638</v>
      </c>
      <c r="CO422" s="1699" t="s">
        <v>5517</v>
      </c>
      <c r="CP422" s="1699" t="s">
        <v>6125</v>
      </c>
    </row>
    <row r="423" spans="84:94" x14ac:dyDescent="0.2">
      <c r="CF423" s="1661" t="s">
        <v>10239</v>
      </c>
      <c r="CG423" s="1661" t="s">
        <v>11239</v>
      </c>
      <c r="CL423" s="1699" t="s">
        <v>2772</v>
      </c>
      <c r="CM423" s="1699" t="s">
        <v>4490</v>
      </c>
      <c r="CN423" s="1699" t="s">
        <v>3637</v>
      </c>
      <c r="CO423" s="1699" t="s">
        <v>5516</v>
      </c>
      <c r="CP423" s="1699" t="s">
        <v>6124</v>
      </c>
    </row>
    <row r="424" spans="84:94" x14ac:dyDescent="0.2">
      <c r="CF424" s="1661" t="s">
        <v>10240</v>
      </c>
      <c r="CG424" s="1661" t="s">
        <v>11240</v>
      </c>
      <c r="CL424" s="1699" t="s">
        <v>2771</v>
      </c>
      <c r="CM424" s="1699" t="s">
        <v>4491</v>
      </c>
      <c r="CN424" s="1699" t="s">
        <v>3636</v>
      </c>
      <c r="CO424" s="1699" t="s">
        <v>5515</v>
      </c>
      <c r="CP424" s="1699" t="s">
        <v>6123</v>
      </c>
    </row>
    <row r="425" spans="84:94" x14ac:dyDescent="0.2">
      <c r="CF425" s="1661" t="s">
        <v>10241</v>
      </c>
      <c r="CG425" s="1661" t="s">
        <v>11241</v>
      </c>
      <c r="CL425" s="1699" t="s">
        <v>2770</v>
      </c>
      <c r="CM425" s="1699" t="s">
        <v>4492</v>
      </c>
      <c r="CN425" s="1699" t="s">
        <v>3635</v>
      </c>
      <c r="CO425" s="1699" t="s">
        <v>5514</v>
      </c>
      <c r="CP425" s="1699" t="s">
        <v>6122</v>
      </c>
    </row>
    <row r="426" spans="84:94" x14ac:dyDescent="0.2">
      <c r="CF426" s="1661" t="s">
        <v>10242</v>
      </c>
      <c r="CG426" s="1661" t="s">
        <v>11242</v>
      </c>
      <c r="CL426" s="1699" t="s">
        <v>2769</v>
      </c>
      <c r="CM426" s="1699" t="s">
        <v>4493</v>
      </c>
      <c r="CN426" s="1699" t="s">
        <v>3634</v>
      </c>
      <c r="CO426" s="1699" t="s">
        <v>5513</v>
      </c>
      <c r="CP426" s="1699" t="s">
        <v>6121</v>
      </c>
    </row>
    <row r="427" spans="84:94" x14ac:dyDescent="0.2">
      <c r="CF427" s="1661" t="s">
        <v>10243</v>
      </c>
      <c r="CG427" s="1661" t="s">
        <v>11243</v>
      </c>
      <c r="CL427" s="1699" t="s">
        <v>2768</v>
      </c>
      <c r="CM427" s="1699" t="s">
        <v>4494</v>
      </c>
      <c r="CN427" s="1699" t="s">
        <v>3633</v>
      </c>
      <c r="CO427" s="1699" t="s">
        <v>5512</v>
      </c>
      <c r="CP427" s="1699" t="s">
        <v>6120</v>
      </c>
    </row>
    <row r="428" spans="84:94" x14ac:dyDescent="0.2">
      <c r="CF428" s="1661" t="s">
        <v>10244</v>
      </c>
      <c r="CG428" s="1661" t="s">
        <v>11244</v>
      </c>
      <c r="CL428" s="1699" t="s">
        <v>2767</v>
      </c>
      <c r="CM428" s="1699" t="s">
        <v>4495</v>
      </c>
      <c r="CN428" s="1699" t="s">
        <v>3632</v>
      </c>
      <c r="CO428" s="1699" t="s">
        <v>5511</v>
      </c>
      <c r="CP428" s="1699" t="s">
        <v>6119</v>
      </c>
    </row>
    <row r="429" spans="84:94" x14ac:dyDescent="0.2">
      <c r="CF429" s="1661" t="s">
        <v>10245</v>
      </c>
      <c r="CG429" s="1661" t="s">
        <v>11245</v>
      </c>
      <c r="CL429" s="1699" t="s">
        <v>2766</v>
      </c>
      <c r="CM429" s="1699" t="s">
        <v>4496</v>
      </c>
      <c r="CN429" s="1699" t="s">
        <v>3631</v>
      </c>
      <c r="CO429" s="1699" t="s">
        <v>5510</v>
      </c>
      <c r="CP429" s="1699" t="s">
        <v>6118</v>
      </c>
    </row>
    <row r="430" spans="84:94" x14ac:dyDescent="0.2">
      <c r="CF430" s="1661" t="s">
        <v>10246</v>
      </c>
      <c r="CG430" s="1661" t="s">
        <v>11246</v>
      </c>
      <c r="CL430" s="1699" t="s">
        <v>2765</v>
      </c>
      <c r="CM430" s="1699" t="s">
        <v>4497</v>
      </c>
      <c r="CN430" s="1699" t="s">
        <v>3630</v>
      </c>
      <c r="CO430" s="1699" t="s">
        <v>5509</v>
      </c>
      <c r="CP430" s="1699" t="s">
        <v>6117</v>
      </c>
    </row>
    <row r="431" spans="84:94" x14ac:dyDescent="0.2">
      <c r="CF431" s="1661" t="s">
        <v>10247</v>
      </c>
      <c r="CG431" s="1661" t="s">
        <v>11247</v>
      </c>
      <c r="CL431" s="1699" t="s">
        <v>2764</v>
      </c>
      <c r="CM431" s="1699" t="s">
        <v>4498</v>
      </c>
      <c r="CN431" s="1699" t="s">
        <v>3629</v>
      </c>
      <c r="CO431" s="1699" t="s">
        <v>5508</v>
      </c>
      <c r="CP431" s="1699" t="s">
        <v>6116</v>
      </c>
    </row>
    <row r="432" spans="84:94" x14ac:dyDescent="0.2">
      <c r="CF432" s="1661" t="s">
        <v>10248</v>
      </c>
      <c r="CG432" s="1661" t="s">
        <v>11248</v>
      </c>
      <c r="CL432" s="1699" t="s">
        <v>2763</v>
      </c>
      <c r="CM432" s="1699" t="s">
        <v>4499</v>
      </c>
      <c r="CN432" s="1699" t="s">
        <v>3628</v>
      </c>
      <c r="CO432" s="1699" t="s">
        <v>5507</v>
      </c>
      <c r="CP432" s="1699" t="s">
        <v>6115</v>
      </c>
    </row>
    <row r="433" spans="84:94" x14ac:dyDescent="0.2">
      <c r="CF433" s="1661" t="s">
        <v>10249</v>
      </c>
      <c r="CG433" s="1661" t="s">
        <v>11249</v>
      </c>
      <c r="CL433" s="1699" t="s">
        <v>2762</v>
      </c>
      <c r="CM433" s="1699" t="s">
        <v>4500</v>
      </c>
      <c r="CN433" s="1699" t="s">
        <v>3627</v>
      </c>
      <c r="CO433" s="1699" t="s">
        <v>5506</v>
      </c>
      <c r="CP433" s="1699" t="s">
        <v>6114</v>
      </c>
    </row>
    <row r="434" spans="84:94" x14ac:dyDescent="0.2">
      <c r="CF434" s="1661" t="s">
        <v>10250</v>
      </c>
      <c r="CG434" s="1661" t="s">
        <v>11250</v>
      </c>
      <c r="CL434" s="1699" t="s">
        <v>2761</v>
      </c>
      <c r="CM434" s="1699" t="s">
        <v>4501</v>
      </c>
      <c r="CN434" s="1699" t="s">
        <v>3626</v>
      </c>
      <c r="CO434" s="1699" t="s">
        <v>5505</v>
      </c>
      <c r="CP434" s="1699" t="s">
        <v>6113</v>
      </c>
    </row>
    <row r="435" spans="84:94" x14ac:dyDescent="0.2">
      <c r="CF435" s="1661" t="s">
        <v>10251</v>
      </c>
      <c r="CG435" s="1661" t="s">
        <v>11251</v>
      </c>
      <c r="CL435" s="1699" t="s">
        <v>2760</v>
      </c>
      <c r="CM435" s="1699" t="s">
        <v>4502</v>
      </c>
      <c r="CN435" s="1699" t="s">
        <v>3625</v>
      </c>
      <c r="CO435" s="1699" t="s">
        <v>5504</v>
      </c>
      <c r="CP435" s="1699" t="s">
        <v>6112</v>
      </c>
    </row>
    <row r="436" spans="84:94" x14ac:dyDescent="0.2">
      <c r="CF436" s="1661" t="s">
        <v>10252</v>
      </c>
      <c r="CG436" s="1661" t="s">
        <v>11252</v>
      </c>
      <c r="CL436" s="1699" t="s">
        <v>2759</v>
      </c>
      <c r="CM436" s="1699" t="s">
        <v>4503</v>
      </c>
      <c r="CN436" s="1699" t="s">
        <v>3624</v>
      </c>
      <c r="CO436" s="1699" t="s">
        <v>5503</v>
      </c>
      <c r="CP436" s="1699" t="s">
        <v>6111</v>
      </c>
    </row>
    <row r="437" spans="84:94" x14ac:dyDescent="0.2">
      <c r="CF437" s="1661" t="s">
        <v>10253</v>
      </c>
      <c r="CG437" s="1661" t="s">
        <v>11253</v>
      </c>
      <c r="CL437" s="1699" t="s">
        <v>2758</v>
      </c>
      <c r="CM437" s="1699" t="s">
        <v>4504</v>
      </c>
      <c r="CN437" s="1699" t="s">
        <v>3623</v>
      </c>
      <c r="CO437" s="1699" t="s">
        <v>5502</v>
      </c>
      <c r="CP437" s="1699" t="s">
        <v>6110</v>
      </c>
    </row>
    <row r="438" spans="84:94" x14ac:dyDescent="0.2">
      <c r="CF438" s="1661" t="s">
        <v>10254</v>
      </c>
      <c r="CG438" s="1661" t="s">
        <v>11254</v>
      </c>
      <c r="CL438" s="1699" t="s">
        <v>2757</v>
      </c>
      <c r="CM438" s="1699" t="s">
        <v>4505</v>
      </c>
      <c r="CN438" s="1699" t="s">
        <v>3622</v>
      </c>
      <c r="CO438" s="1699" t="s">
        <v>5501</v>
      </c>
      <c r="CP438" s="1699" t="s">
        <v>6109</v>
      </c>
    </row>
    <row r="439" spans="84:94" x14ac:dyDescent="0.2">
      <c r="CF439" s="1661" t="s">
        <v>10255</v>
      </c>
      <c r="CG439" s="1661" t="s">
        <v>11255</v>
      </c>
      <c r="CL439" s="1699" t="s">
        <v>2756</v>
      </c>
      <c r="CM439" s="1699" t="s">
        <v>4506</v>
      </c>
      <c r="CN439" s="1699" t="s">
        <v>3621</v>
      </c>
      <c r="CO439" s="1699" t="s">
        <v>5500</v>
      </c>
      <c r="CP439" s="1699" t="s">
        <v>6108</v>
      </c>
    </row>
    <row r="440" spans="84:94" x14ac:dyDescent="0.2">
      <c r="CF440" s="1661" t="s">
        <v>10256</v>
      </c>
      <c r="CG440" s="1661" t="s">
        <v>11256</v>
      </c>
      <c r="CL440" s="1699" t="s">
        <v>2755</v>
      </c>
      <c r="CM440" s="1699" t="s">
        <v>4507</v>
      </c>
      <c r="CN440" s="1699" t="s">
        <v>3620</v>
      </c>
      <c r="CO440" s="1699" t="s">
        <v>5499</v>
      </c>
      <c r="CP440" s="1699" t="s">
        <v>6107</v>
      </c>
    </row>
    <row r="441" spans="84:94" x14ac:dyDescent="0.2">
      <c r="CF441" s="1661" t="s">
        <v>10257</v>
      </c>
      <c r="CG441" s="1661" t="s">
        <v>11257</v>
      </c>
      <c r="CL441" s="1699" t="s">
        <v>2754</v>
      </c>
      <c r="CM441" s="1699" t="s">
        <v>4508</v>
      </c>
      <c r="CN441" s="1699" t="s">
        <v>3619</v>
      </c>
      <c r="CO441" s="1699" t="s">
        <v>5498</v>
      </c>
      <c r="CP441" s="1699" t="s">
        <v>6106</v>
      </c>
    </row>
    <row r="442" spans="84:94" x14ac:dyDescent="0.2">
      <c r="CF442" s="1661" t="s">
        <v>10258</v>
      </c>
      <c r="CG442" s="1661" t="s">
        <v>11258</v>
      </c>
      <c r="CL442" s="1699" t="s">
        <v>2753</v>
      </c>
      <c r="CM442" s="1699" t="s">
        <v>4509</v>
      </c>
      <c r="CN442" s="1699" t="s">
        <v>3618</v>
      </c>
      <c r="CO442" s="1699" t="s">
        <v>5497</v>
      </c>
      <c r="CP442" s="1699" t="s">
        <v>6105</v>
      </c>
    </row>
    <row r="443" spans="84:94" x14ac:dyDescent="0.2">
      <c r="CF443" s="1661" t="s">
        <v>10259</v>
      </c>
      <c r="CG443" s="1661" t="s">
        <v>11259</v>
      </c>
      <c r="CL443" s="1699" t="s">
        <v>2752</v>
      </c>
      <c r="CM443" s="1699" t="s">
        <v>4510</v>
      </c>
      <c r="CN443" s="1699" t="s">
        <v>3617</v>
      </c>
      <c r="CO443" s="1699" t="s">
        <v>5496</v>
      </c>
      <c r="CP443" s="1699" t="s">
        <v>6104</v>
      </c>
    </row>
    <row r="444" spans="84:94" x14ac:dyDescent="0.2">
      <c r="CF444" s="1661" t="s">
        <v>10260</v>
      </c>
      <c r="CG444" s="1661" t="s">
        <v>11260</v>
      </c>
      <c r="CL444" s="1699" t="s">
        <v>2751</v>
      </c>
      <c r="CM444" s="1699" t="s">
        <v>4511</v>
      </c>
      <c r="CN444" s="1699" t="s">
        <v>3616</v>
      </c>
      <c r="CO444" s="1699" t="s">
        <v>5495</v>
      </c>
      <c r="CP444" s="1699" t="s">
        <v>6103</v>
      </c>
    </row>
    <row r="445" spans="84:94" x14ac:dyDescent="0.2">
      <c r="CF445" s="1661" t="s">
        <v>10261</v>
      </c>
      <c r="CG445" s="1661" t="s">
        <v>11261</v>
      </c>
      <c r="CL445" s="1699" t="s">
        <v>2750</v>
      </c>
      <c r="CM445" s="1699" t="s">
        <v>4512</v>
      </c>
      <c r="CN445" s="1699" t="s">
        <v>3615</v>
      </c>
      <c r="CO445" s="1699" t="s">
        <v>5494</v>
      </c>
      <c r="CP445" s="1699" t="s">
        <v>6102</v>
      </c>
    </row>
    <row r="446" spans="84:94" x14ac:dyDescent="0.2">
      <c r="CF446" s="1661" t="s">
        <v>10262</v>
      </c>
      <c r="CG446" s="1661" t="s">
        <v>11262</v>
      </c>
      <c r="CL446" s="1699" t="s">
        <v>2749</v>
      </c>
      <c r="CM446" s="1699" t="s">
        <v>4513</v>
      </c>
      <c r="CN446" s="1699" t="s">
        <v>3614</v>
      </c>
      <c r="CO446" s="1699" t="s">
        <v>5493</v>
      </c>
      <c r="CP446" s="1699" t="s">
        <v>6101</v>
      </c>
    </row>
    <row r="447" spans="84:94" x14ac:dyDescent="0.2">
      <c r="CF447" s="1661" t="s">
        <v>10263</v>
      </c>
      <c r="CG447" s="1661" t="s">
        <v>11263</v>
      </c>
      <c r="CL447" s="1699" t="s">
        <v>2748</v>
      </c>
      <c r="CM447" s="1699" t="s">
        <v>4514</v>
      </c>
      <c r="CN447" s="1699" t="s">
        <v>3613</v>
      </c>
      <c r="CO447" s="1699" t="s">
        <v>5492</v>
      </c>
      <c r="CP447" s="1699" t="s">
        <v>6100</v>
      </c>
    </row>
    <row r="448" spans="84:94" x14ac:dyDescent="0.2">
      <c r="CF448" s="1661" t="s">
        <v>10264</v>
      </c>
      <c r="CG448" s="1661" t="s">
        <v>11264</v>
      </c>
      <c r="CL448" s="1699" t="s">
        <v>2747</v>
      </c>
      <c r="CM448" s="1699" t="s">
        <v>4515</v>
      </c>
      <c r="CN448" s="1699" t="s">
        <v>3612</v>
      </c>
      <c r="CO448" s="1699" t="s">
        <v>5491</v>
      </c>
      <c r="CP448" s="1699" t="s">
        <v>6099</v>
      </c>
    </row>
    <row r="449" spans="84:94" x14ac:dyDescent="0.2">
      <c r="CF449" s="1661" t="s">
        <v>10265</v>
      </c>
      <c r="CG449" s="1661" t="s">
        <v>11265</v>
      </c>
      <c r="CL449" s="1699" t="s">
        <v>2746</v>
      </c>
      <c r="CM449" s="1699" t="s">
        <v>4516</v>
      </c>
      <c r="CN449" s="1699" t="s">
        <v>3611</v>
      </c>
      <c r="CO449" s="1699" t="s">
        <v>5490</v>
      </c>
      <c r="CP449" s="1699" t="s">
        <v>6098</v>
      </c>
    </row>
    <row r="450" spans="84:94" x14ac:dyDescent="0.2">
      <c r="CF450" s="1661" t="s">
        <v>10266</v>
      </c>
      <c r="CG450" s="1661" t="s">
        <v>11266</v>
      </c>
      <c r="CL450" s="1699" t="s">
        <v>2745</v>
      </c>
      <c r="CM450" s="1699" t="s">
        <v>4517</v>
      </c>
      <c r="CN450" s="1699" t="s">
        <v>3610</v>
      </c>
      <c r="CO450" s="1699" t="s">
        <v>5489</v>
      </c>
      <c r="CP450" s="1699" t="s">
        <v>8193</v>
      </c>
    </row>
    <row r="451" spans="84:94" x14ac:dyDescent="0.2">
      <c r="CF451" s="1661" t="s">
        <v>10267</v>
      </c>
      <c r="CG451" s="1661" t="s">
        <v>11267</v>
      </c>
      <c r="CL451" s="1699" t="s">
        <v>2744</v>
      </c>
      <c r="CM451" s="1699" t="s">
        <v>4518</v>
      </c>
      <c r="CN451" s="1699" t="s">
        <v>3609</v>
      </c>
      <c r="CO451" s="1699" t="s">
        <v>5488</v>
      </c>
      <c r="CP451" s="1699" t="s">
        <v>6097</v>
      </c>
    </row>
    <row r="452" spans="84:94" x14ac:dyDescent="0.2">
      <c r="CF452" s="1661" t="s">
        <v>10268</v>
      </c>
      <c r="CG452" s="1661" t="s">
        <v>11268</v>
      </c>
      <c r="CL452" s="1699" t="s">
        <v>2743</v>
      </c>
      <c r="CM452" s="1699" t="s">
        <v>4519</v>
      </c>
      <c r="CN452" s="1699" t="s">
        <v>3608</v>
      </c>
      <c r="CO452" s="1699" t="s">
        <v>5487</v>
      </c>
      <c r="CP452" s="1699" t="s">
        <v>6096</v>
      </c>
    </row>
    <row r="453" spans="84:94" x14ac:dyDescent="0.2">
      <c r="CF453" s="1661" t="s">
        <v>10269</v>
      </c>
      <c r="CG453" s="1661" t="s">
        <v>11269</v>
      </c>
      <c r="CL453" s="1699" t="s">
        <v>2742</v>
      </c>
      <c r="CM453" s="1699" t="s">
        <v>4520</v>
      </c>
      <c r="CN453" s="1699" t="s">
        <v>3607</v>
      </c>
      <c r="CO453" s="1699" t="s">
        <v>5486</v>
      </c>
      <c r="CP453" s="1699" t="s">
        <v>6095</v>
      </c>
    </row>
    <row r="454" spans="84:94" x14ac:dyDescent="0.2">
      <c r="CF454" s="1661" t="s">
        <v>10270</v>
      </c>
      <c r="CG454" s="1661" t="s">
        <v>11270</v>
      </c>
      <c r="CL454" s="1699" t="s">
        <v>2741</v>
      </c>
      <c r="CM454" s="1699" t="s">
        <v>4521</v>
      </c>
      <c r="CN454" s="1699" t="s">
        <v>3606</v>
      </c>
      <c r="CO454" s="1699" t="s">
        <v>5485</v>
      </c>
      <c r="CP454" s="1699" t="s">
        <v>6094</v>
      </c>
    </row>
    <row r="455" spans="84:94" x14ac:dyDescent="0.2">
      <c r="CF455" s="1661" t="s">
        <v>10271</v>
      </c>
      <c r="CG455" s="1661" t="s">
        <v>11271</v>
      </c>
      <c r="CL455" s="1699" t="s">
        <v>2740</v>
      </c>
      <c r="CM455" s="1699" t="s">
        <v>4522</v>
      </c>
      <c r="CN455" s="1699" t="s">
        <v>3605</v>
      </c>
      <c r="CO455" s="1699" t="s">
        <v>5484</v>
      </c>
      <c r="CP455" s="1699" t="s">
        <v>6093</v>
      </c>
    </row>
    <row r="456" spans="84:94" x14ac:dyDescent="0.2">
      <c r="CF456" s="1661" t="s">
        <v>10272</v>
      </c>
      <c r="CG456" s="1661" t="s">
        <v>11272</v>
      </c>
      <c r="CL456" s="1699" t="s">
        <v>2739</v>
      </c>
      <c r="CM456" s="1699" t="s">
        <v>4523</v>
      </c>
      <c r="CN456" s="1699" t="s">
        <v>3604</v>
      </c>
      <c r="CO456" s="1699" t="s">
        <v>5483</v>
      </c>
      <c r="CP456" s="1699" t="s">
        <v>6092</v>
      </c>
    </row>
    <row r="457" spans="84:94" x14ac:dyDescent="0.2">
      <c r="CF457" s="1661" t="s">
        <v>10273</v>
      </c>
      <c r="CG457" s="1661" t="s">
        <v>11273</v>
      </c>
      <c r="CL457" s="1699" t="s">
        <v>2738</v>
      </c>
      <c r="CM457" s="1699" t="s">
        <v>4524</v>
      </c>
      <c r="CN457" s="1699" t="s">
        <v>3603</v>
      </c>
      <c r="CO457" s="1699" t="s">
        <v>5482</v>
      </c>
      <c r="CP457" s="1699" t="s">
        <v>6091</v>
      </c>
    </row>
    <row r="458" spans="84:94" x14ac:dyDescent="0.2">
      <c r="CF458" s="1661" t="s">
        <v>10274</v>
      </c>
      <c r="CG458" s="1661" t="s">
        <v>11274</v>
      </c>
      <c r="CL458" s="1699" t="s">
        <v>2737</v>
      </c>
      <c r="CM458" s="1699" t="s">
        <v>4525</v>
      </c>
      <c r="CN458" s="1699" t="s">
        <v>3602</v>
      </c>
      <c r="CO458" s="1699" t="s">
        <v>5481</v>
      </c>
      <c r="CP458" s="1699" t="s">
        <v>6090</v>
      </c>
    </row>
    <row r="459" spans="84:94" x14ac:dyDescent="0.2">
      <c r="CF459" s="1661" t="s">
        <v>10275</v>
      </c>
      <c r="CG459" s="1661" t="s">
        <v>11275</v>
      </c>
      <c r="CL459" s="1699" t="s">
        <v>2736</v>
      </c>
      <c r="CM459" s="1699" t="s">
        <v>4526</v>
      </c>
      <c r="CN459" s="1699" t="s">
        <v>3601</v>
      </c>
      <c r="CO459" s="1699" t="s">
        <v>5480</v>
      </c>
      <c r="CP459" s="1699" t="s">
        <v>6089</v>
      </c>
    </row>
    <row r="460" spans="84:94" x14ac:dyDescent="0.2">
      <c r="CF460" s="1661" t="s">
        <v>10276</v>
      </c>
      <c r="CG460" s="1661" t="s">
        <v>11276</v>
      </c>
      <c r="CL460" s="1699" t="s">
        <v>2735</v>
      </c>
      <c r="CM460" s="1699" t="s">
        <v>4527</v>
      </c>
      <c r="CN460" s="1699" t="s">
        <v>3600</v>
      </c>
      <c r="CO460" s="1699" t="s">
        <v>5479</v>
      </c>
      <c r="CP460" s="1699" t="s">
        <v>6088</v>
      </c>
    </row>
    <row r="461" spans="84:94" x14ac:dyDescent="0.2">
      <c r="CF461" s="1661" t="s">
        <v>10277</v>
      </c>
      <c r="CG461" s="1661" t="s">
        <v>11277</v>
      </c>
      <c r="CL461" s="1699" t="s">
        <v>2734</v>
      </c>
      <c r="CM461" s="1699" t="s">
        <v>4528</v>
      </c>
      <c r="CN461" s="1699" t="s">
        <v>3599</v>
      </c>
      <c r="CO461" s="1699" t="s">
        <v>5478</v>
      </c>
      <c r="CP461" s="1699" t="s">
        <v>6087</v>
      </c>
    </row>
    <row r="462" spans="84:94" x14ac:dyDescent="0.2">
      <c r="CF462" s="1661" t="s">
        <v>10278</v>
      </c>
      <c r="CG462" s="1661" t="s">
        <v>11278</v>
      </c>
      <c r="CL462" s="1699" t="s">
        <v>2733</v>
      </c>
      <c r="CM462" s="1699" t="s">
        <v>4529</v>
      </c>
      <c r="CN462" s="1699" t="s">
        <v>3598</v>
      </c>
      <c r="CO462" s="1699" t="s">
        <v>5477</v>
      </c>
      <c r="CP462" s="1699" t="s">
        <v>6086</v>
      </c>
    </row>
    <row r="463" spans="84:94" x14ac:dyDescent="0.2">
      <c r="CF463" s="1661" t="s">
        <v>10279</v>
      </c>
      <c r="CG463" s="1661" t="s">
        <v>11279</v>
      </c>
      <c r="CL463" s="1699" t="s">
        <v>2732</v>
      </c>
      <c r="CM463" s="1699" t="s">
        <v>4530</v>
      </c>
      <c r="CN463" s="1699" t="s">
        <v>3597</v>
      </c>
      <c r="CO463" s="1699" t="s">
        <v>5476</v>
      </c>
      <c r="CP463" s="1699" t="s">
        <v>6085</v>
      </c>
    </row>
    <row r="464" spans="84:94" x14ac:dyDescent="0.2">
      <c r="CF464" s="1661" t="s">
        <v>10280</v>
      </c>
      <c r="CG464" s="1661" t="s">
        <v>11280</v>
      </c>
      <c r="CL464" s="1699" t="s">
        <v>2195</v>
      </c>
      <c r="CM464" s="1699" t="s">
        <v>4531</v>
      </c>
      <c r="CN464" s="1699" t="s">
        <v>3596</v>
      </c>
      <c r="CO464" s="1699" t="s">
        <v>5475</v>
      </c>
      <c r="CP464" s="1699" t="s">
        <v>6084</v>
      </c>
    </row>
    <row r="465" spans="84:94" x14ac:dyDescent="0.2">
      <c r="CF465" s="1661" t="s">
        <v>10281</v>
      </c>
      <c r="CG465" s="1661" t="s">
        <v>11281</v>
      </c>
      <c r="CL465" s="1699" t="s">
        <v>2196</v>
      </c>
      <c r="CM465" s="1699" t="s">
        <v>4532</v>
      </c>
      <c r="CN465" s="1699" t="s">
        <v>3595</v>
      </c>
      <c r="CO465" s="1699" t="s">
        <v>5474</v>
      </c>
      <c r="CP465" s="1699" t="s">
        <v>6083</v>
      </c>
    </row>
    <row r="466" spans="84:94" x14ac:dyDescent="0.2">
      <c r="CF466" s="1661" t="s">
        <v>10282</v>
      </c>
      <c r="CG466" s="1661" t="s">
        <v>11282</v>
      </c>
      <c r="CL466" s="1699" t="s">
        <v>2197</v>
      </c>
      <c r="CM466" s="1699" t="s">
        <v>4533</v>
      </c>
      <c r="CN466" s="1699" t="s">
        <v>3594</v>
      </c>
      <c r="CO466" s="1699" t="s">
        <v>5473</v>
      </c>
      <c r="CP466" s="1699" t="s">
        <v>6082</v>
      </c>
    </row>
    <row r="467" spans="84:94" x14ac:dyDescent="0.2">
      <c r="CF467" s="1661" t="s">
        <v>10283</v>
      </c>
      <c r="CG467" s="1661" t="s">
        <v>11283</v>
      </c>
      <c r="CL467" s="1699" t="s">
        <v>2198</v>
      </c>
      <c r="CM467" s="1699" t="s">
        <v>4534</v>
      </c>
      <c r="CN467" s="1699" t="s">
        <v>3593</v>
      </c>
      <c r="CO467" s="1699" t="s">
        <v>5472</v>
      </c>
      <c r="CP467" s="1699" t="s">
        <v>6081</v>
      </c>
    </row>
    <row r="468" spans="84:94" x14ac:dyDescent="0.2">
      <c r="CF468" s="1661" t="s">
        <v>10284</v>
      </c>
      <c r="CG468" s="1661" t="s">
        <v>11284</v>
      </c>
      <c r="CL468" s="1699" t="s">
        <v>2199</v>
      </c>
      <c r="CM468" s="1699" t="s">
        <v>4535</v>
      </c>
      <c r="CN468" s="1699" t="s">
        <v>3592</v>
      </c>
      <c r="CO468" s="1699" t="s">
        <v>5471</v>
      </c>
      <c r="CP468" s="1699" t="s">
        <v>6080</v>
      </c>
    </row>
    <row r="469" spans="84:94" x14ac:dyDescent="0.2">
      <c r="CF469" s="1661" t="s">
        <v>10285</v>
      </c>
      <c r="CG469" s="1661" t="s">
        <v>11285</v>
      </c>
      <c r="CL469" s="1699" t="s">
        <v>2200</v>
      </c>
      <c r="CM469" s="1699" t="s">
        <v>4536</v>
      </c>
      <c r="CN469" s="1699" t="s">
        <v>3591</v>
      </c>
      <c r="CO469" s="1699" t="s">
        <v>5470</v>
      </c>
      <c r="CP469" s="1699" t="s">
        <v>6079</v>
      </c>
    </row>
    <row r="470" spans="84:94" x14ac:dyDescent="0.2">
      <c r="CF470" s="1661" t="s">
        <v>10286</v>
      </c>
      <c r="CG470" s="1661" t="s">
        <v>11286</v>
      </c>
      <c r="CL470" s="1699" t="s">
        <v>2201</v>
      </c>
      <c r="CM470" s="1699" t="s">
        <v>4537</v>
      </c>
      <c r="CN470" s="1699" t="s">
        <v>3590</v>
      </c>
      <c r="CO470" s="1699" t="s">
        <v>5469</v>
      </c>
      <c r="CP470" s="1699" t="s">
        <v>6078</v>
      </c>
    </row>
    <row r="471" spans="84:94" x14ac:dyDescent="0.2">
      <c r="CF471" s="1661" t="s">
        <v>10287</v>
      </c>
      <c r="CG471" s="1661" t="s">
        <v>11287</v>
      </c>
      <c r="CL471" s="1699" t="s">
        <v>2202</v>
      </c>
      <c r="CM471" s="1699" t="s">
        <v>4538</v>
      </c>
      <c r="CN471" s="1699" t="s">
        <v>3589</v>
      </c>
      <c r="CO471" s="1699" t="s">
        <v>5468</v>
      </c>
      <c r="CP471" s="1699" t="s">
        <v>6077</v>
      </c>
    </row>
    <row r="472" spans="84:94" x14ac:dyDescent="0.2">
      <c r="CF472" s="1661" t="s">
        <v>10288</v>
      </c>
      <c r="CG472" s="1661" t="s">
        <v>11288</v>
      </c>
      <c r="CL472" s="1699" t="s">
        <v>2203</v>
      </c>
      <c r="CM472" s="1699" t="s">
        <v>4539</v>
      </c>
      <c r="CN472" s="1699" t="s">
        <v>3588</v>
      </c>
      <c r="CO472" s="1699" t="s">
        <v>5467</v>
      </c>
      <c r="CP472" s="1699" t="s">
        <v>6076</v>
      </c>
    </row>
    <row r="473" spans="84:94" x14ac:dyDescent="0.2">
      <c r="CF473" s="1661" t="s">
        <v>10289</v>
      </c>
      <c r="CG473" s="1661" t="s">
        <v>11289</v>
      </c>
      <c r="CL473" s="1699" t="s">
        <v>2204</v>
      </c>
      <c r="CM473" s="1699" t="s">
        <v>4540</v>
      </c>
      <c r="CN473" s="1699" t="s">
        <v>3587</v>
      </c>
      <c r="CO473" s="1699" t="s">
        <v>5466</v>
      </c>
      <c r="CP473" s="1699" t="s">
        <v>6075</v>
      </c>
    </row>
    <row r="474" spans="84:94" x14ac:dyDescent="0.2">
      <c r="CF474" s="1661" t="s">
        <v>10290</v>
      </c>
      <c r="CG474" s="1661" t="s">
        <v>11290</v>
      </c>
      <c r="CL474" s="1699" t="s">
        <v>2205</v>
      </c>
      <c r="CM474" s="1699" t="s">
        <v>4541</v>
      </c>
      <c r="CN474" s="1699" t="s">
        <v>3586</v>
      </c>
      <c r="CO474" s="1699" t="s">
        <v>5465</v>
      </c>
      <c r="CP474" s="1699" t="s">
        <v>6074</v>
      </c>
    </row>
    <row r="475" spans="84:94" x14ac:dyDescent="0.2">
      <c r="CF475" s="1661" t="s">
        <v>10291</v>
      </c>
      <c r="CG475" s="1661" t="s">
        <v>11291</v>
      </c>
      <c r="CL475" s="1699" t="s">
        <v>2206</v>
      </c>
      <c r="CM475" s="1699" t="s">
        <v>4542</v>
      </c>
      <c r="CN475" s="1699" t="s">
        <v>3585</v>
      </c>
      <c r="CO475" s="1699" t="s">
        <v>5464</v>
      </c>
      <c r="CP475" s="1699" t="s">
        <v>6073</v>
      </c>
    </row>
    <row r="476" spans="84:94" x14ac:dyDescent="0.2">
      <c r="CF476" s="1661" t="s">
        <v>10292</v>
      </c>
      <c r="CG476" s="1661" t="s">
        <v>11292</v>
      </c>
      <c r="CL476" s="1699" t="s">
        <v>2207</v>
      </c>
      <c r="CM476" s="1699" t="s">
        <v>4543</v>
      </c>
      <c r="CN476" s="1699" t="s">
        <v>3584</v>
      </c>
      <c r="CO476" s="1699" t="s">
        <v>5463</v>
      </c>
      <c r="CP476" s="1699" t="s">
        <v>6072</v>
      </c>
    </row>
    <row r="477" spans="84:94" x14ac:dyDescent="0.2">
      <c r="CF477" s="1661" t="s">
        <v>10293</v>
      </c>
      <c r="CG477" s="1661" t="s">
        <v>11293</v>
      </c>
      <c r="CL477" s="1699" t="s">
        <v>2208</v>
      </c>
      <c r="CM477" s="1699" t="s">
        <v>4544</v>
      </c>
      <c r="CN477" s="1699" t="s">
        <v>3583</v>
      </c>
      <c r="CO477" s="1699" t="s">
        <v>5462</v>
      </c>
      <c r="CP477" s="1699" t="s">
        <v>6608</v>
      </c>
    </row>
    <row r="478" spans="84:94" x14ac:dyDescent="0.2">
      <c r="CF478" s="1661" t="s">
        <v>10294</v>
      </c>
      <c r="CG478" s="1661" t="s">
        <v>11294</v>
      </c>
      <c r="CL478" s="1699" t="s">
        <v>2209</v>
      </c>
      <c r="CM478" s="1699" t="s">
        <v>4545</v>
      </c>
      <c r="CN478" s="1699" t="s">
        <v>3582</v>
      </c>
      <c r="CO478" s="1699" t="s">
        <v>5461</v>
      </c>
      <c r="CP478" s="1699" t="s">
        <v>6071</v>
      </c>
    </row>
    <row r="479" spans="84:94" x14ac:dyDescent="0.2">
      <c r="CF479" s="1661" t="s">
        <v>10295</v>
      </c>
      <c r="CG479" s="1661" t="s">
        <v>11295</v>
      </c>
      <c r="CL479" s="1699" t="s">
        <v>2210</v>
      </c>
      <c r="CM479" s="1699" t="s">
        <v>4546</v>
      </c>
      <c r="CN479" s="1699" t="s">
        <v>3581</v>
      </c>
      <c r="CO479" s="1699" t="s">
        <v>5460</v>
      </c>
      <c r="CP479" s="1699" t="s">
        <v>6070</v>
      </c>
    </row>
    <row r="480" spans="84:94" x14ac:dyDescent="0.2">
      <c r="CF480" s="1661" t="s">
        <v>10296</v>
      </c>
      <c r="CG480" s="1661" t="s">
        <v>11296</v>
      </c>
      <c r="CL480" s="1699" t="s">
        <v>2211</v>
      </c>
      <c r="CM480" s="1699" t="s">
        <v>4547</v>
      </c>
      <c r="CN480" s="1699" t="s">
        <v>3580</v>
      </c>
      <c r="CO480" s="1699" t="s">
        <v>5459</v>
      </c>
      <c r="CP480" s="1699" t="s">
        <v>6069</v>
      </c>
    </row>
    <row r="481" spans="84:94" x14ac:dyDescent="0.2">
      <c r="CF481" s="1661" t="s">
        <v>10297</v>
      </c>
      <c r="CG481" s="1661" t="s">
        <v>11297</v>
      </c>
      <c r="CL481" s="1699" t="s">
        <v>2212</v>
      </c>
      <c r="CM481" s="1699" t="s">
        <v>4548</v>
      </c>
      <c r="CN481" s="1699" t="s">
        <v>3579</v>
      </c>
      <c r="CO481" s="1699" t="s">
        <v>5458</v>
      </c>
      <c r="CP481" s="1699" t="s">
        <v>6068</v>
      </c>
    </row>
    <row r="482" spans="84:94" x14ac:dyDescent="0.2">
      <c r="CF482" s="1661" t="s">
        <v>10298</v>
      </c>
      <c r="CG482" s="1661" t="s">
        <v>11298</v>
      </c>
      <c r="CL482" s="1699" t="s">
        <v>2213</v>
      </c>
      <c r="CM482" s="1699" t="s">
        <v>4549</v>
      </c>
      <c r="CN482" s="1699" t="s">
        <v>3578</v>
      </c>
      <c r="CO482" s="1699" t="s">
        <v>5457</v>
      </c>
      <c r="CP482" s="1699" t="s">
        <v>6067</v>
      </c>
    </row>
    <row r="483" spans="84:94" x14ac:dyDescent="0.2">
      <c r="CF483" s="1661" t="s">
        <v>10299</v>
      </c>
      <c r="CG483" s="1661" t="s">
        <v>11299</v>
      </c>
      <c r="CL483" s="1699" t="s">
        <v>2214</v>
      </c>
      <c r="CM483" s="1699" t="s">
        <v>4550</v>
      </c>
      <c r="CN483" s="1699" t="s">
        <v>3577</v>
      </c>
      <c r="CO483" s="1699" t="s">
        <v>5456</v>
      </c>
      <c r="CP483" s="1699" t="s">
        <v>6066</v>
      </c>
    </row>
    <row r="484" spans="84:94" x14ac:dyDescent="0.2">
      <c r="CF484" s="1661" t="s">
        <v>10300</v>
      </c>
      <c r="CG484" s="1661" t="s">
        <v>11300</v>
      </c>
      <c r="CL484" s="1699" t="s">
        <v>2215</v>
      </c>
      <c r="CM484" s="1699" t="s">
        <v>4551</v>
      </c>
      <c r="CN484" s="1699" t="s">
        <v>3576</v>
      </c>
      <c r="CO484" s="1699" t="s">
        <v>5455</v>
      </c>
      <c r="CP484" s="1699" t="s">
        <v>6065</v>
      </c>
    </row>
    <row r="485" spans="84:94" x14ac:dyDescent="0.2">
      <c r="CF485" s="1661" t="s">
        <v>10301</v>
      </c>
      <c r="CG485" s="1661" t="s">
        <v>11301</v>
      </c>
      <c r="CL485" s="1699" t="s">
        <v>2216</v>
      </c>
      <c r="CM485" s="1699" t="s">
        <v>4552</v>
      </c>
      <c r="CN485" s="1699" t="s">
        <v>3575</v>
      </c>
      <c r="CO485" s="1699" t="s">
        <v>5454</v>
      </c>
      <c r="CP485" s="1699" t="s">
        <v>6064</v>
      </c>
    </row>
    <row r="486" spans="84:94" x14ac:dyDescent="0.2">
      <c r="CF486" s="1661" t="s">
        <v>10302</v>
      </c>
      <c r="CG486" s="1661" t="s">
        <v>11302</v>
      </c>
      <c r="CL486" s="1699" t="s">
        <v>2217</v>
      </c>
      <c r="CM486" s="1699" t="s">
        <v>4553</v>
      </c>
      <c r="CN486" s="1699" t="s">
        <v>3574</v>
      </c>
      <c r="CO486" s="1699" t="s">
        <v>5453</v>
      </c>
      <c r="CP486" s="1699" t="s">
        <v>6063</v>
      </c>
    </row>
    <row r="487" spans="84:94" x14ac:dyDescent="0.2">
      <c r="CF487" s="1661" t="s">
        <v>10303</v>
      </c>
      <c r="CG487" s="1661" t="s">
        <v>11303</v>
      </c>
      <c r="CL487" s="1699" t="s">
        <v>2218</v>
      </c>
      <c r="CM487" s="1699" t="s">
        <v>4554</v>
      </c>
      <c r="CN487" s="1699" t="s">
        <v>3573</v>
      </c>
      <c r="CO487" s="1699" t="s">
        <v>5452</v>
      </c>
      <c r="CP487" s="1699" t="s">
        <v>6062</v>
      </c>
    </row>
    <row r="488" spans="84:94" x14ac:dyDescent="0.2">
      <c r="CF488" s="1661" t="s">
        <v>10304</v>
      </c>
      <c r="CG488" s="1661" t="s">
        <v>11304</v>
      </c>
      <c r="CL488" s="1699" t="s">
        <v>2219</v>
      </c>
      <c r="CM488" s="1699" t="s">
        <v>4555</v>
      </c>
      <c r="CN488" s="1699" t="s">
        <v>3572</v>
      </c>
      <c r="CO488" s="1699" t="s">
        <v>5451</v>
      </c>
      <c r="CP488" s="1699" t="s">
        <v>6061</v>
      </c>
    </row>
    <row r="489" spans="84:94" x14ac:dyDescent="0.2">
      <c r="CF489" s="1661" t="s">
        <v>10305</v>
      </c>
      <c r="CG489" s="1661" t="s">
        <v>11305</v>
      </c>
      <c r="CL489" s="1699" t="s">
        <v>2220</v>
      </c>
      <c r="CM489" s="1699" t="s">
        <v>4556</v>
      </c>
      <c r="CN489" s="1699" t="s">
        <v>3571</v>
      </c>
      <c r="CO489" s="1699" t="s">
        <v>5450</v>
      </c>
      <c r="CP489" s="1699" t="s">
        <v>6060</v>
      </c>
    </row>
    <row r="490" spans="84:94" x14ac:dyDescent="0.2">
      <c r="CF490" s="1661" t="s">
        <v>10306</v>
      </c>
      <c r="CG490" s="1661" t="s">
        <v>11306</v>
      </c>
      <c r="CL490" s="1699" t="s">
        <v>2221</v>
      </c>
      <c r="CM490" s="1699" t="s">
        <v>4557</v>
      </c>
      <c r="CN490" s="1699" t="s">
        <v>3570</v>
      </c>
      <c r="CO490" s="1699" t="s">
        <v>5449</v>
      </c>
      <c r="CP490" s="1699" t="s">
        <v>6059</v>
      </c>
    </row>
    <row r="491" spans="84:94" x14ac:dyDescent="0.2">
      <c r="CF491" s="1661" t="s">
        <v>10307</v>
      </c>
      <c r="CG491" s="1661" t="s">
        <v>11307</v>
      </c>
      <c r="CL491" s="1699" t="s">
        <v>2222</v>
      </c>
      <c r="CM491" s="1699" t="s">
        <v>4558</v>
      </c>
      <c r="CN491" s="1699" t="s">
        <v>3569</v>
      </c>
      <c r="CO491" s="1699" t="s">
        <v>5448</v>
      </c>
      <c r="CP491" s="1699" t="s">
        <v>6058</v>
      </c>
    </row>
    <row r="492" spans="84:94" x14ac:dyDescent="0.2">
      <c r="CF492" s="1661" t="s">
        <v>10308</v>
      </c>
      <c r="CG492" s="1661" t="s">
        <v>11308</v>
      </c>
      <c r="CL492" s="1699" t="s">
        <v>2223</v>
      </c>
      <c r="CM492" s="1699" t="s">
        <v>4559</v>
      </c>
      <c r="CN492" s="1699" t="s">
        <v>3568</v>
      </c>
      <c r="CO492" s="1699" t="s">
        <v>5447</v>
      </c>
      <c r="CP492" s="1699" t="s">
        <v>6057</v>
      </c>
    </row>
    <row r="493" spans="84:94" x14ac:dyDescent="0.2">
      <c r="CF493" s="1661" t="s">
        <v>10309</v>
      </c>
      <c r="CG493" s="1661" t="s">
        <v>11309</v>
      </c>
      <c r="CL493" s="1699" t="s">
        <v>2224</v>
      </c>
      <c r="CM493" s="1699" t="s">
        <v>4560</v>
      </c>
      <c r="CN493" s="1699" t="s">
        <v>3567</v>
      </c>
      <c r="CO493" s="1699" t="s">
        <v>5446</v>
      </c>
      <c r="CP493" s="1699" t="s">
        <v>6056</v>
      </c>
    </row>
    <row r="494" spans="84:94" x14ac:dyDescent="0.2">
      <c r="CF494" s="1661" t="s">
        <v>10310</v>
      </c>
      <c r="CG494" s="1661" t="s">
        <v>11310</v>
      </c>
      <c r="CL494" s="1699" t="s">
        <v>2225</v>
      </c>
      <c r="CM494" s="1699" t="s">
        <v>4561</v>
      </c>
      <c r="CN494" s="1699" t="s">
        <v>3566</v>
      </c>
      <c r="CO494" s="1699" t="s">
        <v>5445</v>
      </c>
      <c r="CP494" s="1699" t="s">
        <v>6055</v>
      </c>
    </row>
    <row r="495" spans="84:94" x14ac:dyDescent="0.2">
      <c r="CF495" s="1661" t="s">
        <v>10311</v>
      </c>
      <c r="CG495" s="1661" t="s">
        <v>11311</v>
      </c>
      <c r="CL495" s="1699" t="s">
        <v>2226</v>
      </c>
      <c r="CM495" s="1699" t="s">
        <v>4562</v>
      </c>
      <c r="CN495" s="1699" t="s">
        <v>3565</v>
      </c>
      <c r="CO495" s="1699" t="s">
        <v>5444</v>
      </c>
      <c r="CP495" s="1699" t="s">
        <v>6054</v>
      </c>
    </row>
    <row r="496" spans="84:94" x14ac:dyDescent="0.2">
      <c r="CF496" s="1661" t="s">
        <v>10312</v>
      </c>
      <c r="CG496" s="1661" t="s">
        <v>11312</v>
      </c>
      <c r="CL496" s="1699" t="s">
        <v>2227</v>
      </c>
      <c r="CM496" s="1699" t="s">
        <v>4563</v>
      </c>
      <c r="CN496" s="1699" t="s">
        <v>3564</v>
      </c>
      <c r="CO496" s="1699" t="s">
        <v>5443</v>
      </c>
      <c r="CP496" s="1699" t="s">
        <v>6053</v>
      </c>
    </row>
    <row r="497" spans="84:94" x14ac:dyDescent="0.2">
      <c r="CF497" s="1661" t="s">
        <v>10313</v>
      </c>
      <c r="CG497" s="1661" t="s">
        <v>11313</v>
      </c>
      <c r="CL497" s="1699" t="s">
        <v>2228</v>
      </c>
      <c r="CM497" s="1699" t="s">
        <v>4564</v>
      </c>
      <c r="CN497" s="1699" t="s">
        <v>3563</v>
      </c>
      <c r="CO497" s="1699" t="s">
        <v>5442</v>
      </c>
      <c r="CP497" s="1699" t="s">
        <v>6052</v>
      </c>
    </row>
    <row r="498" spans="84:94" x14ac:dyDescent="0.2">
      <c r="CF498" s="1661" t="s">
        <v>10314</v>
      </c>
      <c r="CG498" s="1661" t="s">
        <v>11314</v>
      </c>
      <c r="CL498" s="1699" t="s">
        <v>2229</v>
      </c>
      <c r="CM498" s="1699" t="s">
        <v>4565</v>
      </c>
      <c r="CN498" s="1699" t="s">
        <v>3562</v>
      </c>
      <c r="CO498" s="1699" t="s">
        <v>5441</v>
      </c>
      <c r="CP498" s="1699" t="s">
        <v>6051</v>
      </c>
    </row>
    <row r="499" spans="84:94" x14ac:dyDescent="0.2">
      <c r="CF499" s="1661" t="s">
        <v>10315</v>
      </c>
      <c r="CG499" s="1661" t="s">
        <v>11315</v>
      </c>
      <c r="CL499" s="1699" t="s">
        <v>2230</v>
      </c>
      <c r="CM499" s="1699" t="s">
        <v>4566</v>
      </c>
      <c r="CN499" s="1699" t="s">
        <v>3561</v>
      </c>
      <c r="CO499" s="1699" t="s">
        <v>5440</v>
      </c>
      <c r="CP499" s="1699" t="s">
        <v>6050</v>
      </c>
    </row>
    <row r="500" spans="84:94" x14ac:dyDescent="0.2">
      <c r="CF500" s="1661" t="s">
        <v>10316</v>
      </c>
      <c r="CG500" s="1661" t="s">
        <v>11316</v>
      </c>
      <c r="CL500" s="1699" t="s">
        <v>2231</v>
      </c>
      <c r="CM500" s="1699" t="s">
        <v>4567</v>
      </c>
      <c r="CN500" s="1699" t="s">
        <v>3560</v>
      </c>
      <c r="CO500" s="1699" t="s">
        <v>5439</v>
      </c>
      <c r="CP500" s="1699" t="s">
        <v>6049</v>
      </c>
    </row>
    <row r="501" spans="84:94" x14ac:dyDescent="0.2">
      <c r="CF501" s="1661" t="s">
        <v>10317</v>
      </c>
      <c r="CG501" s="1661" t="s">
        <v>11317</v>
      </c>
      <c r="CL501" s="1699" t="s">
        <v>2232</v>
      </c>
      <c r="CM501" s="1699" t="s">
        <v>4568</v>
      </c>
      <c r="CN501" s="1699" t="s">
        <v>3559</v>
      </c>
      <c r="CO501" s="1699" t="s">
        <v>5438</v>
      </c>
      <c r="CP501" s="1699" t="s">
        <v>6048</v>
      </c>
    </row>
    <row r="502" spans="84:94" x14ac:dyDescent="0.2">
      <c r="CF502" s="1661" t="s">
        <v>10318</v>
      </c>
      <c r="CG502" s="1661" t="s">
        <v>11318</v>
      </c>
      <c r="CL502" s="1699" t="s">
        <v>2233</v>
      </c>
      <c r="CM502" s="1699" t="s">
        <v>4569</v>
      </c>
      <c r="CN502" s="1699" t="s">
        <v>3558</v>
      </c>
      <c r="CO502" s="1699" t="s">
        <v>5437</v>
      </c>
      <c r="CP502" s="1699" t="s">
        <v>6047</v>
      </c>
    </row>
    <row r="503" spans="84:94" x14ac:dyDescent="0.2">
      <c r="CF503" s="1661" t="s">
        <v>10319</v>
      </c>
      <c r="CG503" s="1661" t="s">
        <v>11319</v>
      </c>
      <c r="CL503" s="1699" t="s">
        <v>2234</v>
      </c>
      <c r="CM503" s="1699" t="s">
        <v>4570</v>
      </c>
      <c r="CN503" s="1699" t="s">
        <v>3557</v>
      </c>
      <c r="CO503" s="1699" t="s">
        <v>5436</v>
      </c>
      <c r="CP503" s="1699" t="s">
        <v>6046</v>
      </c>
    </row>
    <row r="504" spans="84:94" x14ac:dyDescent="0.2">
      <c r="CF504" s="1661" t="s">
        <v>10320</v>
      </c>
      <c r="CG504" s="1661" t="s">
        <v>11320</v>
      </c>
      <c r="CL504" s="1699" t="s">
        <v>2235</v>
      </c>
      <c r="CM504" s="1699" t="s">
        <v>4571</v>
      </c>
      <c r="CN504" s="1699" t="s">
        <v>3556</v>
      </c>
      <c r="CO504" s="1699" t="s">
        <v>5435</v>
      </c>
      <c r="CP504" s="1699" t="s">
        <v>6045</v>
      </c>
    </row>
    <row r="505" spans="84:94" x14ac:dyDescent="0.2">
      <c r="CF505" s="1661" t="s">
        <v>10321</v>
      </c>
      <c r="CG505" s="1661" t="s">
        <v>11321</v>
      </c>
      <c r="CL505" s="1699" t="s">
        <v>2236</v>
      </c>
      <c r="CM505" s="1699" t="s">
        <v>4572</v>
      </c>
      <c r="CN505" s="1699" t="s">
        <v>3555</v>
      </c>
      <c r="CO505" s="1699" t="s">
        <v>5434</v>
      </c>
      <c r="CP505" s="1699" t="s">
        <v>6044</v>
      </c>
    </row>
    <row r="506" spans="84:94" x14ac:dyDescent="0.2">
      <c r="CF506" s="1661" t="s">
        <v>10322</v>
      </c>
      <c r="CG506" s="1661" t="s">
        <v>11322</v>
      </c>
      <c r="CL506" s="1699" t="s">
        <v>2237</v>
      </c>
      <c r="CM506" s="1699" t="s">
        <v>4573</v>
      </c>
      <c r="CN506" s="1699" t="s">
        <v>3554</v>
      </c>
      <c r="CO506" s="1699" t="s">
        <v>5433</v>
      </c>
      <c r="CP506" s="1699" t="s">
        <v>6043</v>
      </c>
    </row>
    <row r="507" spans="84:94" x14ac:dyDescent="0.2">
      <c r="CF507" s="1661" t="s">
        <v>10323</v>
      </c>
      <c r="CG507" s="1661" t="s">
        <v>11323</v>
      </c>
      <c r="CL507" s="1699" t="s">
        <v>2238</v>
      </c>
      <c r="CM507" s="1699" t="s">
        <v>4574</v>
      </c>
      <c r="CN507" s="1699" t="s">
        <v>3553</v>
      </c>
      <c r="CO507" s="1699" t="s">
        <v>5432</v>
      </c>
      <c r="CP507" s="1699" t="s">
        <v>8192</v>
      </c>
    </row>
    <row r="508" spans="84:94" x14ac:dyDescent="0.2">
      <c r="CF508" s="1661" t="s">
        <v>10324</v>
      </c>
      <c r="CG508" s="1661" t="s">
        <v>11324</v>
      </c>
      <c r="CL508" s="1699" t="s">
        <v>2239</v>
      </c>
      <c r="CM508" s="1699" t="s">
        <v>4575</v>
      </c>
      <c r="CN508" s="1699" t="s">
        <v>3552</v>
      </c>
      <c r="CO508" s="1699" t="s">
        <v>5431</v>
      </c>
      <c r="CP508" s="1699" t="s">
        <v>6042</v>
      </c>
    </row>
    <row r="509" spans="84:94" x14ac:dyDescent="0.2">
      <c r="CF509" s="1661" t="s">
        <v>10325</v>
      </c>
      <c r="CG509" s="1661" t="s">
        <v>11325</v>
      </c>
      <c r="CL509" s="1699" t="s">
        <v>2240</v>
      </c>
      <c r="CM509" s="1699" t="s">
        <v>4576</v>
      </c>
      <c r="CN509" s="1699" t="s">
        <v>3551</v>
      </c>
      <c r="CO509" s="1699" t="s">
        <v>5430</v>
      </c>
      <c r="CP509" s="1699" t="s">
        <v>6041</v>
      </c>
    </row>
    <row r="510" spans="84:94" x14ac:dyDescent="0.2">
      <c r="CF510" s="1661" t="s">
        <v>10326</v>
      </c>
      <c r="CG510" s="1661" t="s">
        <v>11326</v>
      </c>
      <c r="CL510" s="1699" t="s">
        <v>2241</v>
      </c>
      <c r="CM510" s="1699" t="s">
        <v>4577</v>
      </c>
      <c r="CN510" s="1699" t="s">
        <v>3550</v>
      </c>
      <c r="CO510" s="1699" t="s">
        <v>5429</v>
      </c>
      <c r="CP510" s="1699" t="s">
        <v>6040</v>
      </c>
    </row>
    <row r="511" spans="84:94" x14ac:dyDescent="0.2">
      <c r="CF511" s="1661" t="s">
        <v>10327</v>
      </c>
      <c r="CG511" s="1661" t="s">
        <v>11327</v>
      </c>
      <c r="CL511" s="1699" t="s">
        <v>2242</v>
      </c>
      <c r="CM511" s="1699" t="s">
        <v>4578</v>
      </c>
      <c r="CN511" s="1699" t="s">
        <v>3549</v>
      </c>
      <c r="CO511" s="1699" t="s">
        <v>5428</v>
      </c>
      <c r="CP511" s="1699" t="s">
        <v>6039</v>
      </c>
    </row>
    <row r="512" spans="84:94" x14ac:dyDescent="0.2">
      <c r="CF512" s="1661" t="s">
        <v>10328</v>
      </c>
      <c r="CG512" s="1661" t="s">
        <v>11328</v>
      </c>
      <c r="CL512" s="1699" t="s">
        <v>2243</v>
      </c>
      <c r="CM512" s="1699" t="s">
        <v>4579</v>
      </c>
      <c r="CN512" s="1699" t="s">
        <v>3548</v>
      </c>
      <c r="CO512" s="1699" t="s">
        <v>8205</v>
      </c>
      <c r="CP512" s="1699" t="s">
        <v>6038</v>
      </c>
    </row>
    <row r="513" spans="84:94" x14ac:dyDescent="0.2">
      <c r="CF513" s="1661" t="s">
        <v>10329</v>
      </c>
      <c r="CG513" s="1661" t="s">
        <v>11329</v>
      </c>
      <c r="CL513" s="1699" t="s">
        <v>2244</v>
      </c>
      <c r="CM513" s="1699" t="s">
        <v>4580</v>
      </c>
      <c r="CN513" s="1699" t="s">
        <v>3547</v>
      </c>
      <c r="CO513" s="1699" t="s">
        <v>8148</v>
      </c>
      <c r="CP513" s="1699" t="s">
        <v>6037</v>
      </c>
    </row>
    <row r="514" spans="84:94" x14ac:dyDescent="0.2">
      <c r="CF514" s="1661" t="s">
        <v>10330</v>
      </c>
      <c r="CG514" s="1661" t="s">
        <v>11330</v>
      </c>
      <c r="CL514" s="1699" t="s">
        <v>2245</v>
      </c>
      <c r="CM514" s="1699" t="s">
        <v>4581</v>
      </c>
      <c r="CN514" s="1699" t="s">
        <v>3546</v>
      </c>
      <c r="CO514" s="1699" t="s">
        <v>8149</v>
      </c>
      <c r="CP514" s="1699" t="s">
        <v>6036</v>
      </c>
    </row>
    <row r="515" spans="84:94" x14ac:dyDescent="0.2">
      <c r="CF515" s="1661" t="s">
        <v>10331</v>
      </c>
      <c r="CG515" s="1661" t="s">
        <v>11331</v>
      </c>
      <c r="CL515" s="1699" t="s">
        <v>2246</v>
      </c>
      <c r="CM515" s="1699" t="s">
        <v>4582</v>
      </c>
      <c r="CN515" s="1699" t="s">
        <v>3545</v>
      </c>
      <c r="CO515" s="1699" t="s">
        <v>8150</v>
      </c>
      <c r="CP515" s="1699" t="s">
        <v>7757</v>
      </c>
    </row>
    <row r="516" spans="84:94" x14ac:dyDescent="0.2">
      <c r="CF516" s="1661" t="s">
        <v>10332</v>
      </c>
      <c r="CG516" s="1661" t="s">
        <v>11332</v>
      </c>
      <c r="CL516" s="1699" t="s">
        <v>2247</v>
      </c>
      <c r="CM516" s="1699" t="s">
        <v>4583</v>
      </c>
      <c r="CN516" s="1699" t="s">
        <v>3544</v>
      </c>
      <c r="CO516" s="1699" t="s">
        <v>8151</v>
      </c>
      <c r="CP516" s="1699" t="s">
        <v>6035</v>
      </c>
    </row>
    <row r="517" spans="84:94" x14ac:dyDescent="0.2">
      <c r="CF517" s="1661" t="s">
        <v>10333</v>
      </c>
      <c r="CG517" s="1661" t="s">
        <v>11333</v>
      </c>
      <c r="CL517" s="1699" t="s">
        <v>2248</v>
      </c>
      <c r="CM517" s="1699" t="s">
        <v>4584</v>
      </c>
      <c r="CN517" s="1699" t="s">
        <v>3543</v>
      </c>
      <c r="CO517" s="1699" t="s">
        <v>7988</v>
      </c>
      <c r="CP517" s="1699" t="s">
        <v>6034</v>
      </c>
    </row>
    <row r="518" spans="84:94" x14ac:dyDescent="0.2">
      <c r="CF518" s="1661" t="s">
        <v>10334</v>
      </c>
      <c r="CG518" s="1661" t="s">
        <v>11334</v>
      </c>
      <c r="CL518" s="1699" t="s">
        <v>2249</v>
      </c>
      <c r="CM518" s="1699" t="s">
        <v>4585</v>
      </c>
      <c r="CN518" s="1699" t="s">
        <v>3542</v>
      </c>
      <c r="CO518" s="1699" t="s">
        <v>7989</v>
      </c>
      <c r="CP518" s="1699" t="s">
        <v>6033</v>
      </c>
    </row>
    <row r="519" spans="84:94" x14ac:dyDescent="0.2">
      <c r="CF519" s="1661" t="s">
        <v>10335</v>
      </c>
      <c r="CG519" s="1661" t="s">
        <v>11335</v>
      </c>
      <c r="CL519" s="1699" t="s">
        <v>2250</v>
      </c>
      <c r="CM519" s="1699" t="s">
        <v>4586</v>
      </c>
      <c r="CN519" s="1699" t="s">
        <v>3541</v>
      </c>
      <c r="CO519" s="1699" t="s">
        <v>7990</v>
      </c>
      <c r="CP519" s="1699" t="s">
        <v>6032</v>
      </c>
    </row>
    <row r="520" spans="84:94" x14ac:dyDescent="0.2">
      <c r="CF520" s="1661" t="s">
        <v>10336</v>
      </c>
      <c r="CG520" s="1661" t="s">
        <v>11336</v>
      </c>
      <c r="CL520" s="1699" t="s">
        <v>2251</v>
      </c>
      <c r="CM520" s="1699" t="s">
        <v>4587</v>
      </c>
      <c r="CN520" s="1699" t="s">
        <v>3540</v>
      </c>
      <c r="CO520" s="1699" t="s">
        <v>7991</v>
      </c>
      <c r="CP520" s="1699" t="s">
        <v>6031</v>
      </c>
    </row>
    <row r="521" spans="84:94" x14ac:dyDescent="0.2">
      <c r="CF521" s="1661" t="s">
        <v>10337</v>
      </c>
      <c r="CG521" s="1661" t="s">
        <v>11337</v>
      </c>
      <c r="CL521" s="1699" t="s">
        <v>2252</v>
      </c>
      <c r="CM521" s="1699" t="s">
        <v>4588</v>
      </c>
      <c r="CN521" s="1699" t="s">
        <v>3539</v>
      </c>
      <c r="CO521" s="1699" t="s">
        <v>7992</v>
      </c>
      <c r="CP521" s="1699" t="s">
        <v>6030</v>
      </c>
    </row>
    <row r="522" spans="84:94" x14ac:dyDescent="0.2">
      <c r="CF522" s="1661" t="s">
        <v>10338</v>
      </c>
      <c r="CG522" s="1661" t="s">
        <v>11338</v>
      </c>
      <c r="CL522" s="1699" t="s">
        <v>2253</v>
      </c>
      <c r="CM522" s="1699" t="s">
        <v>4589</v>
      </c>
      <c r="CN522" s="1699" t="s">
        <v>3538</v>
      </c>
      <c r="CO522" s="1699" t="s">
        <v>7993</v>
      </c>
      <c r="CP522" s="1699" t="s">
        <v>6029</v>
      </c>
    </row>
    <row r="523" spans="84:94" x14ac:dyDescent="0.2">
      <c r="CF523" s="1661" t="s">
        <v>10339</v>
      </c>
      <c r="CG523" s="1661" t="s">
        <v>11339</v>
      </c>
      <c r="CL523" s="1699" t="s">
        <v>2254</v>
      </c>
      <c r="CM523" s="1699" t="s">
        <v>4590</v>
      </c>
      <c r="CN523" s="1699" t="s">
        <v>3537</v>
      </c>
      <c r="CO523" s="1699" t="s">
        <v>7994</v>
      </c>
      <c r="CP523" s="1699" t="s">
        <v>6028</v>
      </c>
    </row>
    <row r="524" spans="84:94" x14ac:dyDescent="0.2">
      <c r="CF524" s="1661" t="s">
        <v>10340</v>
      </c>
      <c r="CG524" s="1661" t="s">
        <v>11340</v>
      </c>
      <c r="CL524" s="1699" t="s">
        <v>2255</v>
      </c>
      <c r="CM524" s="1699" t="s">
        <v>4591</v>
      </c>
      <c r="CN524" s="1699" t="s">
        <v>3536</v>
      </c>
      <c r="CO524" s="1699" t="s">
        <v>7995</v>
      </c>
      <c r="CP524" s="1699" t="s">
        <v>6027</v>
      </c>
    </row>
    <row r="525" spans="84:94" x14ac:dyDescent="0.2">
      <c r="CF525" s="1661" t="s">
        <v>10341</v>
      </c>
      <c r="CG525" s="1661" t="s">
        <v>11341</v>
      </c>
      <c r="CL525" s="1699" t="s">
        <v>2256</v>
      </c>
      <c r="CM525" s="1699" t="s">
        <v>4592</v>
      </c>
      <c r="CN525" s="1699" t="s">
        <v>3535</v>
      </c>
      <c r="CO525" s="1699" t="s">
        <v>7996</v>
      </c>
      <c r="CP525" s="1699" t="s">
        <v>6026</v>
      </c>
    </row>
    <row r="526" spans="84:94" x14ac:dyDescent="0.2">
      <c r="CF526" s="1661" t="s">
        <v>10342</v>
      </c>
      <c r="CG526" s="1661" t="s">
        <v>11342</v>
      </c>
      <c r="CL526" s="1699" t="s">
        <v>2257</v>
      </c>
      <c r="CM526" s="1699" t="s">
        <v>4593</v>
      </c>
      <c r="CN526" s="1699" t="s">
        <v>3534</v>
      </c>
      <c r="CO526" s="1699" t="s">
        <v>7997</v>
      </c>
      <c r="CP526" s="1699" t="s">
        <v>6025</v>
      </c>
    </row>
    <row r="527" spans="84:94" x14ac:dyDescent="0.2">
      <c r="CF527" s="1661" t="s">
        <v>10343</v>
      </c>
      <c r="CG527" s="1661" t="s">
        <v>11343</v>
      </c>
      <c r="CL527" s="1699" t="s">
        <v>2258</v>
      </c>
      <c r="CM527" s="1699" t="s">
        <v>4594</v>
      </c>
      <c r="CN527" s="1699" t="s">
        <v>3533</v>
      </c>
      <c r="CO527" s="1699" t="s">
        <v>7998</v>
      </c>
      <c r="CP527" s="1699" t="s">
        <v>6024</v>
      </c>
    </row>
    <row r="528" spans="84:94" x14ac:dyDescent="0.2">
      <c r="CF528" s="1661" t="s">
        <v>10344</v>
      </c>
      <c r="CG528" s="1661" t="s">
        <v>11344</v>
      </c>
      <c r="CL528" s="1699" t="s">
        <v>2259</v>
      </c>
      <c r="CM528" s="1699" t="s">
        <v>4595</v>
      </c>
      <c r="CN528" s="1699" t="s">
        <v>3532</v>
      </c>
      <c r="CO528" s="1699" t="s">
        <v>7999</v>
      </c>
      <c r="CP528" s="1699" t="s">
        <v>6023</v>
      </c>
    </row>
    <row r="529" spans="84:94" x14ac:dyDescent="0.2">
      <c r="CF529" s="1661" t="s">
        <v>10345</v>
      </c>
      <c r="CG529" s="1661" t="s">
        <v>11345</v>
      </c>
      <c r="CL529" s="1699" t="s">
        <v>2260</v>
      </c>
      <c r="CM529" s="1699" t="s">
        <v>4596</v>
      </c>
      <c r="CN529" s="1699" t="s">
        <v>3531</v>
      </c>
      <c r="CO529" s="1699" t="s">
        <v>8000</v>
      </c>
      <c r="CP529" s="1699" t="s">
        <v>6022</v>
      </c>
    </row>
    <row r="530" spans="84:94" x14ac:dyDescent="0.2">
      <c r="CF530" s="1661" t="s">
        <v>10346</v>
      </c>
      <c r="CG530" s="1661" t="s">
        <v>11346</v>
      </c>
      <c r="CL530" s="1699" t="s">
        <v>2261</v>
      </c>
      <c r="CM530" s="1699" t="s">
        <v>4597</v>
      </c>
      <c r="CN530" s="1699" t="s">
        <v>3530</v>
      </c>
      <c r="CO530" s="1699" t="s">
        <v>8001</v>
      </c>
      <c r="CP530" s="1699" t="s">
        <v>6021</v>
      </c>
    </row>
    <row r="531" spans="84:94" x14ac:dyDescent="0.2">
      <c r="CF531" s="1661" t="s">
        <v>10347</v>
      </c>
      <c r="CG531" s="1661" t="s">
        <v>11347</v>
      </c>
      <c r="CL531" s="1699" t="s">
        <v>2262</v>
      </c>
      <c r="CM531" s="1699" t="s">
        <v>4598</v>
      </c>
      <c r="CN531" s="1699" t="s">
        <v>3529</v>
      </c>
      <c r="CO531" s="1699" t="s">
        <v>8002</v>
      </c>
      <c r="CP531" s="1699" t="s">
        <v>6020</v>
      </c>
    </row>
    <row r="532" spans="84:94" x14ac:dyDescent="0.2">
      <c r="CF532" s="1661" t="s">
        <v>10348</v>
      </c>
      <c r="CG532" s="1661" t="s">
        <v>11348</v>
      </c>
      <c r="CL532" s="1699" t="s">
        <v>2263</v>
      </c>
      <c r="CM532" s="1699" t="s">
        <v>4599</v>
      </c>
      <c r="CN532" s="1699" t="s">
        <v>3528</v>
      </c>
      <c r="CO532" s="1699" t="s">
        <v>7747</v>
      </c>
      <c r="CP532" s="1699" t="s">
        <v>6019</v>
      </c>
    </row>
    <row r="533" spans="84:94" x14ac:dyDescent="0.2">
      <c r="CF533" s="1661" t="s">
        <v>10349</v>
      </c>
      <c r="CG533" s="1661" t="s">
        <v>11349</v>
      </c>
      <c r="CL533" s="1699" t="s">
        <v>2264</v>
      </c>
      <c r="CM533" s="1699" t="s">
        <v>4600</v>
      </c>
      <c r="CN533" s="1699" t="s">
        <v>3527</v>
      </c>
      <c r="CO533" s="1699" t="s">
        <v>7748</v>
      </c>
      <c r="CP533" s="1699" t="s">
        <v>6018</v>
      </c>
    </row>
    <row r="534" spans="84:94" x14ac:dyDescent="0.2">
      <c r="CF534" s="1661" t="s">
        <v>10350</v>
      </c>
      <c r="CG534" s="1661" t="s">
        <v>11350</v>
      </c>
      <c r="CL534" s="1699" t="s">
        <v>2265</v>
      </c>
      <c r="CM534" s="1699" t="s">
        <v>4601</v>
      </c>
      <c r="CN534" s="1699" t="s">
        <v>3526</v>
      </c>
      <c r="CO534" s="1699" t="s">
        <v>7749</v>
      </c>
      <c r="CP534" s="1699" t="s">
        <v>6017</v>
      </c>
    </row>
    <row r="535" spans="84:94" x14ac:dyDescent="0.2">
      <c r="CF535" s="1661" t="s">
        <v>10351</v>
      </c>
      <c r="CG535" s="1661" t="s">
        <v>11351</v>
      </c>
      <c r="CL535" s="1699" t="s">
        <v>2266</v>
      </c>
      <c r="CM535" s="1699" t="s">
        <v>4602</v>
      </c>
      <c r="CN535" s="1699" t="s">
        <v>3525</v>
      </c>
      <c r="CO535" s="1699" t="s">
        <v>7750</v>
      </c>
      <c r="CP535" s="1699" t="s">
        <v>6016</v>
      </c>
    </row>
    <row r="536" spans="84:94" x14ac:dyDescent="0.2">
      <c r="CF536" s="1661" t="s">
        <v>10352</v>
      </c>
      <c r="CG536" s="1661" t="s">
        <v>11352</v>
      </c>
      <c r="CL536" s="1699" t="s">
        <v>2267</v>
      </c>
      <c r="CM536" s="1699" t="s">
        <v>4603</v>
      </c>
      <c r="CN536" s="1699" t="s">
        <v>3524</v>
      </c>
      <c r="CO536" s="1699" t="s">
        <v>7751</v>
      </c>
      <c r="CP536" s="1699" t="s">
        <v>6015</v>
      </c>
    </row>
    <row r="537" spans="84:94" x14ac:dyDescent="0.2">
      <c r="CF537" s="1661" t="s">
        <v>10353</v>
      </c>
      <c r="CG537" s="1661" t="s">
        <v>11353</v>
      </c>
      <c r="CL537" s="1699" t="s">
        <v>2268</v>
      </c>
      <c r="CM537" s="1699" t="s">
        <v>4604</v>
      </c>
      <c r="CN537" s="1699" t="s">
        <v>3523</v>
      </c>
      <c r="CO537" s="1699" t="s">
        <v>7752</v>
      </c>
      <c r="CP537" s="1699" t="s">
        <v>6014</v>
      </c>
    </row>
    <row r="538" spans="84:94" x14ac:dyDescent="0.2">
      <c r="CF538" s="1661" t="s">
        <v>10354</v>
      </c>
      <c r="CG538" s="1661" t="s">
        <v>11354</v>
      </c>
      <c r="CL538" s="1699" t="s">
        <v>2269</v>
      </c>
      <c r="CM538" s="1699" t="s">
        <v>4605</v>
      </c>
      <c r="CN538" s="1699" t="s">
        <v>3522</v>
      </c>
      <c r="CO538" s="1699" t="s">
        <v>7753</v>
      </c>
      <c r="CP538" s="1699" t="s">
        <v>6013</v>
      </c>
    </row>
    <row r="539" spans="84:94" x14ac:dyDescent="0.2">
      <c r="CF539" s="1661" t="s">
        <v>10355</v>
      </c>
      <c r="CG539" s="1661" t="s">
        <v>11355</v>
      </c>
      <c r="CL539" s="1699" t="s">
        <v>2270</v>
      </c>
      <c r="CM539" s="1699" t="s">
        <v>4606</v>
      </c>
      <c r="CN539" s="1699" t="s">
        <v>3521</v>
      </c>
      <c r="CO539" s="1699" t="s">
        <v>7754</v>
      </c>
      <c r="CP539" s="1699" t="s">
        <v>6012</v>
      </c>
    </row>
    <row r="540" spans="84:94" x14ac:dyDescent="0.2">
      <c r="CF540" s="1661" t="s">
        <v>10356</v>
      </c>
      <c r="CG540" s="1661" t="s">
        <v>11356</v>
      </c>
      <c r="CL540" s="1699" t="s">
        <v>2271</v>
      </c>
      <c r="CM540" s="1699" t="s">
        <v>4607</v>
      </c>
      <c r="CN540" s="1699" t="s">
        <v>3520</v>
      </c>
      <c r="CO540" s="1699" t="s">
        <v>7755</v>
      </c>
      <c r="CP540" s="1699" t="s">
        <v>6011</v>
      </c>
    </row>
    <row r="541" spans="84:94" x14ac:dyDescent="0.2">
      <c r="CF541" s="1661" t="s">
        <v>10357</v>
      </c>
      <c r="CG541" s="1661" t="s">
        <v>11357</v>
      </c>
      <c r="CL541" s="1699" t="s">
        <v>2272</v>
      </c>
      <c r="CM541" s="1699" t="s">
        <v>4608</v>
      </c>
      <c r="CN541" s="1699" t="s">
        <v>3519</v>
      </c>
      <c r="CO541" s="1699" t="s">
        <v>7756</v>
      </c>
      <c r="CP541" s="1699" t="s">
        <v>6010</v>
      </c>
    </row>
    <row r="542" spans="84:94" x14ac:dyDescent="0.2">
      <c r="CF542" s="1661" t="s">
        <v>10358</v>
      </c>
      <c r="CG542" s="1661" t="s">
        <v>11358</v>
      </c>
      <c r="CL542" s="1699" t="s">
        <v>2273</v>
      </c>
      <c r="CM542" s="1699" t="s">
        <v>4609</v>
      </c>
      <c r="CN542" s="1699" t="s">
        <v>3518</v>
      </c>
      <c r="CO542" s="1699" t="s">
        <v>7533</v>
      </c>
      <c r="CP542" s="1699" t="s">
        <v>6009</v>
      </c>
    </row>
    <row r="543" spans="84:94" x14ac:dyDescent="0.2">
      <c r="CF543" s="1661" t="s">
        <v>10359</v>
      </c>
      <c r="CG543" s="1661" t="s">
        <v>11359</v>
      </c>
      <c r="CL543" s="1699" t="s">
        <v>2274</v>
      </c>
      <c r="CM543" s="1699" t="s">
        <v>4610</v>
      </c>
      <c r="CN543" s="1699" t="s">
        <v>3517</v>
      </c>
      <c r="CO543" s="1699" t="s">
        <v>7532</v>
      </c>
      <c r="CP543" s="1699" t="s">
        <v>6008</v>
      </c>
    </row>
    <row r="544" spans="84:94" x14ac:dyDescent="0.2">
      <c r="CF544" s="1661" t="s">
        <v>10360</v>
      </c>
      <c r="CG544" s="1661" t="s">
        <v>11360</v>
      </c>
      <c r="CL544" s="1699" t="s">
        <v>2275</v>
      </c>
      <c r="CM544" s="1699" t="s">
        <v>4611</v>
      </c>
      <c r="CN544" s="1699" t="s">
        <v>3516</v>
      </c>
      <c r="CO544" s="1699" t="s">
        <v>7531</v>
      </c>
      <c r="CP544" s="1699" t="s">
        <v>6007</v>
      </c>
    </row>
    <row r="545" spans="84:94" x14ac:dyDescent="0.2">
      <c r="CF545" s="1661" t="s">
        <v>10361</v>
      </c>
      <c r="CG545" s="1661" t="s">
        <v>11361</v>
      </c>
      <c r="CL545" s="1699" t="s">
        <v>2276</v>
      </c>
      <c r="CM545" s="1699" t="s">
        <v>4612</v>
      </c>
      <c r="CN545" s="1699" t="s">
        <v>3515</v>
      </c>
      <c r="CO545" s="1699" t="s">
        <v>7530</v>
      </c>
      <c r="CP545" s="1699" t="s">
        <v>6006</v>
      </c>
    </row>
    <row r="546" spans="84:94" x14ac:dyDescent="0.2">
      <c r="CF546" s="1661" t="s">
        <v>10362</v>
      </c>
      <c r="CG546" s="1661" t="s">
        <v>11362</v>
      </c>
      <c r="CL546" s="1699" t="s">
        <v>2277</v>
      </c>
      <c r="CM546" s="1699" t="s">
        <v>4613</v>
      </c>
      <c r="CN546" s="1699" t="s">
        <v>3514</v>
      </c>
      <c r="CO546" s="1699" t="s">
        <v>7529</v>
      </c>
      <c r="CP546" s="1699" t="s">
        <v>6005</v>
      </c>
    </row>
    <row r="547" spans="84:94" x14ac:dyDescent="0.2">
      <c r="CF547" s="1661" t="s">
        <v>10363</v>
      </c>
      <c r="CG547" s="1661" t="s">
        <v>11363</v>
      </c>
      <c r="CL547" s="1699" t="s">
        <v>2278</v>
      </c>
      <c r="CM547" s="1699" t="s">
        <v>4614</v>
      </c>
      <c r="CN547" s="1699" t="s">
        <v>3513</v>
      </c>
      <c r="CO547" s="1699" t="s">
        <v>7528</v>
      </c>
      <c r="CP547" s="1699" t="s">
        <v>6004</v>
      </c>
    </row>
    <row r="548" spans="84:94" x14ac:dyDescent="0.2">
      <c r="CF548" s="1661" t="s">
        <v>10364</v>
      </c>
      <c r="CG548" s="1661" t="s">
        <v>11364</v>
      </c>
      <c r="CL548" s="1699" t="s">
        <v>2279</v>
      </c>
      <c r="CM548" s="1699" t="s">
        <v>4615</v>
      </c>
      <c r="CN548" s="1699" t="s">
        <v>3512</v>
      </c>
      <c r="CO548" s="1699" t="s">
        <v>7527</v>
      </c>
      <c r="CP548" s="1699" t="s">
        <v>6003</v>
      </c>
    </row>
    <row r="549" spans="84:94" x14ac:dyDescent="0.2">
      <c r="CF549" s="1661" t="s">
        <v>10365</v>
      </c>
      <c r="CG549" s="1661" t="s">
        <v>11365</v>
      </c>
      <c r="CL549" s="1699" t="s">
        <v>2280</v>
      </c>
      <c r="CM549" s="1699" t="s">
        <v>4616</v>
      </c>
      <c r="CN549" s="1699" t="s">
        <v>3511</v>
      </c>
      <c r="CO549" s="1699" t="s">
        <v>7526</v>
      </c>
      <c r="CP549" s="1699" t="s">
        <v>6002</v>
      </c>
    </row>
    <row r="550" spans="84:94" x14ac:dyDescent="0.2">
      <c r="CF550" s="1661" t="s">
        <v>10366</v>
      </c>
      <c r="CG550" s="1661" t="s">
        <v>11366</v>
      </c>
      <c r="CL550" s="1699" t="s">
        <v>2281</v>
      </c>
      <c r="CM550" s="1699" t="s">
        <v>4617</v>
      </c>
      <c r="CN550" s="1699" t="s">
        <v>3510</v>
      </c>
      <c r="CO550" s="1699" t="s">
        <v>7525</v>
      </c>
      <c r="CP550" s="1699" t="s">
        <v>6001</v>
      </c>
    </row>
    <row r="551" spans="84:94" x14ac:dyDescent="0.2">
      <c r="CF551" s="1661" t="s">
        <v>10367</v>
      </c>
      <c r="CG551" s="1661" t="s">
        <v>11367</v>
      </c>
      <c r="CL551" s="1699" t="s">
        <v>2282</v>
      </c>
      <c r="CM551" s="1699" t="s">
        <v>4618</v>
      </c>
      <c r="CN551" s="1699" t="s">
        <v>3509</v>
      </c>
      <c r="CO551" s="1699" t="s">
        <v>7524</v>
      </c>
      <c r="CP551" s="1699" t="s">
        <v>6000</v>
      </c>
    </row>
    <row r="552" spans="84:94" x14ac:dyDescent="0.2">
      <c r="CF552" s="1661" t="s">
        <v>10368</v>
      </c>
      <c r="CG552" s="1661" t="s">
        <v>11368</v>
      </c>
      <c r="CL552" s="1699" t="s">
        <v>2283</v>
      </c>
      <c r="CM552" s="1699" t="s">
        <v>4619</v>
      </c>
      <c r="CN552" s="1699" t="s">
        <v>3508</v>
      </c>
      <c r="CO552" s="1699" t="s">
        <v>7523</v>
      </c>
      <c r="CP552" s="1699" t="s">
        <v>5999</v>
      </c>
    </row>
    <row r="553" spans="84:94" x14ac:dyDescent="0.2">
      <c r="CF553" s="1661" t="s">
        <v>10369</v>
      </c>
      <c r="CG553" s="1661" t="s">
        <v>11369</v>
      </c>
      <c r="CL553" s="1699" t="s">
        <v>2284</v>
      </c>
      <c r="CM553" s="1699" t="s">
        <v>4620</v>
      </c>
      <c r="CN553" s="1699" t="s">
        <v>3507</v>
      </c>
      <c r="CO553" s="1699" t="s">
        <v>7522</v>
      </c>
      <c r="CP553" s="1699" t="s">
        <v>5998</v>
      </c>
    </row>
    <row r="554" spans="84:94" x14ac:dyDescent="0.2">
      <c r="CF554" s="1661" t="s">
        <v>10370</v>
      </c>
      <c r="CG554" s="1661" t="s">
        <v>11370</v>
      </c>
      <c r="CL554" s="1699" t="s">
        <v>2285</v>
      </c>
      <c r="CM554" s="1699" t="s">
        <v>4621</v>
      </c>
      <c r="CN554" s="1699" t="s">
        <v>3506</v>
      </c>
      <c r="CO554" s="1699" t="s">
        <v>7521</v>
      </c>
      <c r="CP554" s="1699" t="s">
        <v>5997</v>
      </c>
    </row>
    <row r="555" spans="84:94" x14ac:dyDescent="0.2">
      <c r="CF555" s="1661" t="s">
        <v>10371</v>
      </c>
      <c r="CG555" s="1661" t="s">
        <v>11371</v>
      </c>
      <c r="CL555" s="1699" t="s">
        <v>2286</v>
      </c>
      <c r="CM555" s="1699" t="s">
        <v>4622</v>
      </c>
      <c r="CN555" s="1699" t="s">
        <v>3505</v>
      </c>
      <c r="CO555" s="1699" t="s">
        <v>7520</v>
      </c>
      <c r="CP555" s="1699" t="s">
        <v>5996</v>
      </c>
    </row>
    <row r="556" spans="84:94" x14ac:dyDescent="0.2">
      <c r="CF556" s="1661" t="s">
        <v>10372</v>
      </c>
      <c r="CG556" s="1661" t="s">
        <v>11372</v>
      </c>
      <c r="CL556" s="1699" t="s">
        <v>2287</v>
      </c>
      <c r="CM556" s="1699" t="s">
        <v>4623</v>
      </c>
      <c r="CN556" s="1699" t="s">
        <v>3504</v>
      </c>
      <c r="CO556" s="1699" t="s">
        <v>7519</v>
      </c>
      <c r="CP556" s="1699" t="s">
        <v>5995</v>
      </c>
    </row>
    <row r="557" spans="84:94" x14ac:dyDescent="0.2">
      <c r="CF557" s="1661" t="s">
        <v>10373</v>
      </c>
      <c r="CG557" s="1661" t="s">
        <v>11373</v>
      </c>
      <c r="CL557" s="1699" t="s">
        <v>2288</v>
      </c>
      <c r="CM557" s="1699" t="s">
        <v>4624</v>
      </c>
      <c r="CN557" s="1699" t="s">
        <v>3503</v>
      </c>
      <c r="CO557" s="1699" t="s">
        <v>7518</v>
      </c>
      <c r="CP557" s="1699" t="s">
        <v>5994</v>
      </c>
    </row>
    <row r="558" spans="84:94" x14ac:dyDescent="0.2">
      <c r="CF558" s="1661" t="s">
        <v>10374</v>
      </c>
      <c r="CG558" s="1661" t="s">
        <v>11374</v>
      </c>
      <c r="CL558" s="1699" t="s">
        <v>2289</v>
      </c>
      <c r="CM558" s="1699" t="s">
        <v>4625</v>
      </c>
      <c r="CN558" s="1699" t="s">
        <v>3502</v>
      </c>
      <c r="CO558" s="1699" t="s">
        <v>7517</v>
      </c>
      <c r="CP558" s="1699" t="s">
        <v>5993</v>
      </c>
    </row>
    <row r="559" spans="84:94" x14ac:dyDescent="0.2">
      <c r="CF559" s="1661" t="s">
        <v>10375</v>
      </c>
      <c r="CG559" s="1661" t="s">
        <v>11375</v>
      </c>
      <c r="CL559" s="1699" t="s">
        <v>2290</v>
      </c>
      <c r="CM559" s="1699" t="s">
        <v>4626</v>
      </c>
      <c r="CN559" s="1699" t="s">
        <v>3501</v>
      </c>
      <c r="CO559" s="1699" t="s">
        <v>7516</v>
      </c>
      <c r="CP559" s="1699" t="s">
        <v>5992</v>
      </c>
    </row>
    <row r="560" spans="84:94" x14ac:dyDescent="0.2">
      <c r="CF560" s="1661" t="s">
        <v>10376</v>
      </c>
      <c r="CG560" s="1661" t="s">
        <v>11376</v>
      </c>
      <c r="CL560" s="1699" t="s">
        <v>2291</v>
      </c>
      <c r="CM560" s="1699" t="s">
        <v>4627</v>
      </c>
      <c r="CN560" s="1699" t="s">
        <v>3500</v>
      </c>
      <c r="CO560" s="1699" t="s">
        <v>7515</v>
      </c>
      <c r="CP560" s="1699" t="s">
        <v>5991</v>
      </c>
    </row>
    <row r="561" spans="84:94" x14ac:dyDescent="0.2">
      <c r="CF561" s="1661" t="s">
        <v>10377</v>
      </c>
      <c r="CG561" s="1661" t="s">
        <v>11377</v>
      </c>
      <c r="CL561" s="1699" t="s">
        <v>2292</v>
      </c>
      <c r="CM561" s="1699" t="s">
        <v>4628</v>
      </c>
      <c r="CN561" s="1699" t="s">
        <v>3499</v>
      </c>
      <c r="CO561" s="1699" t="s">
        <v>7514</v>
      </c>
      <c r="CP561" s="1699" t="s">
        <v>5990</v>
      </c>
    </row>
    <row r="562" spans="84:94" x14ac:dyDescent="0.2">
      <c r="CF562" s="1661" t="s">
        <v>10378</v>
      </c>
      <c r="CG562" s="1661" t="s">
        <v>11378</v>
      </c>
      <c r="CL562" s="1699" t="s">
        <v>2293</v>
      </c>
      <c r="CM562" s="1699" t="s">
        <v>4629</v>
      </c>
      <c r="CN562" s="1699" t="s">
        <v>3498</v>
      </c>
      <c r="CO562" s="1699" t="s">
        <v>7513</v>
      </c>
      <c r="CP562" s="1699" t="s">
        <v>5989</v>
      </c>
    </row>
    <row r="563" spans="84:94" x14ac:dyDescent="0.2">
      <c r="CF563" s="1661" t="s">
        <v>10379</v>
      </c>
      <c r="CG563" s="1661" t="s">
        <v>11379</v>
      </c>
      <c r="CL563" s="1699" t="s">
        <v>2294</v>
      </c>
      <c r="CM563" s="1699" t="s">
        <v>4630</v>
      </c>
      <c r="CN563" s="1699" t="s">
        <v>3497</v>
      </c>
      <c r="CO563" s="1699" t="s">
        <v>7512</v>
      </c>
      <c r="CP563" s="1699" t="s">
        <v>4062</v>
      </c>
    </row>
    <row r="564" spans="84:94" x14ac:dyDescent="0.2">
      <c r="CF564" s="1661" t="s">
        <v>10380</v>
      </c>
      <c r="CG564" s="1661" t="s">
        <v>11380</v>
      </c>
      <c r="CL564" s="1699" t="s">
        <v>2295</v>
      </c>
      <c r="CM564" s="1699" t="s">
        <v>4631</v>
      </c>
      <c r="CN564" s="1699" t="s">
        <v>3496</v>
      </c>
      <c r="CO564" s="1699" t="s">
        <v>7511</v>
      </c>
      <c r="CP564" s="1699" t="s">
        <v>5988</v>
      </c>
    </row>
    <row r="565" spans="84:94" x14ac:dyDescent="0.2">
      <c r="CF565" s="1661" t="s">
        <v>10381</v>
      </c>
      <c r="CG565" s="1661" t="s">
        <v>11381</v>
      </c>
      <c r="CL565" s="1699" t="s">
        <v>2296</v>
      </c>
      <c r="CM565" s="1699" t="s">
        <v>4632</v>
      </c>
      <c r="CN565" s="1699" t="s">
        <v>3495</v>
      </c>
      <c r="CO565" s="1699" t="s">
        <v>7510</v>
      </c>
      <c r="CP565" s="1699" t="s">
        <v>5987</v>
      </c>
    </row>
    <row r="566" spans="84:94" x14ac:dyDescent="0.2">
      <c r="CF566" s="1661" t="s">
        <v>10382</v>
      </c>
      <c r="CG566" s="1661" t="s">
        <v>11382</v>
      </c>
      <c r="CL566" s="1699" t="s">
        <v>2297</v>
      </c>
      <c r="CM566" s="1699" t="s">
        <v>4633</v>
      </c>
      <c r="CN566" s="1699" t="s">
        <v>3494</v>
      </c>
      <c r="CO566" s="1699" t="s">
        <v>7509</v>
      </c>
      <c r="CP566" s="1699" t="s">
        <v>5986</v>
      </c>
    </row>
    <row r="567" spans="84:94" x14ac:dyDescent="0.2">
      <c r="CF567" s="1661" t="s">
        <v>10383</v>
      </c>
      <c r="CG567" s="1661" t="s">
        <v>11383</v>
      </c>
      <c r="CL567" s="1699" t="s">
        <v>2298</v>
      </c>
      <c r="CM567" s="1699" t="s">
        <v>4634</v>
      </c>
      <c r="CN567" s="1699" t="s">
        <v>3493</v>
      </c>
      <c r="CO567" s="1699" t="s">
        <v>7508</v>
      </c>
      <c r="CP567" s="1699" t="s">
        <v>5985</v>
      </c>
    </row>
    <row r="568" spans="84:94" x14ac:dyDescent="0.2">
      <c r="CF568" s="1661" t="s">
        <v>10384</v>
      </c>
      <c r="CG568" s="1661" t="s">
        <v>11384</v>
      </c>
      <c r="CL568" s="1699" t="s">
        <v>2299</v>
      </c>
      <c r="CM568" s="1699" t="s">
        <v>4635</v>
      </c>
      <c r="CN568" s="1699" t="s">
        <v>3492</v>
      </c>
      <c r="CO568" s="1699" t="s">
        <v>7507</v>
      </c>
      <c r="CP568" s="1699" t="s">
        <v>8191</v>
      </c>
    </row>
    <row r="569" spans="84:94" x14ac:dyDescent="0.2">
      <c r="CF569" s="1661" t="s">
        <v>10385</v>
      </c>
      <c r="CG569" s="1661" t="s">
        <v>11385</v>
      </c>
      <c r="CL569" s="1699" t="s">
        <v>2300</v>
      </c>
      <c r="CM569" s="1699" t="s">
        <v>4636</v>
      </c>
      <c r="CN569" s="1699" t="s">
        <v>3491</v>
      </c>
      <c r="CO569" s="1699" t="s">
        <v>7506</v>
      </c>
      <c r="CP569" s="1699" t="s">
        <v>5984</v>
      </c>
    </row>
    <row r="570" spans="84:94" x14ac:dyDescent="0.2">
      <c r="CF570" s="1661" t="s">
        <v>10386</v>
      </c>
      <c r="CG570" s="1661" t="s">
        <v>11386</v>
      </c>
      <c r="CL570" s="1699" t="s">
        <v>2301</v>
      </c>
      <c r="CM570" s="1699" t="s">
        <v>4637</v>
      </c>
      <c r="CN570" s="1699" t="s">
        <v>3490</v>
      </c>
      <c r="CO570" s="1699" t="s">
        <v>7505</v>
      </c>
      <c r="CP570" s="1699" t="s">
        <v>5983</v>
      </c>
    </row>
    <row r="571" spans="84:94" x14ac:dyDescent="0.2">
      <c r="CF571" s="1661" t="s">
        <v>10387</v>
      </c>
      <c r="CG571" s="1661" t="s">
        <v>11387</v>
      </c>
      <c r="CL571" s="1699" t="s">
        <v>2302</v>
      </c>
      <c r="CM571" s="1699" t="s">
        <v>4638</v>
      </c>
      <c r="CN571" s="1699" t="s">
        <v>3489</v>
      </c>
      <c r="CO571" s="1699" t="s">
        <v>7504</v>
      </c>
      <c r="CP571" s="1699" t="s">
        <v>5982</v>
      </c>
    </row>
    <row r="572" spans="84:94" x14ac:dyDescent="0.2">
      <c r="CF572" s="1661" t="s">
        <v>10388</v>
      </c>
      <c r="CG572" s="1661" t="s">
        <v>11388</v>
      </c>
      <c r="CL572" s="1699" t="s">
        <v>2303</v>
      </c>
      <c r="CM572" s="1699" t="s">
        <v>4639</v>
      </c>
      <c r="CN572" s="1699" t="s">
        <v>3488</v>
      </c>
      <c r="CO572" s="1699" t="s">
        <v>7503</v>
      </c>
      <c r="CP572" s="1699" t="s">
        <v>5981</v>
      </c>
    </row>
    <row r="573" spans="84:94" x14ac:dyDescent="0.2">
      <c r="CF573" s="1661" t="s">
        <v>10389</v>
      </c>
      <c r="CG573" s="1661" t="s">
        <v>11389</v>
      </c>
      <c r="CL573" s="1699" t="s">
        <v>2304</v>
      </c>
      <c r="CM573" s="1699" t="s">
        <v>4640</v>
      </c>
      <c r="CN573" s="1699" t="s">
        <v>3487</v>
      </c>
      <c r="CO573" s="1699" t="s">
        <v>7502</v>
      </c>
      <c r="CP573" s="1699" t="s">
        <v>5980</v>
      </c>
    </row>
    <row r="574" spans="84:94" x14ac:dyDescent="0.2">
      <c r="CF574" s="1661" t="s">
        <v>10390</v>
      </c>
      <c r="CG574" s="1661" t="s">
        <v>11390</v>
      </c>
      <c r="CL574" s="1699" t="s">
        <v>2305</v>
      </c>
      <c r="CM574" s="1699" t="s">
        <v>4641</v>
      </c>
      <c r="CN574" s="1699" t="s">
        <v>3486</v>
      </c>
      <c r="CO574" s="1699" t="s">
        <v>7501</v>
      </c>
      <c r="CP574" s="1699" t="s">
        <v>5979</v>
      </c>
    </row>
    <row r="575" spans="84:94" x14ac:dyDescent="0.2">
      <c r="CF575" s="1661" t="s">
        <v>10391</v>
      </c>
      <c r="CG575" s="1661" t="s">
        <v>11391</v>
      </c>
      <c r="CL575" s="1699" t="s">
        <v>2306</v>
      </c>
      <c r="CM575" s="1699" t="s">
        <v>4642</v>
      </c>
      <c r="CN575" s="1699" t="s">
        <v>3485</v>
      </c>
      <c r="CO575" s="1699" t="s">
        <v>7500</v>
      </c>
      <c r="CP575" s="1699" t="s">
        <v>5978</v>
      </c>
    </row>
    <row r="576" spans="84:94" x14ac:dyDescent="0.2">
      <c r="CF576" s="1661" t="s">
        <v>10392</v>
      </c>
      <c r="CG576" s="1661" t="s">
        <v>11392</v>
      </c>
      <c r="CL576" s="1699" t="s">
        <v>2307</v>
      </c>
      <c r="CM576" s="1699" t="s">
        <v>4643</v>
      </c>
      <c r="CN576" s="1699" t="s">
        <v>3484</v>
      </c>
      <c r="CO576" s="1699" t="s">
        <v>7499</v>
      </c>
      <c r="CP576" s="1699" t="s">
        <v>5977</v>
      </c>
    </row>
    <row r="577" spans="84:94" x14ac:dyDescent="0.2">
      <c r="CF577" s="1661" t="s">
        <v>10393</v>
      </c>
      <c r="CG577" s="1661" t="s">
        <v>11393</v>
      </c>
      <c r="CL577" s="1699" t="s">
        <v>2308</v>
      </c>
      <c r="CM577" s="1699" t="s">
        <v>4644</v>
      </c>
      <c r="CN577" s="1699" t="s">
        <v>3483</v>
      </c>
      <c r="CO577" s="1699" t="s">
        <v>7498</v>
      </c>
      <c r="CP577" s="1699" t="s">
        <v>5976</v>
      </c>
    </row>
    <row r="578" spans="84:94" x14ac:dyDescent="0.2">
      <c r="CF578" s="1661" t="s">
        <v>10394</v>
      </c>
      <c r="CG578" s="1661" t="s">
        <v>11394</v>
      </c>
      <c r="CL578" s="1699" t="s">
        <v>2309</v>
      </c>
      <c r="CM578" s="1699" t="s">
        <v>4645</v>
      </c>
      <c r="CN578" s="1699" t="s">
        <v>3482</v>
      </c>
      <c r="CO578" s="1699" t="s">
        <v>7497</v>
      </c>
      <c r="CP578" s="1699" t="s">
        <v>5975</v>
      </c>
    </row>
    <row r="579" spans="84:94" x14ac:dyDescent="0.2">
      <c r="CF579" s="1661" t="s">
        <v>10395</v>
      </c>
      <c r="CG579" s="1661" t="s">
        <v>11395</v>
      </c>
      <c r="CL579" s="1699" t="s">
        <v>2310</v>
      </c>
      <c r="CM579" s="1699" t="s">
        <v>4646</v>
      </c>
      <c r="CN579" s="1699" t="s">
        <v>3481</v>
      </c>
      <c r="CO579" s="1699" t="s">
        <v>7496</v>
      </c>
      <c r="CP579" s="1699" t="s">
        <v>5974</v>
      </c>
    </row>
    <row r="580" spans="84:94" x14ac:dyDescent="0.2">
      <c r="CF580" s="1661" t="s">
        <v>10396</v>
      </c>
      <c r="CG580" s="1661" t="s">
        <v>11396</v>
      </c>
      <c r="CL580" s="1699" t="s">
        <v>2311</v>
      </c>
      <c r="CM580" s="1699" t="s">
        <v>4647</v>
      </c>
      <c r="CN580" s="1699" t="s">
        <v>3480</v>
      </c>
      <c r="CO580" s="1699" t="s">
        <v>7495</v>
      </c>
      <c r="CP580" s="1699" t="s">
        <v>5973</v>
      </c>
    </row>
    <row r="581" spans="84:94" x14ac:dyDescent="0.2">
      <c r="CF581" s="1661" t="s">
        <v>10397</v>
      </c>
      <c r="CG581" s="1661" t="s">
        <v>11397</v>
      </c>
      <c r="CL581" s="1699" t="s">
        <v>2312</v>
      </c>
      <c r="CM581" s="1699" t="s">
        <v>4648</v>
      </c>
      <c r="CN581" s="1699" t="s">
        <v>3479</v>
      </c>
      <c r="CO581" s="1699" t="s">
        <v>7494</v>
      </c>
      <c r="CP581" s="1699" t="s">
        <v>5972</v>
      </c>
    </row>
    <row r="582" spans="84:94" x14ac:dyDescent="0.2">
      <c r="CF582" s="1661" t="s">
        <v>10398</v>
      </c>
      <c r="CG582" s="1661" t="s">
        <v>11398</v>
      </c>
      <c r="CL582" s="1699" t="s">
        <v>2313</v>
      </c>
      <c r="CM582" s="1699" t="s">
        <v>4649</v>
      </c>
      <c r="CN582" s="1699" t="s">
        <v>3478</v>
      </c>
      <c r="CO582" s="1699" t="s">
        <v>7493</v>
      </c>
      <c r="CP582" s="1699" t="s">
        <v>5971</v>
      </c>
    </row>
    <row r="583" spans="84:94" x14ac:dyDescent="0.2">
      <c r="CF583" s="1661" t="s">
        <v>10399</v>
      </c>
      <c r="CG583" s="1661" t="s">
        <v>11399</v>
      </c>
      <c r="CL583" s="1699" t="s">
        <v>2314</v>
      </c>
      <c r="CM583" s="1699" t="s">
        <v>4650</v>
      </c>
      <c r="CN583" s="1699" t="s">
        <v>3477</v>
      </c>
      <c r="CO583" s="1699" t="s">
        <v>7492</v>
      </c>
      <c r="CP583" s="1699" t="s">
        <v>5970</v>
      </c>
    </row>
    <row r="584" spans="84:94" x14ac:dyDescent="0.2">
      <c r="CF584" s="1661" t="s">
        <v>10400</v>
      </c>
      <c r="CG584" s="1661" t="s">
        <v>11400</v>
      </c>
      <c r="CL584" s="1699" t="s">
        <v>2315</v>
      </c>
      <c r="CM584" s="1699" t="s">
        <v>4651</v>
      </c>
      <c r="CN584" s="1699" t="s">
        <v>3476</v>
      </c>
      <c r="CO584" s="1699" t="s">
        <v>7491</v>
      </c>
      <c r="CP584" s="1699" t="s">
        <v>5969</v>
      </c>
    </row>
    <row r="585" spans="84:94" x14ac:dyDescent="0.2">
      <c r="CF585" s="1661" t="s">
        <v>10401</v>
      </c>
      <c r="CG585" s="1661" t="s">
        <v>11401</v>
      </c>
      <c r="CL585" s="1699" t="s">
        <v>2316</v>
      </c>
      <c r="CM585" s="1699" t="s">
        <v>4652</v>
      </c>
      <c r="CN585" s="1699" t="s">
        <v>3475</v>
      </c>
      <c r="CO585" s="1699" t="s">
        <v>7490</v>
      </c>
      <c r="CP585" s="1699" t="s">
        <v>5968</v>
      </c>
    </row>
    <row r="586" spans="84:94" x14ac:dyDescent="0.2">
      <c r="CF586" s="1661" t="s">
        <v>10402</v>
      </c>
      <c r="CG586" s="1661" t="s">
        <v>11402</v>
      </c>
      <c r="CL586" s="1699" t="s">
        <v>2317</v>
      </c>
      <c r="CM586" s="1699" t="s">
        <v>4653</v>
      </c>
      <c r="CN586" s="1699" t="s">
        <v>3474</v>
      </c>
      <c r="CO586" s="1699" t="s">
        <v>7489</v>
      </c>
      <c r="CP586" s="1699" t="s">
        <v>8190</v>
      </c>
    </row>
    <row r="587" spans="84:94" x14ac:dyDescent="0.2">
      <c r="CF587" s="1661" t="s">
        <v>10403</v>
      </c>
      <c r="CG587" s="1661" t="s">
        <v>11403</v>
      </c>
      <c r="CL587" s="1699" t="s">
        <v>2318</v>
      </c>
      <c r="CM587" s="1699" t="s">
        <v>4654</v>
      </c>
      <c r="CN587" s="1699" t="s">
        <v>3473</v>
      </c>
      <c r="CO587" s="1699" t="s">
        <v>7488</v>
      </c>
      <c r="CP587" s="1699" t="s">
        <v>8189</v>
      </c>
    </row>
    <row r="588" spans="84:94" x14ac:dyDescent="0.2">
      <c r="CF588" s="1661" t="s">
        <v>10404</v>
      </c>
      <c r="CG588" s="1661" t="s">
        <v>11404</v>
      </c>
      <c r="CL588" s="1699" t="s">
        <v>2319</v>
      </c>
      <c r="CM588" s="1699" t="s">
        <v>4655</v>
      </c>
      <c r="CN588" s="1699" t="s">
        <v>3472</v>
      </c>
      <c r="CO588" s="1699" t="s">
        <v>7487</v>
      </c>
      <c r="CP588" s="1699" t="s">
        <v>5967</v>
      </c>
    </row>
    <row r="589" spans="84:94" x14ac:dyDescent="0.2">
      <c r="CF589" s="1661" t="s">
        <v>10405</v>
      </c>
      <c r="CG589" s="1661" t="s">
        <v>11405</v>
      </c>
      <c r="CL589" s="1699" t="s">
        <v>2320</v>
      </c>
      <c r="CM589" s="1699" t="s">
        <v>4656</v>
      </c>
      <c r="CN589" s="1699" t="s">
        <v>3471</v>
      </c>
      <c r="CO589" s="1699" t="s">
        <v>7486</v>
      </c>
      <c r="CP589" s="1699" t="s">
        <v>5966</v>
      </c>
    </row>
    <row r="590" spans="84:94" x14ac:dyDescent="0.2">
      <c r="CF590" s="1661" t="s">
        <v>10406</v>
      </c>
      <c r="CG590" s="1661" t="s">
        <v>11406</v>
      </c>
      <c r="CL590" s="1699" t="s">
        <v>2321</v>
      </c>
      <c r="CM590" s="1699" t="s">
        <v>4657</v>
      </c>
      <c r="CN590" s="1699" t="s">
        <v>3470</v>
      </c>
      <c r="CO590" s="1699" t="s">
        <v>7485</v>
      </c>
      <c r="CP590" s="1699" t="s">
        <v>5965</v>
      </c>
    </row>
    <row r="591" spans="84:94" x14ac:dyDescent="0.2">
      <c r="CF591" s="1661" t="s">
        <v>10407</v>
      </c>
      <c r="CG591" s="1661" t="s">
        <v>11407</v>
      </c>
      <c r="CL591" s="1699" t="s">
        <v>2322</v>
      </c>
      <c r="CM591" s="1699" t="s">
        <v>4658</v>
      </c>
      <c r="CN591" s="1699" t="s">
        <v>3469</v>
      </c>
      <c r="CO591" s="1699" t="s">
        <v>7484</v>
      </c>
      <c r="CP591" s="1699" t="s">
        <v>5964</v>
      </c>
    </row>
    <row r="592" spans="84:94" x14ac:dyDescent="0.2">
      <c r="CF592" s="1661" t="s">
        <v>10408</v>
      </c>
      <c r="CG592" s="1661" t="s">
        <v>11408</v>
      </c>
      <c r="CL592" s="1699" t="s">
        <v>2323</v>
      </c>
      <c r="CM592" s="1699" t="s">
        <v>4659</v>
      </c>
      <c r="CN592" s="1699" t="s">
        <v>3468</v>
      </c>
      <c r="CO592" s="1699" t="s">
        <v>7483</v>
      </c>
      <c r="CP592" s="1699" t="s">
        <v>5963</v>
      </c>
    </row>
    <row r="593" spans="84:94" x14ac:dyDescent="0.2">
      <c r="CF593" s="1661" t="s">
        <v>10409</v>
      </c>
      <c r="CG593" s="1661" t="s">
        <v>11409</v>
      </c>
      <c r="CL593" s="1699" t="s">
        <v>2324</v>
      </c>
      <c r="CM593" s="1699" t="s">
        <v>4660</v>
      </c>
      <c r="CN593" s="1699" t="s">
        <v>3467</v>
      </c>
      <c r="CO593" s="1699" t="s">
        <v>7482</v>
      </c>
      <c r="CP593" s="1699" t="s">
        <v>5962</v>
      </c>
    </row>
    <row r="594" spans="84:94" x14ac:dyDescent="0.2">
      <c r="CF594" s="1661" t="s">
        <v>10410</v>
      </c>
      <c r="CG594" s="1661" t="s">
        <v>11410</v>
      </c>
      <c r="CL594" s="1699" t="s">
        <v>2325</v>
      </c>
      <c r="CM594" s="1699" t="s">
        <v>4661</v>
      </c>
      <c r="CN594" s="1699" t="s">
        <v>3466</v>
      </c>
      <c r="CO594" s="1699" t="s">
        <v>7481</v>
      </c>
      <c r="CP594" s="1699" t="s">
        <v>5961</v>
      </c>
    </row>
    <row r="595" spans="84:94" x14ac:dyDescent="0.2">
      <c r="CF595" s="1661" t="s">
        <v>10411</v>
      </c>
      <c r="CG595" s="1661" t="s">
        <v>11411</v>
      </c>
      <c r="CL595" s="1699" t="s">
        <v>2326</v>
      </c>
      <c r="CM595" s="1699" t="s">
        <v>4662</v>
      </c>
      <c r="CN595" s="1699" t="s">
        <v>3465</v>
      </c>
      <c r="CO595" s="1699" t="s">
        <v>7480</v>
      </c>
      <c r="CP595" s="1699" t="s">
        <v>5960</v>
      </c>
    </row>
    <row r="596" spans="84:94" x14ac:dyDescent="0.2">
      <c r="CF596" s="1661" t="s">
        <v>10412</v>
      </c>
      <c r="CG596" s="1661" t="s">
        <v>11412</v>
      </c>
      <c r="CL596" s="1699" t="s">
        <v>2327</v>
      </c>
      <c r="CM596" s="1699" t="s">
        <v>4663</v>
      </c>
      <c r="CN596" s="1699" t="s">
        <v>3464</v>
      </c>
      <c r="CO596" s="1699" t="s">
        <v>7479</v>
      </c>
      <c r="CP596" s="1699" t="s">
        <v>5959</v>
      </c>
    </row>
    <row r="597" spans="84:94" x14ac:dyDescent="0.2">
      <c r="CF597" s="1661" t="s">
        <v>10413</v>
      </c>
      <c r="CG597" s="1661" t="s">
        <v>11413</v>
      </c>
      <c r="CL597" s="1699" t="s">
        <v>2328</v>
      </c>
      <c r="CM597" s="1699" t="s">
        <v>4664</v>
      </c>
      <c r="CN597" s="1699" t="s">
        <v>3463</v>
      </c>
      <c r="CO597" s="1699" t="s">
        <v>7478</v>
      </c>
      <c r="CP597" s="1699" t="s">
        <v>5958</v>
      </c>
    </row>
    <row r="598" spans="84:94" x14ac:dyDescent="0.2">
      <c r="CF598" s="1661" t="s">
        <v>10414</v>
      </c>
      <c r="CG598" s="1661" t="s">
        <v>11414</v>
      </c>
      <c r="CL598" s="1699" t="s">
        <v>2329</v>
      </c>
      <c r="CM598" s="1699" t="s">
        <v>4665</v>
      </c>
      <c r="CN598" s="1699" t="s">
        <v>3462</v>
      </c>
      <c r="CO598" s="1699" t="s">
        <v>7477</v>
      </c>
      <c r="CP598" s="1699" t="s">
        <v>5957</v>
      </c>
    </row>
    <row r="599" spans="84:94" x14ac:dyDescent="0.2">
      <c r="CF599" s="1661" t="s">
        <v>10415</v>
      </c>
      <c r="CG599" s="1661" t="s">
        <v>11415</v>
      </c>
      <c r="CL599" s="1699" t="s">
        <v>2330</v>
      </c>
      <c r="CM599" s="1699" t="s">
        <v>4666</v>
      </c>
      <c r="CN599" s="1699" t="s">
        <v>3461</v>
      </c>
      <c r="CO599" s="1699" t="s">
        <v>7476</v>
      </c>
      <c r="CP599" s="1699" t="s">
        <v>5956</v>
      </c>
    </row>
    <row r="600" spans="84:94" x14ac:dyDescent="0.2">
      <c r="CF600" s="1661" t="s">
        <v>10416</v>
      </c>
      <c r="CG600" s="1661" t="s">
        <v>11416</v>
      </c>
      <c r="CL600" s="1699" t="s">
        <v>2331</v>
      </c>
      <c r="CM600" s="1699" t="s">
        <v>4667</v>
      </c>
      <c r="CN600" s="1699" t="s">
        <v>3460</v>
      </c>
      <c r="CO600" s="1699" t="s">
        <v>7475</v>
      </c>
      <c r="CP600" s="1699" t="s">
        <v>5955</v>
      </c>
    </row>
    <row r="601" spans="84:94" x14ac:dyDescent="0.2">
      <c r="CF601" s="1661" t="s">
        <v>10417</v>
      </c>
      <c r="CG601" s="1661" t="s">
        <v>11417</v>
      </c>
      <c r="CL601" s="1699" t="s">
        <v>2332</v>
      </c>
      <c r="CM601" s="1699" t="s">
        <v>4668</v>
      </c>
      <c r="CN601" s="1699" t="s">
        <v>3459</v>
      </c>
      <c r="CO601" s="1699" t="s">
        <v>7474</v>
      </c>
      <c r="CP601" s="1699" t="s">
        <v>5954</v>
      </c>
    </row>
    <row r="602" spans="84:94" x14ac:dyDescent="0.2">
      <c r="CF602" s="1661" t="s">
        <v>10418</v>
      </c>
      <c r="CG602" s="1661" t="s">
        <v>11418</v>
      </c>
      <c r="CL602" s="1699" t="s">
        <v>2333</v>
      </c>
      <c r="CM602" s="1699" t="s">
        <v>4669</v>
      </c>
      <c r="CN602" s="1699" t="s">
        <v>3458</v>
      </c>
      <c r="CO602" s="1699" t="s">
        <v>7473</v>
      </c>
      <c r="CP602" s="1699" t="s">
        <v>5953</v>
      </c>
    </row>
    <row r="603" spans="84:94" x14ac:dyDescent="0.2">
      <c r="CF603" s="1661" t="s">
        <v>10419</v>
      </c>
      <c r="CG603" s="1661" t="s">
        <v>11419</v>
      </c>
      <c r="CL603" s="1699" t="s">
        <v>2334</v>
      </c>
      <c r="CM603" s="1699" t="s">
        <v>4670</v>
      </c>
      <c r="CN603" s="1699" t="s">
        <v>3457</v>
      </c>
      <c r="CO603" s="1699" t="s">
        <v>7472</v>
      </c>
      <c r="CP603" s="1699" t="s">
        <v>5952</v>
      </c>
    </row>
    <row r="604" spans="84:94" x14ac:dyDescent="0.2">
      <c r="CF604" s="1661" t="s">
        <v>10420</v>
      </c>
      <c r="CG604" s="1661" t="s">
        <v>11420</v>
      </c>
      <c r="CL604" s="1699" t="s">
        <v>2335</v>
      </c>
      <c r="CM604" s="1699" t="s">
        <v>4671</v>
      </c>
      <c r="CN604" s="1699" t="s">
        <v>3456</v>
      </c>
      <c r="CO604" s="1699" t="s">
        <v>7471</v>
      </c>
      <c r="CP604" s="1699" t="s">
        <v>5951</v>
      </c>
    </row>
    <row r="605" spans="84:94" x14ac:dyDescent="0.2">
      <c r="CF605" s="1661" t="s">
        <v>10421</v>
      </c>
      <c r="CG605" s="1661" t="s">
        <v>11421</v>
      </c>
      <c r="CL605" s="1699" t="s">
        <v>2336</v>
      </c>
      <c r="CM605" s="1699" t="s">
        <v>4672</v>
      </c>
      <c r="CN605" s="1699" t="s">
        <v>3455</v>
      </c>
      <c r="CO605" s="1699" t="s">
        <v>7470</v>
      </c>
      <c r="CP605" s="1699" t="s">
        <v>5950</v>
      </c>
    </row>
    <row r="606" spans="84:94" x14ac:dyDescent="0.2">
      <c r="CF606" s="1661" t="s">
        <v>10422</v>
      </c>
      <c r="CG606" s="1661" t="s">
        <v>11422</v>
      </c>
      <c r="CL606" s="1699" t="s">
        <v>2337</v>
      </c>
      <c r="CM606" s="1699" t="s">
        <v>4673</v>
      </c>
      <c r="CN606" s="1699" t="s">
        <v>3454</v>
      </c>
      <c r="CO606" s="1699" t="s">
        <v>7469</v>
      </c>
      <c r="CP606" s="1699" t="s">
        <v>5949</v>
      </c>
    </row>
    <row r="607" spans="84:94" x14ac:dyDescent="0.2">
      <c r="CF607" s="1661" t="s">
        <v>10423</v>
      </c>
      <c r="CG607" s="1661" t="s">
        <v>11423</v>
      </c>
      <c r="CL607" s="1699" t="s">
        <v>2338</v>
      </c>
      <c r="CM607" s="1699" t="s">
        <v>4674</v>
      </c>
      <c r="CN607" s="1699" t="s">
        <v>3453</v>
      </c>
      <c r="CO607" s="1699" t="s">
        <v>7468</v>
      </c>
      <c r="CP607" s="1699" t="s">
        <v>5948</v>
      </c>
    </row>
    <row r="608" spans="84:94" x14ac:dyDescent="0.2">
      <c r="CF608" s="1661" t="s">
        <v>10424</v>
      </c>
      <c r="CG608" s="1661" t="s">
        <v>11424</v>
      </c>
      <c r="CL608" s="1699" t="s">
        <v>2339</v>
      </c>
      <c r="CM608" s="1699" t="s">
        <v>4675</v>
      </c>
      <c r="CN608" s="1699" t="s">
        <v>3452</v>
      </c>
      <c r="CO608" s="1699" t="s">
        <v>7467</v>
      </c>
      <c r="CP608" s="1699" t="s">
        <v>5947</v>
      </c>
    </row>
    <row r="609" spans="84:94" x14ac:dyDescent="0.2">
      <c r="CF609" s="1661" t="s">
        <v>10425</v>
      </c>
      <c r="CG609" s="1661" t="s">
        <v>11425</v>
      </c>
      <c r="CL609" s="1699" t="s">
        <v>2340</v>
      </c>
      <c r="CM609" s="1699" t="s">
        <v>4676</v>
      </c>
      <c r="CN609" s="1699" t="s">
        <v>3451</v>
      </c>
      <c r="CO609" s="1699" t="s">
        <v>7466</v>
      </c>
      <c r="CP609" s="1699" t="s">
        <v>5946</v>
      </c>
    </row>
    <row r="610" spans="84:94" x14ac:dyDescent="0.2">
      <c r="CF610" s="1661" t="s">
        <v>10426</v>
      </c>
      <c r="CG610" s="1661" t="s">
        <v>11426</v>
      </c>
      <c r="CL610" s="1699" t="s">
        <v>2341</v>
      </c>
      <c r="CM610" s="1699" t="s">
        <v>4677</v>
      </c>
      <c r="CN610" s="1699" t="s">
        <v>3450</v>
      </c>
      <c r="CO610" s="1699" t="s">
        <v>7465</v>
      </c>
      <c r="CP610" s="1699" t="s">
        <v>5945</v>
      </c>
    </row>
    <row r="611" spans="84:94" x14ac:dyDescent="0.2">
      <c r="CF611" s="1661" t="s">
        <v>10427</v>
      </c>
      <c r="CG611" s="1661" t="s">
        <v>11427</v>
      </c>
      <c r="CL611" s="1699" t="s">
        <v>2342</v>
      </c>
      <c r="CM611" s="1699" t="s">
        <v>4678</v>
      </c>
      <c r="CN611" s="1699" t="s">
        <v>3449</v>
      </c>
      <c r="CO611" s="1699" t="s">
        <v>7464</v>
      </c>
      <c r="CP611" s="1699" t="s">
        <v>5944</v>
      </c>
    </row>
    <row r="612" spans="84:94" x14ac:dyDescent="0.2">
      <c r="CF612" s="1661" t="s">
        <v>10428</v>
      </c>
      <c r="CG612" s="1661" t="s">
        <v>11428</v>
      </c>
      <c r="CL612" s="1699" t="s">
        <v>2343</v>
      </c>
      <c r="CM612" s="1699" t="s">
        <v>4679</v>
      </c>
      <c r="CN612" s="1699" t="s">
        <v>3448</v>
      </c>
      <c r="CO612" s="1699" t="s">
        <v>7463</v>
      </c>
      <c r="CP612" s="1699" t="s">
        <v>5943</v>
      </c>
    </row>
    <row r="613" spans="84:94" x14ac:dyDescent="0.2">
      <c r="CF613" s="1661" t="s">
        <v>10429</v>
      </c>
      <c r="CG613" s="1661" t="s">
        <v>11429</v>
      </c>
      <c r="CL613" s="1699" t="s">
        <v>2344</v>
      </c>
      <c r="CM613" s="1699" t="s">
        <v>4680</v>
      </c>
      <c r="CN613" s="1699" t="s">
        <v>3447</v>
      </c>
      <c r="CO613" s="1699" t="s">
        <v>7462</v>
      </c>
      <c r="CP613" s="1699" t="s">
        <v>5942</v>
      </c>
    </row>
    <row r="614" spans="84:94" x14ac:dyDescent="0.2">
      <c r="CF614" s="1661" t="s">
        <v>10430</v>
      </c>
      <c r="CG614" s="1661" t="s">
        <v>11430</v>
      </c>
      <c r="CL614" s="1699" t="s">
        <v>2345</v>
      </c>
      <c r="CM614" s="1699" t="s">
        <v>4681</v>
      </c>
      <c r="CN614" s="1699" t="s">
        <v>3446</v>
      </c>
      <c r="CO614" s="1699" t="s">
        <v>7461</v>
      </c>
      <c r="CP614" s="1699" t="s">
        <v>5941</v>
      </c>
    </row>
    <row r="615" spans="84:94" x14ac:dyDescent="0.2">
      <c r="CF615" s="1661" t="s">
        <v>10431</v>
      </c>
      <c r="CG615" s="1661" t="s">
        <v>11431</v>
      </c>
      <c r="CL615" s="1699" t="s">
        <v>2346</v>
      </c>
      <c r="CM615" s="1699" t="s">
        <v>4682</v>
      </c>
      <c r="CN615" s="1699" t="s">
        <v>3445</v>
      </c>
      <c r="CO615" s="1699" t="s">
        <v>7460</v>
      </c>
      <c r="CP615" s="1699" t="s">
        <v>5940</v>
      </c>
    </row>
    <row r="616" spans="84:94" x14ac:dyDescent="0.2">
      <c r="CF616" s="1661" t="s">
        <v>10432</v>
      </c>
      <c r="CG616" s="1661" t="s">
        <v>11432</v>
      </c>
      <c r="CL616" s="1699" t="s">
        <v>2347</v>
      </c>
      <c r="CM616" s="1699" t="s">
        <v>4683</v>
      </c>
      <c r="CN616" s="1699" t="s">
        <v>3444</v>
      </c>
      <c r="CO616" s="1699" t="s">
        <v>7459</v>
      </c>
      <c r="CP616" s="1699" t="s">
        <v>5939</v>
      </c>
    </row>
    <row r="617" spans="84:94" x14ac:dyDescent="0.2">
      <c r="CF617" s="1661" t="s">
        <v>10433</v>
      </c>
      <c r="CG617" s="1661" t="s">
        <v>11433</v>
      </c>
      <c r="CL617" s="1699" t="s">
        <v>2348</v>
      </c>
      <c r="CM617" s="1699" t="s">
        <v>4684</v>
      </c>
      <c r="CN617" s="1699" t="s">
        <v>3443</v>
      </c>
      <c r="CO617" s="1699" t="s">
        <v>7458</v>
      </c>
      <c r="CP617" s="1699" t="s">
        <v>5938</v>
      </c>
    </row>
    <row r="618" spans="84:94" x14ac:dyDescent="0.2">
      <c r="CF618" s="1661" t="s">
        <v>10434</v>
      </c>
      <c r="CG618" s="1661" t="s">
        <v>11434</v>
      </c>
      <c r="CL618" s="1699" t="s">
        <v>2349</v>
      </c>
      <c r="CM618" s="1699" t="s">
        <v>4685</v>
      </c>
      <c r="CN618" s="1699" t="s">
        <v>3442</v>
      </c>
      <c r="CO618" s="1699" t="s">
        <v>7457</v>
      </c>
      <c r="CP618" s="1699" t="s">
        <v>5937</v>
      </c>
    </row>
    <row r="619" spans="84:94" x14ac:dyDescent="0.2">
      <c r="CF619" s="1661" t="s">
        <v>10435</v>
      </c>
      <c r="CG619" s="1661" t="s">
        <v>11435</v>
      </c>
      <c r="CL619" s="1699" t="s">
        <v>2350</v>
      </c>
      <c r="CM619" s="1699" t="s">
        <v>4686</v>
      </c>
      <c r="CN619" s="1699" t="s">
        <v>3441</v>
      </c>
      <c r="CO619" s="1699" t="s">
        <v>7456</v>
      </c>
      <c r="CP619" s="1699" t="s">
        <v>5936</v>
      </c>
    </row>
    <row r="620" spans="84:94" x14ac:dyDescent="0.2">
      <c r="CF620" s="1661" t="s">
        <v>10436</v>
      </c>
      <c r="CG620" s="1661" t="s">
        <v>11436</v>
      </c>
      <c r="CL620" s="1699" t="s">
        <v>2351</v>
      </c>
      <c r="CM620" s="1699" t="s">
        <v>4687</v>
      </c>
      <c r="CN620" s="1699" t="s">
        <v>3440</v>
      </c>
      <c r="CO620" s="1699" t="s">
        <v>7455</v>
      </c>
      <c r="CP620" s="1699" t="s">
        <v>5935</v>
      </c>
    </row>
    <row r="621" spans="84:94" x14ac:dyDescent="0.2">
      <c r="CF621" s="1661" t="s">
        <v>10437</v>
      </c>
      <c r="CG621" s="1661" t="s">
        <v>11437</v>
      </c>
      <c r="CL621" s="1699" t="s">
        <v>2352</v>
      </c>
      <c r="CM621" s="1699" t="s">
        <v>4688</v>
      </c>
      <c r="CN621" s="1699" t="s">
        <v>3439</v>
      </c>
      <c r="CO621" s="1699" t="s">
        <v>7454</v>
      </c>
      <c r="CP621" s="1699" t="s">
        <v>5934</v>
      </c>
    </row>
    <row r="622" spans="84:94" x14ac:dyDescent="0.2">
      <c r="CF622" s="1661" t="s">
        <v>10438</v>
      </c>
      <c r="CG622" s="1661" t="s">
        <v>11438</v>
      </c>
      <c r="CL622" s="1699" t="s">
        <v>2353</v>
      </c>
      <c r="CM622" s="1699" t="s">
        <v>4689</v>
      </c>
      <c r="CN622" s="1699" t="s">
        <v>3438</v>
      </c>
      <c r="CO622" s="1699" t="s">
        <v>7453</v>
      </c>
      <c r="CP622" s="1699" t="s">
        <v>5933</v>
      </c>
    </row>
    <row r="623" spans="84:94" x14ac:dyDescent="0.2">
      <c r="CF623" s="1661" t="s">
        <v>10439</v>
      </c>
      <c r="CG623" s="1661" t="s">
        <v>11439</v>
      </c>
      <c r="CL623" s="1699" t="s">
        <v>2354</v>
      </c>
      <c r="CM623" s="1699" t="s">
        <v>4690</v>
      </c>
      <c r="CN623" s="1699" t="s">
        <v>3437</v>
      </c>
      <c r="CO623" s="1699" t="s">
        <v>7452</v>
      </c>
      <c r="CP623" s="1699" t="s">
        <v>5932</v>
      </c>
    </row>
    <row r="624" spans="84:94" x14ac:dyDescent="0.2">
      <c r="CF624" s="1661" t="s">
        <v>10440</v>
      </c>
      <c r="CG624" s="1661" t="s">
        <v>11440</v>
      </c>
      <c r="CL624" s="1699" t="s">
        <v>2355</v>
      </c>
      <c r="CM624" s="1699" t="s">
        <v>4691</v>
      </c>
      <c r="CN624" s="1699" t="s">
        <v>3436</v>
      </c>
      <c r="CO624" s="1699" t="s">
        <v>7451</v>
      </c>
      <c r="CP624" s="1699" t="s">
        <v>5931</v>
      </c>
    </row>
    <row r="625" spans="84:94" x14ac:dyDescent="0.2">
      <c r="CF625" s="1661" t="s">
        <v>10441</v>
      </c>
      <c r="CG625" s="1661" t="s">
        <v>11441</v>
      </c>
      <c r="CL625" s="1699" t="s">
        <v>2356</v>
      </c>
      <c r="CM625" s="1699" t="s">
        <v>4692</v>
      </c>
      <c r="CN625" s="1699" t="s">
        <v>3435</v>
      </c>
      <c r="CO625" s="1699" t="s">
        <v>7450</v>
      </c>
      <c r="CP625" s="1699" t="s">
        <v>5930</v>
      </c>
    </row>
    <row r="626" spans="84:94" x14ac:dyDescent="0.2">
      <c r="CF626" s="1661" t="s">
        <v>10442</v>
      </c>
      <c r="CG626" s="1661" t="s">
        <v>11442</v>
      </c>
      <c r="CL626" s="1699" t="s">
        <v>2357</v>
      </c>
      <c r="CM626" s="1699" t="s">
        <v>4693</v>
      </c>
      <c r="CN626" s="1699" t="s">
        <v>3434</v>
      </c>
      <c r="CO626" s="1699" t="s">
        <v>7449</v>
      </c>
      <c r="CP626" s="1699" t="s">
        <v>5929</v>
      </c>
    </row>
    <row r="627" spans="84:94" x14ac:dyDescent="0.2">
      <c r="CF627" s="1661" t="s">
        <v>10443</v>
      </c>
      <c r="CG627" s="1661" t="s">
        <v>11443</v>
      </c>
      <c r="CL627" s="1699" t="s">
        <v>2358</v>
      </c>
      <c r="CM627" s="1699" t="s">
        <v>4694</v>
      </c>
      <c r="CN627" s="1699" t="s">
        <v>3433</v>
      </c>
      <c r="CO627" s="1699" t="s">
        <v>7448</v>
      </c>
      <c r="CP627" s="1699" t="s">
        <v>5928</v>
      </c>
    </row>
    <row r="628" spans="84:94" x14ac:dyDescent="0.2">
      <c r="CF628" s="1661" t="s">
        <v>10444</v>
      </c>
      <c r="CG628" s="1661" t="s">
        <v>11444</v>
      </c>
      <c r="CL628" s="1699" t="s">
        <v>2359</v>
      </c>
      <c r="CM628" s="1699" t="s">
        <v>4695</v>
      </c>
      <c r="CN628" s="1699" t="s">
        <v>3432</v>
      </c>
      <c r="CO628" s="1699" t="s">
        <v>7447</v>
      </c>
      <c r="CP628" s="1699" t="s">
        <v>5927</v>
      </c>
    </row>
    <row r="629" spans="84:94" x14ac:dyDescent="0.2">
      <c r="CF629" s="1661" t="s">
        <v>10445</v>
      </c>
      <c r="CG629" s="1661" t="s">
        <v>11445</v>
      </c>
      <c r="CL629" s="1699" t="s">
        <v>2360</v>
      </c>
      <c r="CM629" s="1699" t="s">
        <v>4696</v>
      </c>
      <c r="CN629" s="1699" t="s">
        <v>3431</v>
      </c>
      <c r="CO629" s="1699" t="s">
        <v>7446</v>
      </c>
      <c r="CP629" s="1699" t="s">
        <v>5926</v>
      </c>
    </row>
    <row r="630" spans="84:94" x14ac:dyDescent="0.2">
      <c r="CF630" s="1661" t="s">
        <v>10446</v>
      </c>
      <c r="CG630" s="1661" t="s">
        <v>11446</v>
      </c>
      <c r="CL630" s="1699" t="s">
        <v>2361</v>
      </c>
      <c r="CM630" s="1699" t="s">
        <v>4697</v>
      </c>
      <c r="CN630" s="1699" t="s">
        <v>3430</v>
      </c>
      <c r="CO630" s="1699" t="s">
        <v>7445</v>
      </c>
      <c r="CP630" s="1699" t="s">
        <v>5925</v>
      </c>
    </row>
    <row r="631" spans="84:94" x14ac:dyDescent="0.2">
      <c r="CF631" s="1661" t="s">
        <v>10447</v>
      </c>
      <c r="CG631" s="1661" t="s">
        <v>11447</v>
      </c>
      <c r="CL631" s="1699" t="s">
        <v>2362</v>
      </c>
      <c r="CM631" s="1699" t="s">
        <v>4698</v>
      </c>
      <c r="CN631" s="1699" t="s">
        <v>3429</v>
      </c>
      <c r="CO631" s="1699" t="s">
        <v>7444</v>
      </c>
      <c r="CP631" s="1699" t="s">
        <v>5924</v>
      </c>
    </row>
    <row r="632" spans="84:94" x14ac:dyDescent="0.2">
      <c r="CF632" s="1661" t="s">
        <v>10448</v>
      </c>
      <c r="CG632" s="1661" t="s">
        <v>11448</v>
      </c>
      <c r="CL632" s="1699" t="s">
        <v>2363</v>
      </c>
      <c r="CM632" s="1699" t="s">
        <v>4699</v>
      </c>
      <c r="CN632" s="1699" t="s">
        <v>3428</v>
      </c>
      <c r="CO632" s="1699" t="s">
        <v>7443</v>
      </c>
      <c r="CP632" s="1699" t="s">
        <v>5923</v>
      </c>
    </row>
    <row r="633" spans="84:94" x14ac:dyDescent="0.2">
      <c r="CF633" s="1661" t="s">
        <v>10449</v>
      </c>
      <c r="CG633" s="1661" t="s">
        <v>11449</v>
      </c>
      <c r="CL633" s="1699" t="s">
        <v>2364</v>
      </c>
      <c r="CM633" s="1699" t="s">
        <v>4700</v>
      </c>
      <c r="CN633" s="1699" t="s">
        <v>3427</v>
      </c>
      <c r="CO633" s="1699" t="s">
        <v>7442</v>
      </c>
      <c r="CP633" s="1699" t="s">
        <v>5922</v>
      </c>
    </row>
    <row r="634" spans="84:94" x14ac:dyDescent="0.2">
      <c r="CF634" s="1661" t="s">
        <v>10450</v>
      </c>
      <c r="CG634" s="1661" t="s">
        <v>11450</v>
      </c>
      <c r="CL634" s="1699" t="s">
        <v>2365</v>
      </c>
      <c r="CM634" s="1699" t="s">
        <v>4701</v>
      </c>
      <c r="CN634" s="1699" t="s">
        <v>3426</v>
      </c>
      <c r="CO634" s="1699" t="s">
        <v>7441</v>
      </c>
      <c r="CP634" s="1699" t="s">
        <v>5921</v>
      </c>
    </row>
    <row r="635" spans="84:94" x14ac:dyDescent="0.2">
      <c r="CF635" s="1661" t="s">
        <v>10451</v>
      </c>
      <c r="CG635" s="1661" t="s">
        <v>11451</v>
      </c>
      <c r="CL635" s="1699" t="s">
        <v>2366</v>
      </c>
      <c r="CM635" s="1699" t="s">
        <v>4702</v>
      </c>
      <c r="CN635" s="1699" t="s">
        <v>3425</v>
      </c>
      <c r="CO635" s="1699" t="s">
        <v>7386</v>
      </c>
      <c r="CP635" s="1699" t="s">
        <v>5920</v>
      </c>
    </row>
    <row r="636" spans="84:94" x14ac:dyDescent="0.2">
      <c r="CF636" s="1661" t="s">
        <v>10452</v>
      </c>
      <c r="CG636" s="1661" t="s">
        <v>11452</v>
      </c>
      <c r="CL636" s="1699" t="s">
        <v>2367</v>
      </c>
      <c r="CM636" s="1699" t="s">
        <v>4703</v>
      </c>
      <c r="CN636" s="1699" t="s">
        <v>3424</v>
      </c>
      <c r="CO636" s="1699" t="s">
        <v>7385</v>
      </c>
      <c r="CP636" s="1699" t="s">
        <v>5919</v>
      </c>
    </row>
    <row r="637" spans="84:94" x14ac:dyDescent="0.2">
      <c r="CF637" s="1661" t="s">
        <v>10453</v>
      </c>
      <c r="CG637" s="1661" t="s">
        <v>11453</v>
      </c>
      <c r="CL637" s="1699" t="s">
        <v>2368</v>
      </c>
      <c r="CM637" s="1699" t="s">
        <v>4704</v>
      </c>
      <c r="CN637" s="1699" t="s">
        <v>3423</v>
      </c>
      <c r="CO637" s="1699" t="s">
        <v>7384</v>
      </c>
      <c r="CP637" s="1699" t="s">
        <v>5918</v>
      </c>
    </row>
    <row r="638" spans="84:94" x14ac:dyDescent="0.2">
      <c r="CF638" s="1661" t="s">
        <v>10454</v>
      </c>
      <c r="CG638" s="1661" t="s">
        <v>11454</v>
      </c>
      <c r="CL638" s="1699" t="s">
        <v>2369</v>
      </c>
      <c r="CM638" s="1699" t="s">
        <v>4705</v>
      </c>
      <c r="CN638" s="1699" t="s">
        <v>3422</v>
      </c>
      <c r="CO638" s="1699" t="s">
        <v>7383</v>
      </c>
      <c r="CP638" s="1699" t="s">
        <v>5917</v>
      </c>
    </row>
    <row r="639" spans="84:94" x14ac:dyDescent="0.2">
      <c r="CF639" s="1661" t="s">
        <v>10455</v>
      </c>
      <c r="CG639" s="1661" t="s">
        <v>11455</v>
      </c>
      <c r="CL639" s="1699" t="s">
        <v>2370</v>
      </c>
      <c r="CM639" s="1699" t="s">
        <v>4706</v>
      </c>
      <c r="CN639" s="1699" t="s">
        <v>3421</v>
      </c>
      <c r="CO639" s="1699" t="s">
        <v>7382</v>
      </c>
      <c r="CP639" s="1699" t="s">
        <v>5916</v>
      </c>
    </row>
    <row r="640" spans="84:94" x14ac:dyDescent="0.2">
      <c r="CF640" s="1661" t="s">
        <v>10456</v>
      </c>
      <c r="CG640" s="1661" t="s">
        <v>11456</v>
      </c>
      <c r="CL640" s="1699" t="s">
        <v>2371</v>
      </c>
      <c r="CM640" s="1699" t="s">
        <v>4707</v>
      </c>
      <c r="CN640" s="1699" t="s">
        <v>3420</v>
      </c>
      <c r="CO640" s="1699" t="s">
        <v>7381</v>
      </c>
      <c r="CP640" s="1699" t="s">
        <v>5915</v>
      </c>
    </row>
    <row r="641" spans="84:94" x14ac:dyDescent="0.2">
      <c r="CF641" s="1661" t="s">
        <v>10457</v>
      </c>
      <c r="CG641" s="1661" t="s">
        <v>11457</v>
      </c>
      <c r="CL641" s="1699" t="s">
        <v>2372</v>
      </c>
      <c r="CM641" s="1699" t="s">
        <v>4708</v>
      </c>
      <c r="CN641" s="1699" t="s">
        <v>3419</v>
      </c>
      <c r="CO641" s="1699" t="s">
        <v>7380</v>
      </c>
      <c r="CP641" s="1699" t="s">
        <v>8188</v>
      </c>
    </row>
    <row r="642" spans="84:94" x14ac:dyDescent="0.2">
      <c r="CF642" s="1661" t="s">
        <v>10458</v>
      </c>
      <c r="CG642" s="1661" t="s">
        <v>11458</v>
      </c>
      <c r="CL642" s="1699" t="s">
        <v>2373</v>
      </c>
      <c r="CM642" s="1699" t="s">
        <v>6592</v>
      </c>
      <c r="CN642" s="1699" t="s">
        <v>3418</v>
      </c>
      <c r="CO642" s="1699" t="s">
        <v>7246</v>
      </c>
      <c r="CP642" s="1699" t="s">
        <v>5914</v>
      </c>
    </row>
    <row r="643" spans="84:94" x14ac:dyDescent="0.2">
      <c r="CF643" s="1661" t="s">
        <v>10459</v>
      </c>
      <c r="CG643" s="1661" t="s">
        <v>11459</v>
      </c>
      <c r="CL643" s="1699" t="s">
        <v>2374</v>
      </c>
      <c r="CM643" s="1699" t="s">
        <v>4709</v>
      </c>
      <c r="CN643" s="1699" t="s">
        <v>3417</v>
      </c>
      <c r="CO643" s="1699" t="s">
        <v>7245</v>
      </c>
      <c r="CP643" s="1699" t="s">
        <v>5913</v>
      </c>
    </row>
    <row r="644" spans="84:94" x14ac:dyDescent="0.2">
      <c r="CF644" s="1661" t="s">
        <v>10460</v>
      </c>
      <c r="CG644" s="1661" t="s">
        <v>11460</v>
      </c>
      <c r="CL644" s="1699" t="s">
        <v>2375</v>
      </c>
      <c r="CM644" s="1699" t="s">
        <v>4710</v>
      </c>
      <c r="CN644" s="1699" t="s">
        <v>3416</v>
      </c>
      <c r="CO644" s="1699" t="s">
        <v>7244</v>
      </c>
      <c r="CP644" s="1699" t="s">
        <v>5912</v>
      </c>
    </row>
    <row r="645" spans="84:94" x14ac:dyDescent="0.2">
      <c r="CF645" s="1661" t="s">
        <v>10461</v>
      </c>
      <c r="CG645" s="1661" t="s">
        <v>11461</v>
      </c>
      <c r="CL645" s="1699" t="s">
        <v>2376</v>
      </c>
      <c r="CM645" s="1699" t="s">
        <v>4711</v>
      </c>
      <c r="CN645" s="1699" t="s">
        <v>3415</v>
      </c>
      <c r="CO645" s="1699" t="s">
        <v>7243</v>
      </c>
      <c r="CP645" s="1699" t="s">
        <v>5911</v>
      </c>
    </row>
    <row r="646" spans="84:94" x14ac:dyDescent="0.2">
      <c r="CF646" s="1661" t="s">
        <v>10462</v>
      </c>
      <c r="CG646" s="1661" t="s">
        <v>11462</v>
      </c>
      <c r="CL646" s="1699" t="s">
        <v>2377</v>
      </c>
      <c r="CM646" s="1699" t="s">
        <v>4712</v>
      </c>
      <c r="CN646" s="1699" t="s">
        <v>3414</v>
      </c>
      <c r="CO646" s="1699" t="s">
        <v>7242</v>
      </c>
      <c r="CP646" s="1699" t="s">
        <v>5910</v>
      </c>
    </row>
    <row r="647" spans="84:94" x14ac:dyDescent="0.2">
      <c r="CF647" s="1661" t="s">
        <v>10463</v>
      </c>
      <c r="CG647" s="1661" t="s">
        <v>11463</v>
      </c>
      <c r="CL647" s="1699" t="s">
        <v>2378</v>
      </c>
      <c r="CM647" s="1699" t="s">
        <v>4713</v>
      </c>
      <c r="CN647" s="1699" t="s">
        <v>3413</v>
      </c>
      <c r="CO647" s="1699" t="s">
        <v>7241</v>
      </c>
      <c r="CP647" s="1699" t="s">
        <v>5909</v>
      </c>
    </row>
    <row r="648" spans="84:94" x14ac:dyDescent="0.2">
      <c r="CF648" s="1661" t="s">
        <v>10464</v>
      </c>
      <c r="CG648" s="1661" t="s">
        <v>11464</v>
      </c>
      <c r="CL648" s="1699" t="s">
        <v>2379</v>
      </c>
      <c r="CM648" s="1699" t="s">
        <v>4714</v>
      </c>
      <c r="CN648" s="1699" t="s">
        <v>3412</v>
      </c>
      <c r="CO648" s="1699" t="s">
        <v>7240</v>
      </c>
      <c r="CP648" s="1699" t="s">
        <v>5908</v>
      </c>
    </row>
    <row r="649" spans="84:94" x14ac:dyDescent="0.2">
      <c r="CF649" s="1661" t="s">
        <v>10465</v>
      </c>
      <c r="CG649" s="1661" t="s">
        <v>11465</v>
      </c>
      <c r="CL649" s="1699" t="s">
        <v>2380</v>
      </c>
      <c r="CM649" s="1699" t="s">
        <v>4715</v>
      </c>
      <c r="CN649" s="1699" t="s">
        <v>3411</v>
      </c>
      <c r="CO649" s="1699" t="s">
        <v>7239</v>
      </c>
      <c r="CP649" s="1699" t="s">
        <v>5907</v>
      </c>
    </row>
    <row r="650" spans="84:94" x14ac:dyDescent="0.2">
      <c r="CF650" s="1661" t="s">
        <v>10466</v>
      </c>
      <c r="CG650" s="1661" t="s">
        <v>11466</v>
      </c>
      <c r="CL650" s="1699" t="s">
        <v>2381</v>
      </c>
      <c r="CM650" s="1699" t="s">
        <v>4716</v>
      </c>
      <c r="CN650" s="1699" t="s">
        <v>3410</v>
      </c>
      <c r="CO650" s="1699" t="s">
        <v>7238</v>
      </c>
      <c r="CP650" s="1699" t="s">
        <v>5906</v>
      </c>
    </row>
    <row r="651" spans="84:94" x14ac:dyDescent="0.2">
      <c r="CF651" s="1661" t="s">
        <v>10467</v>
      </c>
      <c r="CG651" s="1661" t="s">
        <v>11467</v>
      </c>
      <c r="CL651" s="1699" t="s">
        <v>2382</v>
      </c>
      <c r="CM651" s="1699" t="s">
        <v>4717</v>
      </c>
      <c r="CN651" s="1699" t="s">
        <v>3409</v>
      </c>
      <c r="CO651" s="1699" t="s">
        <v>7237</v>
      </c>
      <c r="CP651" s="1699" t="s">
        <v>5905</v>
      </c>
    </row>
    <row r="652" spans="84:94" x14ac:dyDescent="0.2">
      <c r="CF652" s="1661" t="s">
        <v>10468</v>
      </c>
      <c r="CG652" s="1661" t="s">
        <v>11468</v>
      </c>
      <c r="CL652" s="1699" t="s">
        <v>2383</v>
      </c>
      <c r="CM652" s="1699" t="s">
        <v>4718</v>
      </c>
      <c r="CN652" s="1699" t="s">
        <v>3408</v>
      </c>
      <c r="CO652" s="1699" t="s">
        <v>7236</v>
      </c>
      <c r="CP652" s="1699" t="s">
        <v>5904</v>
      </c>
    </row>
    <row r="653" spans="84:94" x14ac:dyDescent="0.2">
      <c r="CF653" s="1661" t="s">
        <v>10469</v>
      </c>
      <c r="CG653" s="1661" t="s">
        <v>11469</v>
      </c>
      <c r="CL653" s="1699" t="s">
        <v>2384</v>
      </c>
      <c r="CM653" s="1699" t="s">
        <v>4719</v>
      </c>
      <c r="CN653" s="1699" t="s">
        <v>3407</v>
      </c>
      <c r="CO653" s="1699" t="s">
        <v>7235</v>
      </c>
      <c r="CP653" s="1699" t="s">
        <v>5903</v>
      </c>
    </row>
    <row r="654" spans="84:94" x14ac:dyDescent="0.2">
      <c r="CF654" s="1661" t="s">
        <v>10470</v>
      </c>
      <c r="CG654" s="1661" t="s">
        <v>11470</v>
      </c>
      <c r="CL654" s="1699" t="s">
        <v>2385</v>
      </c>
      <c r="CM654" s="1699" t="s">
        <v>4720</v>
      </c>
      <c r="CN654" s="1699" t="s">
        <v>3406</v>
      </c>
      <c r="CO654" s="1699" t="s">
        <v>7234</v>
      </c>
      <c r="CP654" s="1699" t="s">
        <v>5902</v>
      </c>
    </row>
    <row r="655" spans="84:94" x14ac:dyDescent="0.2">
      <c r="CF655" s="1661" t="s">
        <v>10471</v>
      </c>
      <c r="CG655" s="1661" t="s">
        <v>11471</v>
      </c>
      <c r="CL655" s="1699" t="s">
        <v>2386</v>
      </c>
      <c r="CM655" s="1699" t="s">
        <v>4721</v>
      </c>
      <c r="CN655" s="1699" t="s">
        <v>3405</v>
      </c>
      <c r="CO655" s="1699" t="s">
        <v>7233</v>
      </c>
      <c r="CP655" s="1699" t="s">
        <v>5901</v>
      </c>
    </row>
    <row r="656" spans="84:94" x14ac:dyDescent="0.2">
      <c r="CF656" s="1661" t="s">
        <v>10472</v>
      </c>
      <c r="CG656" s="1661" t="s">
        <v>11472</v>
      </c>
      <c r="CL656" s="1699" t="s">
        <v>2387</v>
      </c>
      <c r="CM656" s="1699" t="s">
        <v>4722</v>
      </c>
      <c r="CN656" s="1699" t="s">
        <v>3404</v>
      </c>
      <c r="CO656" s="1699" t="s">
        <v>7232</v>
      </c>
      <c r="CP656" s="1699" t="s">
        <v>5900</v>
      </c>
    </row>
    <row r="657" spans="84:94" x14ac:dyDescent="0.2">
      <c r="CF657" s="1661" t="s">
        <v>10473</v>
      </c>
      <c r="CG657" s="1661" t="s">
        <v>11473</v>
      </c>
      <c r="CL657" s="1699" t="s">
        <v>2388</v>
      </c>
      <c r="CM657" s="1699" t="s">
        <v>4723</v>
      </c>
      <c r="CN657" s="1699" t="s">
        <v>3403</v>
      </c>
      <c r="CO657" s="1699" t="s">
        <v>7231</v>
      </c>
      <c r="CP657" s="1699" t="s">
        <v>5899</v>
      </c>
    </row>
    <row r="658" spans="84:94" x14ac:dyDescent="0.2">
      <c r="CF658" s="1661" t="s">
        <v>10474</v>
      </c>
      <c r="CG658" s="1661" t="s">
        <v>11474</v>
      </c>
      <c r="CL658" s="1699" t="s">
        <v>2389</v>
      </c>
      <c r="CM658" s="1699" t="s">
        <v>6593</v>
      </c>
      <c r="CN658" s="1699" t="s">
        <v>3402</v>
      </c>
      <c r="CO658" s="1699" t="s">
        <v>7230</v>
      </c>
      <c r="CP658" s="1699" t="s">
        <v>5898</v>
      </c>
    </row>
    <row r="659" spans="84:94" x14ac:dyDescent="0.2">
      <c r="CF659" s="1661" t="s">
        <v>10475</v>
      </c>
      <c r="CG659" s="1661" t="s">
        <v>11475</v>
      </c>
      <c r="CL659" s="1699" t="s">
        <v>2390</v>
      </c>
      <c r="CM659" s="1699" t="s">
        <v>4724</v>
      </c>
      <c r="CN659" s="1699" t="s">
        <v>3401</v>
      </c>
      <c r="CO659" s="1699" t="s">
        <v>7229</v>
      </c>
      <c r="CP659" s="1699" t="s">
        <v>5897</v>
      </c>
    </row>
    <row r="660" spans="84:94" x14ac:dyDescent="0.2">
      <c r="CF660" s="1661" t="s">
        <v>10476</v>
      </c>
      <c r="CG660" s="1661" t="s">
        <v>11476</v>
      </c>
      <c r="CL660" s="1699" t="s">
        <v>2391</v>
      </c>
      <c r="CM660" s="1699" t="s">
        <v>4725</v>
      </c>
      <c r="CN660" s="1699" t="s">
        <v>3400</v>
      </c>
      <c r="CO660" s="1699" t="s">
        <v>7228</v>
      </c>
      <c r="CP660" s="1699" t="s">
        <v>5896</v>
      </c>
    </row>
    <row r="661" spans="84:94" x14ac:dyDescent="0.2">
      <c r="CF661" s="1661" t="s">
        <v>10477</v>
      </c>
      <c r="CG661" s="1661" t="s">
        <v>11477</v>
      </c>
      <c r="CL661" s="1699" t="s">
        <v>2392</v>
      </c>
      <c r="CM661" s="1699" t="s">
        <v>4726</v>
      </c>
      <c r="CN661" s="1699" t="s">
        <v>3399</v>
      </c>
      <c r="CO661" s="1699" t="s">
        <v>7227</v>
      </c>
      <c r="CP661" s="1699" t="s">
        <v>5895</v>
      </c>
    </row>
    <row r="662" spans="84:94" x14ac:dyDescent="0.2">
      <c r="CF662" s="1661" t="s">
        <v>10478</v>
      </c>
      <c r="CG662" s="1661" t="s">
        <v>11478</v>
      </c>
      <c r="CL662" s="1699" t="s">
        <v>2393</v>
      </c>
      <c r="CM662" s="1699" t="s">
        <v>4727</v>
      </c>
      <c r="CN662" s="1699" t="s">
        <v>3398</v>
      </c>
      <c r="CO662" s="1699" t="s">
        <v>7226</v>
      </c>
      <c r="CP662" s="1699" t="s">
        <v>5894</v>
      </c>
    </row>
    <row r="663" spans="84:94" x14ac:dyDescent="0.2">
      <c r="CF663" s="1661" t="s">
        <v>10479</v>
      </c>
      <c r="CG663" s="1661" t="s">
        <v>11479</v>
      </c>
      <c r="CL663" s="1699" t="s">
        <v>2394</v>
      </c>
      <c r="CM663" s="1699" t="s">
        <v>4728</v>
      </c>
      <c r="CN663" s="1699" t="s">
        <v>3397</v>
      </c>
      <c r="CO663" s="1699" t="s">
        <v>7225</v>
      </c>
      <c r="CP663" s="1699" t="s">
        <v>5893</v>
      </c>
    </row>
    <row r="664" spans="84:94" x14ac:dyDescent="0.2">
      <c r="CF664" s="1661" t="s">
        <v>10480</v>
      </c>
      <c r="CG664" s="1661" t="s">
        <v>11480</v>
      </c>
      <c r="CL664" s="1699" t="s">
        <v>2395</v>
      </c>
      <c r="CM664" s="1699" t="s">
        <v>4729</v>
      </c>
      <c r="CN664" s="1699" t="s">
        <v>3396</v>
      </c>
      <c r="CO664" s="1699" t="s">
        <v>6784</v>
      </c>
      <c r="CP664" s="1699" t="s">
        <v>5892</v>
      </c>
    </row>
    <row r="665" spans="84:94" x14ac:dyDescent="0.2">
      <c r="CF665" s="1661" t="s">
        <v>10481</v>
      </c>
      <c r="CG665" s="1661" t="s">
        <v>11481</v>
      </c>
      <c r="CL665" s="1699" t="s">
        <v>2396</v>
      </c>
      <c r="CM665" s="1699" t="s">
        <v>4730</v>
      </c>
      <c r="CN665" s="1699" t="s">
        <v>3395</v>
      </c>
      <c r="CO665" s="1699" t="s">
        <v>6783</v>
      </c>
      <c r="CP665" s="1699" t="s">
        <v>5891</v>
      </c>
    </row>
    <row r="666" spans="84:94" x14ac:dyDescent="0.2">
      <c r="CF666" s="1661" t="s">
        <v>10482</v>
      </c>
      <c r="CG666" s="1661" t="s">
        <v>11482</v>
      </c>
      <c r="CL666" s="1699" t="s">
        <v>2397</v>
      </c>
      <c r="CM666" s="1699" t="s">
        <v>4731</v>
      </c>
      <c r="CN666" s="1699" t="s">
        <v>3394</v>
      </c>
      <c r="CO666" s="1699" t="s">
        <v>6782</v>
      </c>
      <c r="CP666" s="1699" t="s">
        <v>5890</v>
      </c>
    </row>
    <row r="667" spans="84:94" x14ac:dyDescent="0.2">
      <c r="CF667" s="1661" t="s">
        <v>10483</v>
      </c>
      <c r="CG667" s="1661" t="s">
        <v>11483</v>
      </c>
      <c r="CL667" s="1699" t="s">
        <v>2398</v>
      </c>
      <c r="CM667" s="1699" t="s">
        <v>4732</v>
      </c>
      <c r="CN667" s="1699" t="s">
        <v>3393</v>
      </c>
      <c r="CO667" s="1699" t="s">
        <v>6781</v>
      </c>
      <c r="CP667" s="1699" t="s">
        <v>5889</v>
      </c>
    </row>
    <row r="668" spans="84:94" x14ac:dyDescent="0.2">
      <c r="CF668" s="1661" t="s">
        <v>10484</v>
      </c>
      <c r="CG668" s="1661" t="s">
        <v>11484</v>
      </c>
      <c r="CL668" s="1699" t="s">
        <v>2399</v>
      </c>
      <c r="CM668" s="1699" t="s">
        <v>4733</v>
      </c>
      <c r="CN668" s="1699" t="s">
        <v>3392</v>
      </c>
      <c r="CO668" s="1699" t="s">
        <v>6780</v>
      </c>
      <c r="CP668" s="1699" t="s">
        <v>5888</v>
      </c>
    </row>
    <row r="669" spans="84:94" x14ac:dyDescent="0.2">
      <c r="CF669" s="1661" t="s">
        <v>10485</v>
      </c>
      <c r="CG669" s="1661" t="s">
        <v>11485</v>
      </c>
      <c r="CL669" s="1699" t="s">
        <v>2400</v>
      </c>
      <c r="CM669" s="1699" t="s">
        <v>4734</v>
      </c>
      <c r="CN669" s="1699" t="s">
        <v>3391</v>
      </c>
      <c r="CO669" s="1699" t="s">
        <v>6779</v>
      </c>
      <c r="CP669" s="1699" t="s">
        <v>5887</v>
      </c>
    </row>
    <row r="670" spans="84:94" x14ac:dyDescent="0.2">
      <c r="CF670" s="1661" t="s">
        <v>10486</v>
      </c>
      <c r="CG670" s="1661" t="s">
        <v>11486</v>
      </c>
      <c r="CL670" s="1699" t="s">
        <v>2401</v>
      </c>
      <c r="CM670" s="1699" t="s">
        <v>4735</v>
      </c>
      <c r="CN670" s="1699" t="s">
        <v>3390</v>
      </c>
      <c r="CO670" s="1699" t="s">
        <v>6778</v>
      </c>
      <c r="CP670" s="1699" t="s">
        <v>5886</v>
      </c>
    </row>
    <row r="671" spans="84:94" x14ac:dyDescent="0.2">
      <c r="CF671" s="1661" t="s">
        <v>10487</v>
      </c>
      <c r="CG671" s="1661" t="s">
        <v>11487</v>
      </c>
      <c r="CL671" s="1699" t="s">
        <v>2402</v>
      </c>
      <c r="CM671" s="1699" t="s">
        <v>7213</v>
      </c>
      <c r="CN671" s="1699" t="s">
        <v>3389</v>
      </c>
      <c r="CO671" s="1699" t="s">
        <v>6777</v>
      </c>
      <c r="CP671" s="1699" t="s">
        <v>5885</v>
      </c>
    </row>
    <row r="672" spans="84:94" x14ac:dyDescent="0.2">
      <c r="CF672" s="1661" t="s">
        <v>10488</v>
      </c>
      <c r="CG672" s="1661" t="s">
        <v>11488</v>
      </c>
      <c r="CL672" s="1699" t="s">
        <v>2403</v>
      </c>
      <c r="CM672" s="1699" t="s">
        <v>4736</v>
      </c>
      <c r="CN672" s="1699" t="s">
        <v>3388</v>
      </c>
      <c r="CO672" s="1699" t="s">
        <v>6776</v>
      </c>
      <c r="CP672" s="1699" t="s">
        <v>5884</v>
      </c>
    </row>
    <row r="673" spans="84:94" x14ac:dyDescent="0.2">
      <c r="CF673" s="1661" t="s">
        <v>10489</v>
      </c>
      <c r="CG673" s="1661" t="s">
        <v>11489</v>
      </c>
      <c r="CL673" s="1699" t="s">
        <v>2404</v>
      </c>
      <c r="CM673" s="1699" t="s">
        <v>4737</v>
      </c>
      <c r="CN673" s="1699" t="s">
        <v>3387</v>
      </c>
      <c r="CO673" s="1699" t="s">
        <v>6775</v>
      </c>
      <c r="CP673" s="1699" t="s">
        <v>5883</v>
      </c>
    </row>
    <row r="674" spans="84:94" x14ac:dyDescent="0.2">
      <c r="CF674" s="1661" t="s">
        <v>10490</v>
      </c>
      <c r="CG674" s="1661" t="s">
        <v>11490</v>
      </c>
      <c r="CL674" s="1699" t="s">
        <v>2405</v>
      </c>
      <c r="CM674" s="1699" t="s">
        <v>4738</v>
      </c>
      <c r="CN674" s="1699" t="s">
        <v>3386</v>
      </c>
      <c r="CO674" s="1699" t="s">
        <v>6774</v>
      </c>
      <c r="CP674" s="1699" t="s">
        <v>5882</v>
      </c>
    </row>
    <row r="675" spans="84:94" x14ac:dyDescent="0.2">
      <c r="CF675" s="1661" t="s">
        <v>10491</v>
      </c>
      <c r="CG675" s="1661" t="s">
        <v>11491</v>
      </c>
      <c r="CL675" s="1699" t="s">
        <v>2406</v>
      </c>
      <c r="CM675" s="1699" t="s">
        <v>4739</v>
      </c>
      <c r="CN675" s="1699" t="s">
        <v>3385</v>
      </c>
      <c r="CO675" s="1699" t="s">
        <v>6773</v>
      </c>
      <c r="CP675" s="1699" t="s">
        <v>5881</v>
      </c>
    </row>
    <row r="676" spans="84:94" x14ac:dyDescent="0.2">
      <c r="CF676" s="1661" t="s">
        <v>10492</v>
      </c>
      <c r="CG676" s="1661" t="s">
        <v>11492</v>
      </c>
      <c r="CL676" s="1699" t="s">
        <v>2407</v>
      </c>
      <c r="CM676" s="1699" t="s">
        <v>4740</v>
      </c>
      <c r="CN676" s="1699" t="s">
        <v>3384</v>
      </c>
      <c r="CO676" s="1699" t="s">
        <v>6772</v>
      </c>
      <c r="CP676" s="1699" t="s">
        <v>5880</v>
      </c>
    </row>
    <row r="677" spans="84:94" x14ac:dyDescent="0.2">
      <c r="CF677" s="1661" t="s">
        <v>10493</v>
      </c>
      <c r="CG677" s="1661" t="s">
        <v>11493</v>
      </c>
      <c r="CL677" s="1699" t="s">
        <v>2408</v>
      </c>
      <c r="CM677" s="1699" t="s">
        <v>4741</v>
      </c>
      <c r="CN677" s="1699" t="s">
        <v>3383</v>
      </c>
      <c r="CO677" s="1699" t="s">
        <v>6771</v>
      </c>
      <c r="CP677" s="1699" t="s">
        <v>8187</v>
      </c>
    </row>
    <row r="678" spans="84:94" x14ac:dyDescent="0.2">
      <c r="CF678" s="1661" t="s">
        <v>10494</v>
      </c>
      <c r="CG678" s="1661" t="s">
        <v>11494</v>
      </c>
      <c r="CL678" s="1699" t="s">
        <v>2409</v>
      </c>
      <c r="CM678" s="1699" t="s">
        <v>4742</v>
      </c>
      <c r="CN678" s="1699" t="s">
        <v>3382</v>
      </c>
      <c r="CO678" s="1699" t="s">
        <v>6770</v>
      </c>
      <c r="CP678" s="1699" t="s">
        <v>5879</v>
      </c>
    </row>
    <row r="679" spans="84:94" x14ac:dyDescent="0.2">
      <c r="CF679" s="1661" t="s">
        <v>10495</v>
      </c>
      <c r="CG679" s="1661" t="s">
        <v>11495</v>
      </c>
      <c r="CL679" s="1699" t="s">
        <v>2410</v>
      </c>
      <c r="CM679" s="1699" t="s">
        <v>4743</v>
      </c>
      <c r="CN679" s="1699" t="s">
        <v>3381</v>
      </c>
      <c r="CO679" s="1699" t="s">
        <v>6769</v>
      </c>
      <c r="CP679" s="1699" t="s">
        <v>5878</v>
      </c>
    </row>
    <row r="680" spans="84:94" x14ac:dyDescent="0.2">
      <c r="CF680" s="1661" t="s">
        <v>10496</v>
      </c>
      <c r="CG680" s="1661" t="s">
        <v>11496</v>
      </c>
      <c r="CL680" s="1699" t="s">
        <v>2411</v>
      </c>
      <c r="CM680" s="1699" t="s">
        <v>4744</v>
      </c>
      <c r="CN680" s="1699" t="s">
        <v>3380</v>
      </c>
      <c r="CO680" s="1699" t="s">
        <v>6768</v>
      </c>
      <c r="CP680" s="1699" t="s">
        <v>5877</v>
      </c>
    </row>
    <row r="681" spans="84:94" x14ac:dyDescent="0.2">
      <c r="CF681" s="1661" t="s">
        <v>10497</v>
      </c>
      <c r="CG681" s="1661" t="s">
        <v>11497</v>
      </c>
      <c r="CL681" s="1699" t="s">
        <v>2412</v>
      </c>
      <c r="CM681" s="1699" t="s">
        <v>4745</v>
      </c>
      <c r="CN681" s="1699" t="s">
        <v>3379</v>
      </c>
      <c r="CO681" s="1699" t="s">
        <v>6767</v>
      </c>
      <c r="CP681" s="1699" t="s">
        <v>5876</v>
      </c>
    </row>
    <row r="682" spans="84:94" x14ac:dyDescent="0.2">
      <c r="CF682" s="1661" t="s">
        <v>10498</v>
      </c>
      <c r="CG682" s="1661" t="s">
        <v>11498</v>
      </c>
      <c r="CL682" s="1699" t="s">
        <v>2413</v>
      </c>
      <c r="CM682" s="1699" t="s">
        <v>4746</v>
      </c>
      <c r="CN682" s="1699" t="s">
        <v>3378</v>
      </c>
      <c r="CO682" s="1699" t="s">
        <v>6766</v>
      </c>
      <c r="CP682" s="1699" t="s">
        <v>5875</v>
      </c>
    </row>
    <row r="683" spans="84:94" x14ac:dyDescent="0.2">
      <c r="CF683" s="1661" t="s">
        <v>10499</v>
      </c>
      <c r="CG683" s="1661" t="s">
        <v>11499</v>
      </c>
      <c r="CL683" s="1699" t="s">
        <v>2414</v>
      </c>
      <c r="CM683" s="1699" t="s">
        <v>4747</v>
      </c>
      <c r="CN683" s="1699" t="s">
        <v>3377</v>
      </c>
      <c r="CO683" s="1699" t="s">
        <v>6765</v>
      </c>
      <c r="CP683" s="1699" t="s">
        <v>5874</v>
      </c>
    </row>
    <row r="684" spans="84:94" x14ac:dyDescent="0.2">
      <c r="CF684" s="1661" t="s">
        <v>10500</v>
      </c>
      <c r="CG684" s="1661" t="s">
        <v>11500</v>
      </c>
      <c r="CL684" s="1699" t="s">
        <v>2415</v>
      </c>
      <c r="CM684" s="1699" t="s">
        <v>4748</v>
      </c>
      <c r="CN684" s="1699" t="s">
        <v>3376</v>
      </c>
      <c r="CO684" s="1699" t="s">
        <v>6764</v>
      </c>
      <c r="CP684" s="1699" t="s">
        <v>5873</v>
      </c>
    </row>
    <row r="685" spans="84:94" x14ac:dyDescent="0.2">
      <c r="CF685" s="1661" t="s">
        <v>10501</v>
      </c>
      <c r="CG685" s="1661" t="s">
        <v>11501</v>
      </c>
      <c r="CL685" s="1699" t="s">
        <v>2416</v>
      </c>
      <c r="CM685" s="1699" t="s">
        <v>4749</v>
      </c>
      <c r="CN685" s="1699" t="s">
        <v>3375</v>
      </c>
      <c r="CO685" s="1699" t="s">
        <v>6763</v>
      </c>
      <c r="CP685" s="1699" t="s">
        <v>5872</v>
      </c>
    </row>
    <row r="686" spans="84:94" x14ac:dyDescent="0.2">
      <c r="CF686" s="1661" t="s">
        <v>10502</v>
      </c>
      <c r="CG686" s="1661" t="s">
        <v>11502</v>
      </c>
      <c r="CL686" s="1699" t="s">
        <v>2417</v>
      </c>
      <c r="CM686" s="1699" t="s">
        <v>4750</v>
      </c>
      <c r="CN686" s="1699" t="s">
        <v>3374</v>
      </c>
      <c r="CO686" s="1699" t="s">
        <v>6762</v>
      </c>
      <c r="CP686" s="1699" t="s">
        <v>5871</v>
      </c>
    </row>
    <row r="687" spans="84:94" x14ac:dyDescent="0.2">
      <c r="CF687" s="1661" t="s">
        <v>10503</v>
      </c>
      <c r="CG687" s="1661" t="s">
        <v>11503</v>
      </c>
      <c r="CL687" s="1699" t="s">
        <v>2418</v>
      </c>
      <c r="CM687" s="1699" t="s">
        <v>4751</v>
      </c>
      <c r="CN687" s="1699" t="s">
        <v>3373</v>
      </c>
      <c r="CO687" s="1699" t="s">
        <v>6761</v>
      </c>
      <c r="CP687" s="1699" t="s">
        <v>5870</v>
      </c>
    </row>
    <row r="688" spans="84:94" x14ac:dyDescent="0.2">
      <c r="CF688" s="1661" t="s">
        <v>10504</v>
      </c>
      <c r="CG688" s="1661" t="s">
        <v>11504</v>
      </c>
      <c r="CL688" s="1699" t="s">
        <v>2419</v>
      </c>
      <c r="CM688" s="1699" t="s">
        <v>4752</v>
      </c>
      <c r="CN688" s="1699" t="s">
        <v>3372</v>
      </c>
      <c r="CO688" s="1699" t="s">
        <v>6760</v>
      </c>
      <c r="CP688" s="1699" t="s">
        <v>5869</v>
      </c>
    </row>
    <row r="689" spans="84:94" x14ac:dyDescent="0.2">
      <c r="CF689" s="1661" t="s">
        <v>10505</v>
      </c>
      <c r="CG689" s="1661" t="s">
        <v>11505</v>
      </c>
      <c r="CL689" s="1699" t="s">
        <v>2420</v>
      </c>
      <c r="CM689" s="1699" t="s">
        <v>4753</v>
      </c>
      <c r="CN689" s="1699" t="s">
        <v>3371</v>
      </c>
      <c r="CO689" s="1699" t="s">
        <v>6759</v>
      </c>
      <c r="CP689" s="1699" t="s">
        <v>8186</v>
      </c>
    </row>
    <row r="690" spans="84:94" x14ac:dyDescent="0.2">
      <c r="CF690" s="1661" t="s">
        <v>10506</v>
      </c>
      <c r="CG690" s="1661" t="s">
        <v>11506</v>
      </c>
      <c r="CL690" s="1699" t="s">
        <v>2421</v>
      </c>
      <c r="CM690" s="1699" t="s">
        <v>4754</v>
      </c>
      <c r="CN690" s="1699" t="s">
        <v>3370</v>
      </c>
      <c r="CO690" s="1699" t="s">
        <v>6758</v>
      </c>
      <c r="CP690" s="1699" t="s">
        <v>5868</v>
      </c>
    </row>
    <row r="691" spans="84:94" x14ac:dyDescent="0.2">
      <c r="CF691" s="1661" t="s">
        <v>10507</v>
      </c>
      <c r="CG691" s="1661" t="s">
        <v>11507</v>
      </c>
      <c r="CL691" s="1699" t="s">
        <v>2422</v>
      </c>
      <c r="CM691" s="1699" t="s">
        <v>4755</v>
      </c>
      <c r="CN691" s="1699" t="s">
        <v>3369</v>
      </c>
      <c r="CO691" s="1699" t="s">
        <v>6757</v>
      </c>
      <c r="CP691" s="1699" t="s">
        <v>8185</v>
      </c>
    </row>
    <row r="692" spans="84:94" x14ac:dyDescent="0.2">
      <c r="CF692" s="1661" t="s">
        <v>10508</v>
      </c>
      <c r="CG692" s="1661" t="s">
        <v>11508</v>
      </c>
      <c r="CL692" s="1699" t="s">
        <v>2423</v>
      </c>
      <c r="CM692" s="1699" t="s">
        <v>4756</v>
      </c>
      <c r="CN692" s="1699" t="s">
        <v>3368</v>
      </c>
      <c r="CO692" s="1699" t="s">
        <v>6756</v>
      </c>
      <c r="CP692" s="1699" t="s">
        <v>5867</v>
      </c>
    </row>
    <row r="693" spans="84:94" x14ac:dyDescent="0.2">
      <c r="CF693" s="1661" t="s">
        <v>10509</v>
      </c>
      <c r="CG693" s="1661" t="s">
        <v>11509</v>
      </c>
      <c r="CL693" s="1699" t="s">
        <v>2424</v>
      </c>
      <c r="CM693" s="1699" t="s">
        <v>4757</v>
      </c>
      <c r="CN693" s="1699" t="s">
        <v>3367</v>
      </c>
      <c r="CO693" s="1699" t="s">
        <v>6755</v>
      </c>
      <c r="CP693" s="1699" t="s">
        <v>5866</v>
      </c>
    </row>
    <row r="694" spans="84:94" x14ac:dyDescent="0.2">
      <c r="CF694" s="1661" t="s">
        <v>10510</v>
      </c>
      <c r="CG694" s="1661" t="s">
        <v>11510</v>
      </c>
      <c r="CL694" s="1699" t="s">
        <v>2425</v>
      </c>
      <c r="CM694" s="1699" t="s">
        <v>4758</v>
      </c>
      <c r="CN694" s="1699" t="s">
        <v>3366</v>
      </c>
      <c r="CO694" s="1699" t="s">
        <v>6754</v>
      </c>
      <c r="CP694" s="1699" t="s">
        <v>5865</v>
      </c>
    </row>
    <row r="695" spans="84:94" x14ac:dyDescent="0.2">
      <c r="CF695" s="1661" t="s">
        <v>10511</v>
      </c>
      <c r="CG695" s="1661" t="s">
        <v>11511</v>
      </c>
      <c r="CL695" s="1699" t="s">
        <v>2426</v>
      </c>
      <c r="CM695" s="1699" t="s">
        <v>4759</v>
      </c>
      <c r="CN695" s="1699" t="s">
        <v>3365</v>
      </c>
      <c r="CO695" s="1699" t="s">
        <v>6753</v>
      </c>
      <c r="CP695" s="1699" t="s">
        <v>5864</v>
      </c>
    </row>
    <row r="696" spans="84:94" x14ac:dyDescent="0.2">
      <c r="CF696" s="1661" t="s">
        <v>10512</v>
      </c>
      <c r="CG696" s="1661" t="s">
        <v>11512</v>
      </c>
      <c r="CL696" s="1699" t="s">
        <v>2427</v>
      </c>
      <c r="CM696" s="1699" t="s">
        <v>4760</v>
      </c>
      <c r="CN696" s="1699" t="s">
        <v>3364</v>
      </c>
      <c r="CO696" s="1699" t="s">
        <v>6752</v>
      </c>
      <c r="CP696" s="1699" t="s">
        <v>5863</v>
      </c>
    </row>
    <row r="697" spans="84:94" x14ac:dyDescent="0.2">
      <c r="CF697" s="1661" t="s">
        <v>10513</v>
      </c>
      <c r="CG697" s="1661" t="s">
        <v>11513</v>
      </c>
      <c r="CL697" s="1699" t="s">
        <v>2428</v>
      </c>
      <c r="CM697" s="1699" t="s">
        <v>4761</v>
      </c>
      <c r="CN697" s="1699" t="s">
        <v>3363</v>
      </c>
      <c r="CO697" s="1699" t="s">
        <v>6751</v>
      </c>
      <c r="CP697" s="1699" t="s">
        <v>5862</v>
      </c>
    </row>
    <row r="698" spans="84:94" x14ac:dyDescent="0.2">
      <c r="CF698" s="1661" t="s">
        <v>10514</v>
      </c>
      <c r="CG698" s="1661" t="s">
        <v>11514</v>
      </c>
      <c r="CL698" s="1699" t="s">
        <v>2429</v>
      </c>
      <c r="CM698" s="1699" t="s">
        <v>4762</v>
      </c>
      <c r="CN698" s="1699" t="s">
        <v>3362</v>
      </c>
      <c r="CO698" s="1699" t="s">
        <v>6750</v>
      </c>
      <c r="CP698" s="1699" t="s">
        <v>5861</v>
      </c>
    </row>
    <row r="699" spans="84:94" x14ac:dyDescent="0.2">
      <c r="CF699" s="1661" t="s">
        <v>10515</v>
      </c>
      <c r="CG699" s="1661" t="s">
        <v>11515</v>
      </c>
      <c r="CL699" s="1699" t="s">
        <v>2430</v>
      </c>
      <c r="CM699" s="1699" t="s">
        <v>4763</v>
      </c>
      <c r="CN699" s="1699" t="s">
        <v>3361</v>
      </c>
      <c r="CO699" s="1699" t="s">
        <v>6749</v>
      </c>
      <c r="CP699" s="1699" t="s">
        <v>5860</v>
      </c>
    </row>
    <row r="700" spans="84:94" x14ac:dyDescent="0.2">
      <c r="CF700" s="1661" t="s">
        <v>10516</v>
      </c>
      <c r="CG700" s="1661" t="s">
        <v>11516</v>
      </c>
      <c r="CL700" s="1699" t="s">
        <v>2431</v>
      </c>
      <c r="CM700" s="1699" t="s">
        <v>4764</v>
      </c>
      <c r="CN700" s="1699" t="s">
        <v>3360</v>
      </c>
      <c r="CO700" s="1699" t="s">
        <v>6748</v>
      </c>
      <c r="CP700" s="1699" t="s">
        <v>5859</v>
      </c>
    </row>
    <row r="701" spans="84:94" x14ac:dyDescent="0.2">
      <c r="CF701" s="1661" t="s">
        <v>10517</v>
      </c>
      <c r="CG701" s="1661" t="s">
        <v>11517</v>
      </c>
      <c r="CL701" s="1699" t="s">
        <v>2432</v>
      </c>
      <c r="CM701" s="1699" t="s">
        <v>4765</v>
      </c>
      <c r="CN701" s="1699" t="s">
        <v>3359</v>
      </c>
      <c r="CO701" s="1699" t="s">
        <v>6747</v>
      </c>
      <c r="CP701" s="1699" t="s">
        <v>5858</v>
      </c>
    </row>
    <row r="702" spans="84:94" x14ac:dyDescent="0.2">
      <c r="CF702" s="1661" t="s">
        <v>10518</v>
      </c>
      <c r="CG702" s="1661" t="s">
        <v>11518</v>
      </c>
      <c r="CL702" s="1699" t="s">
        <v>2433</v>
      </c>
      <c r="CM702" s="1699" t="s">
        <v>4766</v>
      </c>
      <c r="CN702" s="1699" t="s">
        <v>3358</v>
      </c>
      <c r="CO702" s="1699" t="s">
        <v>6746</v>
      </c>
      <c r="CP702" s="1699" t="s">
        <v>5857</v>
      </c>
    </row>
    <row r="703" spans="84:94" x14ac:dyDescent="0.2">
      <c r="CF703" s="1661" t="s">
        <v>10519</v>
      </c>
      <c r="CG703" s="1661" t="s">
        <v>11519</v>
      </c>
      <c r="CL703" s="1699" t="s">
        <v>2434</v>
      </c>
      <c r="CM703" s="1699" t="s">
        <v>4767</v>
      </c>
      <c r="CN703" s="1699" t="s">
        <v>3357</v>
      </c>
      <c r="CO703" s="1699" t="s">
        <v>6745</v>
      </c>
      <c r="CP703" s="1699" t="s">
        <v>5856</v>
      </c>
    </row>
    <row r="704" spans="84:94" x14ac:dyDescent="0.2">
      <c r="CF704" s="1661" t="s">
        <v>10520</v>
      </c>
      <c r="CG704" s="1661" t="s">
        <v>11520</v>
      </c>
      <c r="CL704" s="1699" t="s">
        <v>2435</v>
      </c>
      <c r="CM704" s="1699" t="s">
        <v>4768</v>
      </c>
      <c r="CN704" s="1699" t="s">
        <v>3356</v>
      </c>
      <c r="CO704" s="1699" t="s">
        <v>6744</v>
      </c>
      <c r="CP704" s="1699" t="s">
        <v>5855</v>
      </c>
    </row>
    <row r="705" spans="84:94" x14ac:dyDescent="0.2">
      <c r="CF705" s="1661" t="s">
        <v>10521</v>
      </c>
      <c r="CG705" s="1661" t="s">
        <v>11521</v>
      </c>
      <c r="CL705" s="1699" t="s">
        <v>2436</v>
      </c>
      <c r="CM705" s="1699" t="s">
        <v>4769</v>
      </c>
      <c r="CN705" s="1699" t="s">
        <v>3355</v>
      </c>
      <c r="CO705" s="1699" t="s">
        <v>6743</v>
      </c>
      <c r="CP705" s="1699" t="s">
        <v>5854</v>
      </c>
    </row>
    <row r="706" spans="84:94" x14ac:dyDescent="0.2">
      <c r="CF706" s="1661" t="s">
        <v>10522</v>
      </c>
      <c r="CG706" s="1661" t="s">
        <v>11522</v>
      </c>
      <c r="CL706" s="1699" t="s">
        <v>2437</v>
      </c>
      <c r="CM706" s="1699" t="s">
        <v>4770</v>
      </c>
      <c r="CN706" s="1699" t="s">
        <v>3354</v>
      </c>
      <c r="CO706" s="1699" t="s">
        <v>6742</v>
      </c>
      <c r="CP706" s="1699" t="s">
        <v>5853</v>
      </c>
    </row>
    <row r="707" spans="84:94" x14ac:dyDescent="0.2">
      <c r="CF707" s="1661" t="s">
        <v>10523</v>
      </c>
      <c r="CG707" s="1661" t="s">
        <v>11523</v>
      </c>
      <c r="CL707" s="1699" t="s">
        <v>2438</v>
      </c>
      <c r="CM707" s="1699" t="s">
        <v>4771</v>
      </c>
      <c r="CN707" s="1699" t="s">
        <v>3353</v>
      </c>
      <c r="CO707" s="1699" t="s">
        <v>6741</v>
      </c>
      <c r="CP707" s="1699" t="s">
        <v>5852</v>
      </c>
    </row>
    <row r="708" spans="84:94" x14ac:dyDescent="0.2">
      <c r="CF708" s="1661" t="s">
        <v>10524</v>
      </c>
      <c r="CG708" s="1661" t="s">
        <v>11524</v>
      </c>
      <c r="CL708" s="1699" t="s">
        <v>2439</v>
      </c>
      <c r="CM708" s="1699" t="s">
        <v>4772</v>
      </c>
      <c r="CN708" s="1699" t="s">
        <v>3352</v>
      </c>
      <c r="CO708" s="1699" t="s">
        <v>6740</v>
      </c>
      <c r="CP708" s="1699" t="s">
        <v>5851</v>
      </c>
    </row>
    <row r="709" spans="84:94" x14ac:dyDescent="0.2">
      <c r="CF709" s="1661" t="s">
        <v>10525</v>
      </c>
      <c r="CG709" s="1661" t="s">
        <v>11525</v>
      </c>
      <c r="CL709" s="1699" t="s">
        <v>2440</v>
      </c>
      <c r="CM709" s="1699" t="s">
        <v>4773</v>
      </c>
      <c r="CN709" s="1699" t="s">
        <v>3351</v>
      </c>
      <c r="CO709" s="1699" t="s">
        <v>6739</v>
      </c>
      <c r="CP709" s="1699" t="s">
        <v>5850</v>
      </c>
    </row>
    <row r="710" spans="84:94" x14ac:dyDescent="0.2">
      <c r="CF710" s="1661" t="s">
        <v>10526</v>
      </c>
      <c r="CG710" s="1661" t="s">
        <v>11526</v>
      </c>
      <c r="CL710" s="1699" t="s">
        <v>2441</v>
      </c>
      <c r="CM710" s="1699" t="s">
        <v>4774</v>
      </c>
      <c r="CN710" s="1699" t="s">
        <v>3350</v>
      </c>
      <c r="CO710" s="1699" t="s">
        <v>6738</v>
      </c>
      <c r="CP710" s="1699" t="s">
        <v>5849</v>
      </c>
    </row>
    <row r="711" spans="84:94" x14ac:dyDescent="0.2">
      <c r="CF711" s="1661" t="s">
        <v>10527</v>
      </c>
      <c r="CG711" s="1661" t="s">
        <v>11527</v>
      </c>
      <c r="CL711" s="1699" t="s">
        <v>2442</v>
      </c>
      <c r="CM711" s="1699" t="s">
        <v>4775</v>
      </c>
      <c r="CN711" s="1699" t="s">
        <v>3349</v>
      </c>
      <c r="CO711" s="1699" t="s">
        <v>6737</v>
      </c>
      <c r="CP711" s="1699" t="s">
        <v>5848</v>
      </c>
    </row>
    <row r="712" spans="84:94" x14ac:dyDescent="0.2">
      <c r="CF712" s="1661" t="s">
        <v>10528</v>
      </c>
      <c r="CG712" s="1661" t="s">
        <v>11528</v>
      </c>
      <c r="CL712" s="1699" t="s">
        <v>2443</v>
      </c>
      <c r="CM712" s="1699" t="s">
        <v>4776</v>
      </c>
      <c r="CN712" s="1699" t="s">
        <v>3348</v>
      </c>
      <c r="CO712" s="1699" t="s">
        <v>6736</v>
      </c>
      <c r="CP712" s="1699" t="s">
        <v>5847</v>
      </c>
    </row>
    <row r="713" spans="84:94" x14ac:dyDescent="0.2">
      <c r="CF713" s="1661" t="s">
        <v>10529</v>
      </c>
      <c r="CG713" s="1661" t="s">
        <v>11529</v>
      </c>
      <c r="CL713" s="1699" t="s">
        <v>2444</v>
      </c>
      <c r="CM713" s="1699" t="s">
        <v>4777</v>
      </c>
      <c r="CN713" s="1699" t="s">
        <v>3347</v>
      </c>
      <c r="CO713" s="1699" t="s">
        <v>6735</v>
      </c>
      <c r="CP713" s="1699" t="s">
        <v>5846</v>
      </c>
    </row>
    <row r="714" spans="84:94" x14ac:dyDescent="0.2">
      <c r="CF714" s="1661" t="s">
        <v>10530</v>
      </c>
      <c r="CG714" s="1661" t="s">
        <v>11530</v>
      </c>
      <c r="CL714" s="1699" t="s">
        <v>2445</v>
      </c>
      <c r="CM714" s="1699" t="s">
        <v>4778</v>
      </c>
      <c r="CN714" s="1699" t="s">
        <v>3346</v>
      </c>
      <c r="CO714" s="1699" t="s">
        <v>6734</v>
      </c>
      <c r="CP714" s="1699" t="s">
        <v>5845</v>
      </c>
    </row>
    <row r="715" spans="84:94" x14ac:dyDescent="0.2">
      <c r="CF715" s="1661" t="s">
        <v>10531</v>
      </c>
      <c r="CG715" s="1661" t="s">
        <v>11531</v>
      </c>
      <c r="CL715" s="1699" t="s">
        <v>2446</v>
      </c>
      <c r="CM715" s="1699" t="s">
        <v>4779</v>
      </c>
      <c r="CN715" s="1699" t="s">
        <v>3345</v>
      </c>
      <c r="CO715" s="1699" t="s">
        <v>6733</v>
      </c>
      <c r="CP715" s="1699" t="s">
        <v>5844</v>
      </c>
    </row>
    <row r="716" spans="84:94" x14ac:dyDescent="0.2">
      <c r="CF716" s="1661" t="s">
        <v>10532</v>
      </c>
      <c r="CG716" s="1661" t="s">
        <v>11532</v>
      </c>
      <c r="CL716" s="1699" t="s">
        <v>2447</v>
      </c>
      <c r="CM716" s="1699" t="s">
        <v>4780</v>
      </c>
      <c r="CN716" s="1699" t="s">
        <v>3344</v>
      </c>
      <c r="CO716" s="1699" t="s">
        <v>6732</v>
      </c>
      <c r="CP716" s="1699" t="s">
        <v>5843</v>
      </c>
    </row>
    <row r="717" spans="84:94" x14ac:dyDescent="0.2">
      <c r="CF717" s="1661" t="s">
        <v>10533</v>
      </c>
      <c r="CG717" s="1661" t="s">
        <v>11533</v>
      </c>
      <c r="CL717" s="1699" t="s">
        <v>2448</v>
      </c>
      <c r="CM717" s="1699" t="s">
        <v>4781</v>
      </c>
      <c r="CN717" s="1699" t="s">
        <v>3343</v>
      </c>
      <c r="CO717" s="1699" t="s">
        <v>6731</v>
      </c>
      <c r="CP717" s="1699" t="s">
        <v>8184</v>
      </c>
    </row>
    <row r="718" spans="84:94" x14ac:dyDescent="0.2">
      <c r="CF718" s="1661" t="s">
        <v>10534</v>
      </c>
      <c r="CG718" s="1661" t="s">
        <v>11534</v>
      </c>
      <c r="CL718" s="1699" t="s">
        <v>2449</v>
      </c>
      <c r="CM718" s="1699" t="s">
        <v>4782</v>
      </c>
      <c r="CN718" s="1699" t="s">
        <v>3342</v>
      </c>
      <c r="CO718" s="1699" t="s">
        <v>6730</v>
      </c>
      <c r="CP718" s="1699" t="s">
        <v>5842</v>
      </c>
    </row>
    <row r="719" spans="84:94" x14ac:dyDescent="0.2">
      <c r="CF719" s="1661" t="s">
        <v>10535</v>
      </c>
      <c r="CG719" s="1661" t="s">
        <v>11535</v>
      </c>
      <c r="CL719" s="1699" t="s">
        <v>2450</v>
      </c>
      <c r="CM719" s="1699" t="s">
        <v>4783</v>
      </c>
      <c r="CN719" s="1699" t="s">
        <v>3341</v>
      </c>
      <c r="CO719" s="1699" t="s">
        <v>6729</v>
      </c>
      <c r="CP719" s="1699" t="s">
        <v>5841</v>
      </c>
    </row>
    <row r="720" spans="84:94" x14ac:dyDescent="0.2">
      <c r="CF720" s="1661" t="s">
        <v>10536</v>
      </c>
      <c r="CG720" s="1661" t="s">
        <v>11536</v>
      </c>
      <c r="CL720" s="1699" t="s">
        <v>2451</v>
      </c>
      <c r="CM720" s="1699" t="s">
        <v>4784</v>
      </c>
      <c r="CN720" s="1699" t="s">
        <v>3340</v>
      </c>
      <c r="CO720" s="1699" t="s">
        <v>6728</v>
      </c>
      <c r="CP720" s="1699" t="s">
        <v>5840</v>
      </c>
    </row>
    <row r="721" spans="84:94" x14ac:dyDescent="0.2">
      <c r="CF721" s="1661" t="s">
        <v>10537</v>
      </c>
      <c r="CG721" s="1661" t="s">
        <v>11537</v>
      </c>
      <c r="CL721" s="1699" t="s">
        <v>2452</v>
      </c>
      <c r="CM721" s="1699" t="s">
        <v>4785</v>
      </c>
      <c r="CN721" s="1699" t="s">
        <v>3339</v>
      </c>
      <c r="CO721" s="1699" t="s">
        <v>6727</v>
      </c>
      <c r="CP721" s="1699" t="s">
        <v>5839</v>
      </c>
    </row>
    <row r="722" spans="84:94" x14ac:dyDescent="0.2">
      <c r="CF722" s="1661" t="s">
        <v>10538</v>
      </c>
      <c r="CG722" s="1661" t="s">
        <v>11538</v>
      </c>
      <c r="CL722" s="1699" t="s">
        <v>2453</v>
      </c>
      <c r="CM722" s="1699" t="s">
        <v>4786</v>
      </c>
      <c r="CN722" s="1699" t="s">
        <v>3338</v>
      </c>
      <c r="CO722" s="1699" t="s">
        <v>6726</v>
      </c>
      <c r="CP722" s="1699" t="s">
        <v>5838</v>
      </c>
    </row>
    <row r="723" spans="84:94" x14ac:dyDescent="0.2">
      <c r="CF723" s="1661" t="s">
        <v>10539</v>
      </c>
      <c r="CG723" s="1661" t="s">
        <v>11539</v>
      </c>
      <c r="CL723" s="1699" t="s">
        <v>2454</v>
      </c>
      <c r="CM723" s="1699" t="s">
        <v>4787</v>
      </c>
      <c r="CN723" s="1699" t="s">
        <v>3337</v>
      </c>
      <c r="CO723" s="1699" t="s">
        <v>6725</v>
      </c>
      <c r="CP723" s="1699" t="s">
        <v>5837</v>
      </c>
    </row>
    <row r="724" spans="84:94" x14ac:dyDescent="0.2">
      <c r="CF724" s="1661" t="s">
        <v>10540</v>
      </c>
      <c r="CG724" s="1661" t="s">
        <v>11540</v>
      </c>
      <c r="CL724" s="1699" t="s">
        <v>2455</v>
      </c>
      <c r="CM724" s="1699" t="s">
        <v>4788</v>
      </c>
      <c r="CN724" s="1699" t="s">
        <v>3336</v>
      </c>
      <c r="CO724" s="1699" t="s">
        <v>6724</v>
      </c>
      <c r="CP724" s="1699" t="s">
        <v>5836</v>
      </c>
    </row>
    <row r="725" spans="84:94" x14ac:dyDescent="0.2">
      <c r="CF725" s="1661" t="s">
        <v>10541</v>
      </c>
      <c r="CG725" s="1661" t="s">
        <v>11541</v>
      </c>
      <c r="CL725" s="1699" t="s">
        <v>2456</v>
      </c>
      <c r="CM725" s="1699" t="s">
        <v>4789</v>
      </c>
      <c r="CN725" s="1699" t="s">
        <v>3335</v>
      </c>
      <c r="CO725" s="1699" t="s">
        <v>6723</v>
      </c>
      <c r="CP725" s="1699" t="s">
        <v>5835</v>
      </c>
    </row>
    <row r="726" spans="84:94" x14ac:dyDescent="0.2">
      <c r="CF726" s="1661" t="s">
        <v>10542</v>
      </c>
      <c r="CG726" s="1661" t="s">
        <v>11542</v>
      </c>
      <c r="CL726" s="1699" t="s">
        <v>2457</v>
      </c>
      <c r="CM726" s="1699" t="s">
        <v>4790</v>
      </c>
      <c r="CN726" s="1699" t="s">
        <v>3334</v>
      </c>
      <c r="CO726" s="1699" t="s">
        <v>6722</v>
      </c>
      <c r="CP726" s="1699" t="s">
        <v>5834</v>
      </c>
    </row>
    <row r="727" spans="84:94" x14ac:dyDescent="0.2">
      <c r="CF727" s="1661" t="s">
        <v>10543</v>
      </c>
      <c r="CG727" s="1661" t="s">
        <v>11543</v>
      </c>
      <c r="CL727" s="1699" t="s">
        <v>2458</v>
      </c>
      <c r="CM727" s="1699" t="s">
        <v>4791</v>
      </c>
      <c r="CN727" s="1699" t="s">
        <v>3333</v>
      </c>
      <c r="CO727" s="1699" t="s">
        <v>6721</v>
      </c>
      <c r="CP727" s="1699" t="s">
        <v>5833</v>
      </c>
    </row>
    <row r="728" spans="84:94" x14ac:dyDescent="0.2">
      <c r="CF728" s="1661" t="s">
        <v>10544</v>
      </c>
      <c r="CG728" s="1661" t="s">
        <v>11544</v>
      </c>
      <c r="CL728" s="1699" t="s">
        <v>2459</v>
      </c>
      <c r="CM728" s="1699" t="s">
        <v>4792</v>
      </c>
      <c r="CN728" s="1699" t="s">
        <v>3332</v>
      </c>
      <c r="CO728" s="1699" t="s">
        <v>6672</v>
      </c>
      <c r="CP728" s="1699" t="s">
        <v>5832</v>
      </c>
    </row>
    <row r="729" spans="84:94" x14ac:dyDescent="0.2">
      <c r="CF729" s="1661" t="s">
        <v>10545</v>
      </c>
      <c r="CG729" s="1661" t="s">
        <v>11545</v>
      </c>
      <c r="CL729" s="1699" t="s">
        <v>2460</v>
      </c>
      <c r="CM729" s="1699" t="s">
        <v>4793</v>
      </c>
      <c r="CN729" s="1699" t="s">
        <v>3331</v>
      </c>
      <c r="CO729" s="1699" t="s">
        <v>6671</v>
      </c>
      <c r="CP729" s="1699" t="s">
        <v>5831</v>
      </c>
    </row>
    <row r="730" spans="84:94" x14ac:dyDescent="0.2">
      <c r="CF730" s="1661" t="s">
        <v>10546</v>
      </c>
      <c r="CG730" s="1661" t="s">
        <v>11546</v>
      </c>
      <c r="CL730" s="1699" t="s">
        <v>2461</v>
      </c>
      <c r="CM730" s="1699" t="s">
        <v>4794</v>
      </c>
      <c r="CN730" s="1699" t="s">
        <v>3330</v>
      </c>
      <c r="CO730" s="1699" t="s">
        <v>6670</v>
      </c>
      <c r="CP730" s="1699" t="s">
        <v>5830</v>
      </c>
    </row>
    <row r="731" spans="84:94" x14ac:dyDescent="0.2">
      <c r="CF731" s="1661" t="s">
        <v>10547</v>
      </c>
      <c r="CG731" s="1661" t="s">
        <v>11547</v>
      </c>
      <c r="CL731" s="1699" t="s">
        <v>2462</v>
      </c>
      <c r="CM731" s="1699" t="s">
        <v>4795</v>
      </c>
      <c r="CN731" s="1699" t="s">
        <v>3329</v>
      </c>
      <c r="CO731" s="1699" t="s">
        <v>6669</v>
      </c>
      <c r="CP731" s="1699" t="s">
        <v>5829</v>
      </c>
    </row>
    <row r="732" spans="84:94" x14ac:dyDescent="0.2">
      <c r="CF732" s="1661" t="s">
        <v>10548</v>
      </c>
      <c r="CG732" s="1661" t="s">
        <v>11548</v>
      </c>
      <c r="CL732" s="1699" t="s">
        <v>2463</v>
      </c>
      <c r="CM732" s="1699" t="s">
        <v>4796</v>
      </c>
      <c r="CN732" s="1699" t="s">
        <v>3328</v>
      </c>
      <c r="CO732" s="1699" t="s">
        <v>6668</v>
      </c>
      <c r="CP732" s="1699" t="s">
        <v>8183</v>
      </c>
    </row>
    <row r="733" spans="84:94" x14ac:dyDescent="0.2">
      <c r="CF733" s="1661" t="s">
        <v>10549</v>
      </c>
      <c r="CG733" s="1661" t="s">
        <v>11549</v>
      </c>
      <c r="CL733" s="1699" t="s">
        <v>2464</v>
      </c>
      <c r="CM733" s="1699" t="s">
        <v>4797</v>
      </c>
      <c r="CN733" s="1699" t="s">
        <v>3327</v>
      </c>
      <c r="CO733" s="1699" t="s">
        <v>6667</v>
      </c>
      <c r="CP733" s="1699" t="s">
        <v>5828</v>
      </c>
    </row>
    <row r="734" spans="84:94" x14ac:dyDescent="0.2">
      <c r="CF734" s="1661" t="s">
        <v>10550</v>
      </c>
      <c r="CG734" s="1661" t="s">
        <v>11550</v>
      </c>
      <c r="CL734" s="1699" t="s">
        <v>2465</v>
      </c>
      <c r="CM734" s="1699" t="s">
        <v>4798</v>
      </c>
      <c r="CN734" s="1699" t="s">
        <v>3326</v>
      </c>
      <c r="CO734" s="1699" t="s">
        <v>6666</v>
      </c>
      <c r="CP734" s="1699" t="s">
        <v>8182</v>
      </c>
    </row>
    <row r="735" spans="84:94" x14ac:dyDescent="0.2">
      <c r="CF735" s="1661" t="s">
        <v>10551</v>
      </c>
      <c r="CG735" s="1661" t="s">
        <v>11551</v>
      </c>
      <c r="CL735" s="1699" t="s">
        <v>2466</v>
      </c>
      <c r="CM735" s="1699" t="s">
        <v>4799</v>
      </c>
      <c r="CN735" s="1699" t="s">
        <v>3325</v>
      </c>
      <c r="CO735" s="1699" t="s">
        <v>6665</v>
      </c>
      <c r="CP735" s="1699" t="s">
        <v>8181</v>
      </c>
    </row>
    <row r="736" spans="84:94" x14ac:dyDescent="0.2">
      <c r="CF736" s="1661" t="s">
        <v>10552</v>
      </c>
      <c r="CG736" s="1661" t="s">
        <v>11552</v>
      </c>
      <c r="CL736" s="1699" t="s">
        <v>2467</v>
      </c>
      <c r="CM736" s="1699" t="s">
        <v>4800</v>
      </c>
      <c r="CN736" s="1699" t="s">
        <v>3324</v>
      </c>
      <c r="CO736" s="1699" t="s">
        <v>6664</v>
      </c>
      <c r="CP736" s="1699" t="s">
        <v>8180</v>
      </c>
    </row>
    <row r="737" spans="84:94" x14ac:dyDescent="0.2">
      <c r="CF737" s="1661" t="s">
        <v>10553</v>
      </c>
      <c r="CG737" s="1661" t="s">
        <v>11553</v>
      </c>
      <c r="CL737" s="1699" t="s">
        <v>2468</v>
      </c>
      <c r="CM737" s="1699" t="s">
        <v>4801</v>
      </c>
      <c r="CN737" s="1699" t="s">
        <v>3323</v>
      </c>
      <c r="CO737" s="1699" t="s">
        <v>6663</v>
      </c>
      <c r="CP737" s="1699" t="s">
        <v>5827</v>
      </c>
    </row>
    <row r="738" spans="84:94" x14ac:dyDescent="0.2">
      <c r="CF738" s="1661" t="s">
        <v>10554</v>
      </c>
      <c r="CG738" s="1661" t="s">
        <v>11554</v>
      </c>
      <c r="CL738" s="1699" t="s">
        <v>2469</v>
      </c>
      <c r="CM738" s="1699" t="s">
        <v>4802</v>
      </c>
      <c r="CN738" s="1699" t="s">
        <v>3322</v>
      </c>
      <c r="CO738" s="1699" t="s">
        <v>6662</v>
      </c>
      <c r="CP738" s="1699" t="s">
        <v>8179</v>
      </c>
    </row>
    <row r="739" spans="84:94" x14ac:dyDescent="0.2">
      <c r="CF739" s="1661" t="s">
        <v>10555</v>
      </c>
      <c r="CG739" s="1661" t="s">
        <v>11555</v>
      </c>
      <c r="CL739" s="1699" t="s">
        <v>2470</v>
      </c>
      <c r="CM739" s="1699" t="s">
        <v>4803</v>
      </c>
      <c r="CN739" s="1699" t="s">
        <v>3321</v>
      </c>
      <c r="CO739" s="1699" t="s">
        <v>6661</v>
      </c>
      <c r="CP739" s="1699" t="s">
        <v>5826</v>
      </c>
    </row>
    <row r="740" spans="84:94" x14ac:dyDescent="0.2">
      <c r="CF740" s="1661" t="s">
        <v>10556</v>
      </c>
      <c r="CG740" s="1661" t="s">
        <v>11556</v>
      </c>
      <c r="CL740" s="1699" t="s">
        <v>2471</v>
      </c>
      <c r="CM740" s="1699" t="s">
        <v>4804</v>
      </c>
      <c r="CN740" s="1699" t="s">
        <v>3320</v>
      </c>
      <c r="CO740" s="1699" t="s">
        <v>6660</v>
      </c>
      <c r="CP740" s="1699" t="s">
        <v>5825</v>
      </c>
    </row>
    <row r="741" spans="84:94" x14ac:dyDescent="0.2">
      <c r="CF741" s="1661" t="s">
        <v>10557</v>
      </c>
      <c r="CG741" s="1661" t="s">
        <v>11557</v>
      </c>
      <c r="CL741" s="1699" t="s">
        <v>2472</v>
      </c>
      <c r="CM741" s="1699" t="s">
        <v>4805</v>
      </c>
      <c r="CN741" s="1699" t="s">
        <v>3319</v>
      </c>
      <c r="CO741" s="1699" t="s">
        <v>6659</v>
      </c>
      <c r="CP741" s="1699" t="s">
        <v>5824</v>
      </c>
    </row>
    <row r="742" spans="84:94" x14ac:dyDescent="0.2">
      <c r="CF742" s="1661" t="s">
        <v>10558</v>
      </c>
      <c r="CG742" s="1661" t="s">
        <v>11558</v>
      </c>
      <c r="CL742" s="1699" t="s">
        <v>2473</v>
      </c>
      <c r="CM742" s="1699" t="s">
        <v>4806</v>
      </c>
      <c r="CN742" s="1699" t="s">
        <v>3318</v>
      </c>
      <c r="CO742" s="1699" t="s">
        <v>6658</v>
      </c>
      <c r="CP742" s="1699" t="s">
        <v>5823</v>
      </c>
    </row>
    <row r="743" spans="84:94" x14ac:dyDescent="0.2">
      <c r="CF743" s="1661" t="s">
        <v>10559</v>
      </c>
      <c r="CG743" s="1661" t="s">
        <v>11559</v>
      </c>
      <c r="CL743" s="1699" t="s">
        <v>2474</v>
      </c>
      <c r="CM743" s="1699" t="s">
        <v>4807</v>
      </c>
      <c r="CN743" s="1699" t="s">
        <v>3317</v>
      </c>
      <c r="CO743" s="1699" t="s">
        <v>6657</v>
      </c>
      <c r="CP743" s="1699" t="s">
        <v>5822</v>
      </c>
    </row>
    <row r="744" spans="84:94" x14ac:dyDescent="0.2">
      <c r="CF744" s="1661" t="s">
        <v>10560</v>
      </c>
      <c r="CG744" s="1661" t="s">
        <v>11560</v>
      </c>
      <c r="CL744" s="1699" t="s">
        <v>2475</v>
      </c>
      <c r="CM744" s="1699" t="s">
        <v>4808</v>
      </c>
      <c r="CN744" s="1699" t="s">
        <v>3316</v>
      </c>
      <c r="CO744" s="1699" t="s">
        <v>6656</v>
      </c>
      <c r="CP744" s="1699" t="s">
        <v>5821</v>
      </c>
    </row>
    <row r="745" spans="84:94" x14ac:dyDescent="0.2">
      <c r="CF745" s="1661" t="s">
        <v>10561</v>
      </c>
      <c r="CG745" s="1661" t="s">
        <v>11561</v>
      </c>
      <c r="CL745" s="1699" t="s">
        <v>2476</v>
      </c>
      <c r="CM745" s="1699" t="s">
        <v>4809</v>
      </c>
      <c r="CN745" s="1699" t="s">
        <v>3315</v>
      </c>
      <c r="CO745" s="1699" t="s">
        <v>6655</v>
      </c>
      <c r="CP745" s="1699" t="s">
        <v>5820</v>
      </c>
    </row>
    <row r="746" spans="84:94" x14ac:dyDescent="0.2">
      <c r="CF746" s="1661" t="s">
        <v>10562</v>
      </c>
      <c r="CG746" s="1661" t="s">
        <v>11562</v>
      </c>
      <c r="CL746" s="1699" t="s">
        <v>2477</v>
      </c>
      <c r="CM746" s="1699" t="s">
        <v>6708</v>
      </c>
      <c r="CN746" s="1699" t="s">
        <v>3314</v>
      </c>
      <c r="CO746" s="1699" t="s">
        <v>6654</v>
      </c>
      <c r="CP746" s="1699" t="s">
        <v>5819</v>
      </c>
    </row>
    <row r="747" spans="84:94" x14ac:dyDescent="0.2">
      <c r="CF747" s="1661" t="s">
        <v>10563</v>
      </c>
      <c r="CG747" s="1661" t="s">
        <v>11563</v>
      </c>
      <c r="CL747" s="1699" t="s">
        <v>2478</v>
      </c>
      <c r="CM747" s="1699" t="s">
        <v>6594</v>
      </c>
      <c r="CN747" s="1699" t="s">
        <v>3313</v>
      </c>
      <c r="CO747" s="1699" t="s">
        <v>6653</v>
      </c>
      <c r="CP747" s="1699" t="s">
        <v>5818</v>
      </c>
    </row>
    <row r="748" spans="84:94" x14ac:dyDescent="0.2">
      <c r="CF748" s="1661" t="s">
        <v>10564</v>
      </c>
      <c r="CG748" s="1661" t="s">
        <v>11564</v>
      </c>
      <c r="CL748" s="1699" t="s">
        <v>2479</v>
      </c>
      <c r="CM748" s="1699" t="s">
        <v>6595</v>
      </c>
      <c r="CN748" s="1699" t="s">
        <v>3312</v>
      </c>
      <c r="CO748" s="1699" t="s">
        <v>6652</v>
      </c>
      <c r="CP748" s="1699" t="s">
        <v>5817</v>
      </c>
    </row>
    <row r="749" spans="84:94" x14ac:dyDescent="0.2">
      <c r="CF749" s="1661" t="s">
        <v>10565</v>
      </c>
      <c r="CG749" s="1661" t="s">
        <v>11565</v>
      </c>
      <c r="CL749" s="1699" t="s">
        <v>2480</v>
      </c>
      <c r="CM749" s="1699" t="s">
        <v>4810</v>
      </c>
      <c r="CN749" s="1699" t="s">
        <v>3311</v>
      </c>
      <c r="CO749" s="1699" t="s">
        <v>6651</v>
      </c>
      <c r="CP749" s="1699" t="s">
        <v>5816</v>
      </c>
    </row>
    <row r="750" spans="84:94" x14ac:dyDescent="0.2">
      <c r="CF750" s="1661" t="s">
        <v>10566</v>
      </c>
      <c r="CG750" s="1661" t="s">
        <v>11566</v>
      </c>
      <c r="CL750" s="1699" t="s">
        <v>2481</v>
      </c>
      <c r="CM750" s="1699" t="s">
        <v>4811</v>
      </c>
      <c r="CN750" s="1699" t="s">
        <v>3310</v>
      </c>
      <c r="CO750" s="1699" t="s">
        <v>6650</v>
      </c>
      <c r="CP750" s="1699" t="s">
        <v>5815</v>
      </c>
    </row>
    <row r="751" spans="84:94" x14ac:dyDescent="0.2">
      <c r="CF751" s="1661" t="s">
        <v>10567</v>
      </c>
      <c r="CG751" s="1661" t="s">
        <v>11567</v>
      </c>
      <c r="CL751" s="1699" t="s">
        <v>2482</v>
      </c>
      <c r="CM751" s="1699" t="s">
        <v>4812</v>
      </c>
      <c r="CN751" s="1699" t="s">
        <v>3309</v>
      </c>
      <c r="CO751" s="1699" t="s">
        <v>6649</v>
      </c>
      <c r="CP751" s="1699" t="s">
        <v>5814</v>
      </c>
    </row>
    <row r="752" spans="84:94" x14ac:dyDescent="0.2">
      <c r="CF752" s="1661" t="s">
        <v>10568</v>
      </c>
      <c r="CG752" s="1661" t="s">
        <v>11568</v>
      </c>
      <c r="CL752" s="1699" t="s">
        <v>2483</v>
      </c>
      <c r="CM752" s="1699" t="s">
        <v>4813</v>
      </c>
      <c r="CN752" s="1699" t="s">
        <v>3308</v>
      </c>
      <c r="CO752" s="1699" t="s">
        <v>6648</v>
      </c>
      <c r="CP752" s="1699" t="s">
        <v>7387</v>
      </c>
    </row>
    <row r="753" spans="84:94" x14ac:dyDescent="0.2">
      <c r="CF753" s="1661" t="s">
        <v>10569</v>
      </c>
      <c r="CG753" s="1661" t="s">
        <v>11569</v>
      </c>
      <c r="CL753" s="1699" t="s">
        <v>2484</v>
      </c>
      <c r="CM753" s="1699" t="s">
        <v>4814</v>
      </c>
      <c r="CN753" s="1699" t="s">
        <v>3307</v>
      </c>
      <c r="CO753" s="1699" t="s">
        <v>6647</v>
      </c>
      <c r="CP753" s="1699" t="s">
        <v>5813</v>
      </c>
    </row>
    <row r="754" spans="84:94" x14ac:dyDescent="0.2">
      <c r="CF754" s="1661" t="s">
        <v>10570</v>
      </c>
      <c r="CG754" s="1661" t="s">
        <v>11570</v>
      </c>
      <c r="CL754" s="1699" t="s">
        <v>2485</v>
      </c>
      <c r="CM754" s="1699" t="s">
        <v>4815</v>
      </c>
      <c r="CN754" s="1699" t="s">
        <v>3306</v>
      </c>
      <c r="CO754" s="1699" t="s">
        <v>6646</v>
      </c>
      <c r="CP754" s="1699" t="s">
        <v>5812</v>
      </c>
    </row>
    <row r="755" spans="84:94" x14ac:dyDescent="0.2">
      <c r="CF755" s="1661" t="s">
        <v>10571</v>
      </c>
      <c r="CG755" s="1661" t="s">
        <v>11571</v>
      </c>
      <c r="CL755" s="1699" t="s">
        <v>2486</v>
      </c>
      <c r="CM755" s="1699" t="s">
        <v>4816</v>
      </c>
      <c r="CN755" s="1699" t="s">
        <v>3305</v>
      </c>
      <c r="CO755" s="1699" t="s">
        <v>6645</v>
      </c>
      <c r="CP755" s="1699" t="s">
        <v>5811</v>
      </c>
    </row>
    <row r="756" spans="84:94" x14ac:dyDescent="0.2">
      <c r="CF756" s="1661" t="s">
        <v>10572</v>
      </c>
      <c r="CG756" s="1661" t="s">
        <v>11572</v>
      </c>
      <c r="CL756" s="1699" t="s">
        <v>2487</v>
      </c>
      <c r="CM756" s="1699" t="s">
        <v>4817</v>
      </c>
      <c r="CN756" s="1699" t="s">
        <v>3304</v>
      </c>
      <c r="CO756" s="1699" t="s">
        <v>6644</v>
      </c>
      <c r="CP756" s="1699" t="s">
        <v>5810</v>
      </c>
    </row>
    <row r="757" spans="84:94" x14ac:dyDescent="0.2">
      <c r="CF757" s="1661" t="s">
        <v>10573</v>
      </c>
      <c r="CG757" s="1661" t="s">
        <v>11573</v>
      </c>
      <c r="CL757" s="1699" t="s">
        <v>2488</v>
      </c>
      <c r="CM757" s="1699" t="s">
        <v>4818</v>
      </c>
      <c r="CN757" s="1699" t="s">
        <v>3303</v>
      </c>
      <c r="CO757" s="1699" t="s">
        <v>6643</v>
      </c>
      <c r="CP757" s="1699" t="s">
        <v>8178</v>
      </c>
    </row>
    <row r="758" spans="84:94" x14ac:dyDescent="0.2">
      <c r="CF758" s="1661" t="s">
        <v>10574</v>
      </c>
      <c r="CG758" s="1661" t="s">
        <v>11574</v>
      </c>
      <c r="CL758" s="1699" t="s">
        <v>2489</v>
      </c>
      <c r="CM758" s="1699" t="s">
        <v>4819</v>
      </c>
      <c r="CN758" s="1699" t="s">
        <v>3302</v>
      </c>
      <c r="CO758" s="1699" t="s">
        <v>6642</v>
      </c>
      <c r="CP758" s="1699" t="s">
        <v>5809</v>
      </c>
    </row>
    <row r="759" spans="84:94" x14ac:dyDescent="0.2">
      <c r="CF759" s="1661" t="s">
        <v>10575</v>
      </c>
      <c r="CG759" s="1661" t="s">
        <v>11575</v>
      </c>
      <c r="CL759" s="1699" t="s">
        <v>2490</v>
      </c>
      <c r="CM759" s="1699" t="s">
        <v>7214</v>
      </c>
      <c r="CN759" s="1699" t="s">
        <v>3301</v>
      </c>
      <c r="CO759" s="1699" t="s">
        <v>6641</v>
      </c>
      <c r="CP759" s="1699" t="s">
        <v>5808</v>
      </c>
    </row>
    <row r="760" spans="84:94" x14ac:dyDescent="0.2">
      <c r="CF760" s="1661" t="s">
        <v>10576</v>
      </c>
      <c r="CG760" s="1661" t="s">
        <v>11576</v>
      </c>
      <c r="CL760" s="1699" t="s">
        <v>2491</v>
      </c>
      <c r="CM760" s="1699" t="s">
        <v>4820</v>
      </c>
      <c r="CN760" s="1699" t="s">
        <v>3300</v>
      </c>
      <c r="CO760" s="1699" t="s">
        <v>6640</v>
      </c>
      <c r="CP760" s="1699" t="s">
        <v>5807</v>
      </c>
    </row>
    <row r="761" spans="84:94" x14ac:dyDescent="0.2">
      <c r="CF761" s="1661" t="s">
        <v>10577</v>
      </c>
      <c r="CG761" s="1661" t="s">
        <v>11577</v>
      </c>
      <c r="CL761" s="1699" t="s">
        <v>2492</v>
      </c>
      <c r="CM761" s="1699" t="s">
        <v>4821</v>
      </c>
      <c r="CN761" s="1699" t="s">
        <v>3299</v>
      </c>
      <c r="CO761" s="1699" t="s">
        <v>6639</v>
      </c>
      <c r="CP761" s="1699" t="s">
        <v>5806</v>
      </c>
    </row>
    <row r="762" spans="84:94" x14ac:dyDescent="0.2">
      <c r="CF762" s="1661" t="s">
        <v>10578</v>
      </c>
      <c r="CG762" s="1661" t="s">
        <v>11578</v>
      </c>
      <c r="CL762" s="1699" t="s">
        <v>2493</v>
      </c>
      <c r="CM762" s="1699" t="s">
        <v>4822</v>
      </c>
      <c r="CN762" s="1699" t="s">
        <v>3298</v>
      </c>
      <c r="CO762" s="1699" t="s">
        <v>6638</v>
      </c>
      <c r="CP762" s="1699" t="s">
        <v>5805</v>
      </c>
    </row>
    <row r="763" spans="84:94" x14ac:dyDescent="0.2">
      <c r="CF763" s="1661" t="s">
        <v>10579</v>
      </c>
      <c r="CG763" s="1661" t="s">
        <v>11579</v>
      </c>
      <c r="CL763" s="1699" t="s">
        <v>2494</v>
      </c>
      <c r="CM763" s="1699" t="s">
        <v>4823</v>
      </c>
      <c r="CN763" s="1699" t="s">
        <v>3297</v>
      </c>
      <c r="CO763" s="1699" t="s">
        <v>6637</v>
      </c>
      <c r="CP763" s="1699" t="s">
        <v>5804</v>
      </c>
    </row>
    <row r="764" spans="84:94" x14ac:dyDescent="0.2">
      <c r="CF764" s="1661" t="s">
        <v>10580</v>
      </c>
      <c r="CG764" s="1661" t="s">
        <v>11580</v>
      </c>
      <c r="CL764" s="1699" t="s">
        <v>2495</v>
      </c>
      <c r="CM764" s="1699" t="s">
        <v>4824</v>
      </c>
      <c r="CN764" s="1699" t="s">
        <v>3296</v>
      </c>
      <c r="CO764" s="1699" t="s">
        <v>6636</v>
      </c>
      <c r="CP764" s="1699" t="s">
        <v>8177</v>
      </c>
    </row>
    <row r="765" spans="84:94" x14ac:dyDescent="0.2">
      <c r="CF765" s="1661" t="s">
        <v>10581</v>
      </c>
      <c r="CG765" s="1661" t="s">
        <v>11581</v>
      </c>
      <c r="CL765" s="1699" t="s">
        <v>2496</v>
      </c>
      <c r="CM765" s="1699" t="s">
        <v>4825</v>
      </c>
      <c r="CN765" s="1699" t="s">
        <v>3295</v>
      </c>
      <c r="CO765" s="1699" t="s">
        <v>4064</v>
      </c>
      <c r="CP765" s="1699" t="s">
        <v>5803</v>
      </c>
    </row>
    <row r="766" spans="84:94" x14ac:dyDescent="0.2">
      <c r="CF766" s="1661" t="s">
        <v>10582</v>
      </c>
      <c r="CG766" s="1661" t="s">
        <v>11582</v>
      </c>
      <c r="CL766" s="1699" t="s">
        <v>2497</v>
      </c>
      <c r="CM766" s="1699" t="s">
        <v>4826</v>
      </c>
      <c r="CN766" s="1699" t="s">
        <v>3294</v>
      </c>
      <c r="CO766" s="1699" t="s">
        <v>5427</v>
      </c>
      <c r="CP766" s="1699" t="s">
        <v>5802</v>
      </c>
    </row>
    <row r="767" spans="84:94" x14ac:dyDescent="0.2">
      <c r="CF767" s="1661" t="s">
        <v>10583</v>
      </c>
      <c r="CG767" s="1661" t="s">
        <v>11583</v>
      </c>
      <c r="CL767" s="1699" t="s">
        <v>2498</v>
      </c>
      <c r="CM767" s="1699" t="s">
        <v>4827</v>
      </c>
      <c r="CN767" s="1699" t="s">
        <v>3293</v>
      </c>
      <c r="CO767" s="1699" t="s">
        <v>5426</v>
      </c>
      <c r="CP767" s="1699" t="s">
        <v>5801</v>
      </c>
    </row>
    <row r="768" spans="84:94" x14ac:dyDescent="0.2">
      <c r="CF768" s="1661" t="s">
        <v>10584</v>
      </c>
      <c r="CG768" s="1661" t="s">
        <v>11584</v>
      </c>
      <c r="CL768" s="1699" t="s">
        <v>2499</v>
      </c>
      <c r="CM768" s="1699" t="s">
        <v>4828</v>
      </c>
      <c r="CN768" s="1699" t="s">
        <v>3292</v>
      </c>
      <c r="CO768" s="1699" t="s">
        <v>5425</v>
      </c>
      <c r="CP768" s="1699" t="s">
        <v>5800</v>
      </c>
    </row>
    <row r="769" spans="84:94" x14ac:dyDescent="0.2">
      <c r="CF769" s="1661" t="s">
        <v>10585</v>
      </c>
      <c r="CG769" s="1661" t="s">
        <v>11585</v>
      </c>
      <c r="CL769" s="1699" t="s">
        <v>2500</v>
      </c>
      <c r="CM769" s="1699" t="s">
        <v>4829</v>
      </c>
      <c r="CN769" s="1699" t="s">
        <v>3291</v>
      </c>
      <c r="CO769" s="1699" t="s">
        <v>5424</v>
      </c>
      <c r="CP769" s="1699" t="s">
        <v>5799</v>
      </c>
    </row>
    <row r="770" spans="84:94" x14ac:dyDescent="0.2">
      <c r="CF770" s="1661" t="s">
        <v>10586</v>
      </c>
      <c r="CG770" s="1661" t="s">
        <v>11586</v>
      </c>
      <c r="CL770" s="1699" t="s">
        <v>2501</v>
      </c>
      <c r="CM770" s="1699" t="s">
        <v>4830</v>
      </c>
      <c r="CN770" s="1699" t="s">
        <v>3290</v>
      </c>
      <c r="CO770" s="1699" t="s">
        <v>5423</v>
      </c>
      <c r="CP770" s="1699" t="s">
        <v>5798</v>
      </c>
    </row>
    <row r="771" spans="84:94" x14ac:dyDescent="0.2">
      <c r="CF771" s="1661" t="s">
        <v>10587</v>
      </c>
      <c r="CG771" s="1661" t="s">
        <v>11587</v>
      </c>
      <c r="CL771" s="1699" t="s">
        <v>2502</v>
      </c>
      <c r="CM771" s="1699" t="s">
        <v>4831</v>
      </c>
      <c r="CN771" s="1699" t="s">
        <v>3289</v>
      </c>
      <c r="CO771" s="1699" t="s">
        <v>5422</v>
      </c>
      <c r="CP771" s="1699" t="s">
        <v>5797</v>
      </c>
    </row>
    <row r="772" spans="84:94" x14ac:dyDescent="0.2">
      <c r="CF772" s="1661" t="s">
        <v>10588</v>
      </c>
      <c r="CG772" s="1661" t="s">
        <v>11588</v>
      </c>
      <c r="CL772" s="1699" t="s">
        <v>2503</v>
      </c>
      <c r="CM772" s="1699" t="s">
        <v>4832</v>
      </c>
      <c r="CN772" s="1699" t="s">
        <v>3288</v>
      </c>
      <c r="CO772" s="1699" t="s">
        <v>5421</v>
      </c>
      <c r="CP772" s="1699" t="s">
        <v>5796</v>
      </c>
    </row>
    <row r="773" spans="84:94" x14ac:dyDescent="0.2">
      <c r="CF773" s="1661" t="s">
        <v>10589</v>
      </c>
      <c r="CG773" s="1661" t="s">
        <v>11589</v>
      </c>
      <c r="CL773" s="1699" t="s">
        <v>2504</v>
      </c>
      <c r="CM773" s="1699" t="s">
        <v>4833</v>
      </c>
      <c r="CN773" s="1699" t="s">
        <v>3287</v>
      </c>
      <c r="CO773" s="1699" t="s">
        <v>5420</v>
      </c>
      <c r="CP773" s="1699" t="s">
        <v>5795</v>
      </c>
    </row>
    <row r="774" spans="84:94" x14ac:dyDescent="0.2">
      <c r="CF774" s="1661" t="s">
        <v>10590</v>
      </c>
      <c r="CG774" s="1661" t="s">
        <v>11590</v>
      </c>
      <c r="CL774" s="1699" t="s">
        <v>2505</v>
      </c>
      <c r="CM774" s="1699" t="s">
        <v>4834</v>
      </c>
      <c r="CN774" s="1699" t="s">
        <v>3286</v>
      </c>
      <c r="CO774" s="1699" t="s">
        <v>5419</v>
      </c>
      <c r="CP774" s="1699" t="s">
        <v>5794</v>
      </c>
    </row>
    <row r="775" spans="84:94" x14ac:dyDescent="0.2">
      <c r="CF775" s="1661" t="s">
        <v>10591</v>
      </c>
      <c r="CG775" s="1661" t="s">
        <v>11591</v>
      </c>
      <c r="CL775" s="1699" t="s">
        <v>2506</v>
      </c>
      <c r="CM775" s="1699" t="s">
        <v>4835</v>
      </c>
      <c r="CN775" s="1699" t="s">
        <v>3285</v>
      </c>
      <c r="CO775" s="1699" t="s">
        <v>5418</v>
      </c>
      <c r="CP775" s="1699" t="s">
        <v>5793</v>
      </c>
    </row>
    <row r="776" spans="84:94" x14ac:dyDescent="0.2">
      <c r="CF776" s="1661" t="s">
        <v>10592</v>
      </c>
      <c r="CG776" s="1661" t="s">
        <v>11592</v>
      </c>
      <c r="CL776" s="1699" t="s">
        <v>2507</v>
      </c>
      <c r="CM776" s="1699" t="s">
        <v>4836</v>
      </c>
      <c r="CN776" s="1699" t="s">
        <v>3284</v>
      </c>
      <c r="CO776" s="1699" t="s">
        <v>5417</v>
      </c>
      <c r="CP776" s="1699" t="s">
        <v>5792</v>
      </c>
    </row>
    <row r="777" spans="84:94" x14ac:dyDescent="0.2">
      <c r="CF777" s="1661" t="s">
        <v>10593</v>
      </c>
      <c r="CG777" s="1661" t="s">
        <v>11593</v>
      </c>
      <c r="CL777" s="1699" t="s">
        <v>2508</v>
      </c>
      <c r="CM777" s="1699" t="s">
        <v>4837</v>
      </c>
      <c r="CN777" s="1699" t="s">
        <v>3283</v>
      </c>
      <c r="CO777" s="1699" t="s">
        <v>5416</v>
      </c>
      <c r="CP777" s="1699" t="s">
        <v>5791</v>
      </c>
    </row>
    <row r="778" spans="84:94" x14ac:dyDescent="0.2">
      <c r="CF778" s="1661" t="s">
        <v>10594</v>
      </c>
      <c r="CG778" s="1661" t="s">
        <v>11594</v>
      </c>
      <c r="CL778" s="1699" t="s">
        <v>2509</v>
      </c>
      <c r="CM778" s="1699" t="s">
        <v>4838</v>
      </c>
      <c r="CN778" s="1699" t="s">
        <v>3282</v>
      </c>
      <c r="CO778" s="1699" t="s">
        <v>5415</v>
      </c>
      <c r="CP778" s="1699" t="s">
        <v>5790</v>
      </c>
    </row>
    <row r="779" spans="84:94" x14ac:dyDescent="0.2">
      <c r="CF779" s="1661" t="s">
        <v>10595</v>
      </c>
      <c r="CG779" s="1661" t="s">
        <v>11595</v>
      </c>
      <c r="CL779" s="1699" t="s">
        <v>2510</v>
      </c>
      <c r="CM779" s="1699" t="s">
        <v>4839</v>
      </c>
      <c r="CN779" s="1699" t="s">
        <v>3281</v>
      </c>
      <c r="CO779" s="1699" t="s">
        <v>5414</v>
      </c>
      <c r="CP779" s="1699" t="s">
        <v>5789</v>
      </c>
    </row>
    <row r="780" spans="84:94" x14ac:dyDescent="0.2">
      <c r="CF780" s="1661" t="s">
        <v>10596</v>
      </c>
      <c r="CG780" s="1661" t="s">
        <v>11596</v>
      </c>
      <c r="CL780" s="1699" t="s">
        <v>2511</v>
      </c>
      <c r="CM780" s="1699" t="s">
        <v>4840</v>
      </c>
      <c r="CN780" s="1699" t="s">
        <v>3280</v>
      </c>
      <c r="CO780" s="1699" t="s">
        <v>5413</v>
      </c>
      <c r="CP780" s="1699" t="s">
        <v>5788</v>
      </c>
    </row>
    <row r="781" spans="84:94" x14ac:dyDescent="0.2">
      <c r="CF781" s="1661" t="s">
        <v>10597</v>
      </c>
      <c r="CG781" s="1661" t="s">
        <v>11597</v>
      </c>
      <c r="CL781" s="1699" t="s">
        <v>2512</v>
      </c>
      <c r="CM781" s="1699" t="s">
        <v>4841</v>
      </c>
      <c r="CN781" s="1699" t="s">
        <v>3279</v>
      </c>
      <c r="CO781" s="1699" t="s">
        <v>5412</v>
      </c>
      <c r="CP781" s="1699" t="s">
        <v>5787</v>
      </c>
    </row>
    <row r="782" spans="84:94" x14ac:dyDescent="0.2">
      <c r="CF782" s="1661" t="s">
        <v>10598</v>
      </c>
      <c r="CG782" s="1661" t="s">
        <v>11598</v>
      </c>
      <c r="CL782" s="1699" t="s">
        <v>2513</v>
      </c>
      <c r="CM782" s="1699" t="s">
        <v>4842</v>
      </c>
      <c r="CN782" s="1699" t="s">
        <v>3278</v>
      </c>
      <c r="CO782" s="1699" t="s">
        <v>5411</v>
      </c>
      <c r="CP782" s="1699" t="s">
        <v>5786</v>
      </c>
    </row>
    <row r="783" spans="84:94" x14ac:dyDescent="0.2">
      <c r="CF783" s="1661" t="s">
        <v>10599</v>
      </c>
      <c r="CG783" s="1661" t="s">
        <v>11599</v>
      </c>
      <c r="CL783" s="1699" t="s">
        <v>2514</v>
      </c>
      <c r="CM783" s="1699" t="s">
        <v>4843</v>
      </c>
      <c r="CN783" s="1699" t="s">
        <v>3277</v>
      </c>
      <c r="CO783" s="1699" t="s">
        <v>5410</v>
      </c>
      <c r="CP783" s="1699" t="s">
        <v>5785</v>
      </c>
    </row>
    <row r="784" spans="84:94" x14ac:dyDescent="0.2">
      <c r="CF784" s="1661" t="s">
        <v>10600</v>
      </c>
      <c r="CG784" s="1661" t="s">
        <v>11600</v>
      </c>
      <c r="CL784" s="1699" t="s">
        <v>2515</v>
      </c>
      <c r="CM784" s="1699" t="s">
        <v>4844</v>
      </c>
      <c r="CN784" s="1699" t="s">
        <v>3276</v>
      </c>
      <c r="CO784" s="1699" t="s">
        <v>5409</v>
      </c>
      <c r="CP784" s="1699" t="s">
        <v>5784</v>
      </c>
    </row>
    <row r="785" spans="84:94" x14ac:dyDescent="0.2">
      <c r="CF785" s="1661" t="s">
        <v>10601</v>
      </c>
      <c r="CG785" s="1661" t="s">
        <v>11601</v>
      </c>
      <c r="CL785" s="1699" t="s">
        <v>2516</v>
      </c>
      <c r="CM785" s="1699" t="s">
        <v>4845</v>
      </c>
      <c r="CN785" s="1699" t="s">
        <v>3275</v>
      </c>
      <c r="CO785" s="1699" t="s">
        <v>5408</v>
      </c>
      <c r="CP785" s="1699" t="s">
        <v>5783</v>
      </c>
    </row>
    <row r="786" spans="84:94" x14ac:dyDescent="0.2">
      <c r="CF786" s="1661" t="s">
        <v>10602</v>
      </c>
      <c r="CG786" s="1661" t="s">
        <v>11602</v>
      </c>
      <c r="CL786" s="1699" t="s">
        <v>2517</v>
      </c>
      <c r="CM786" s="1699" t="s">
        <v>4846</v>
      </c>
      <c r="CN786" s="1699" t="s">
        <v>3274</v>
      </c>
      <c r="CO786" s="1699" t="s">
        <v>5407</v>
      </c>
      <c r="CP786" s="1699" t="s">
        <v>5782</v>
      </c>
    </row>
    <row r="787" spans="84:94" x14ac:dyDescent="0.2">
      <c r="CF787" s="1661" t="s">
        <v>10603</v>
      </c>
      <c r="CG787" s="1661" t="s">
        <v>11603</v>
      </c>
      <c r="CL787" s="1699" t="s">
        <v>2518</v>
      </c>
      <c r="CM787" s="1699" t="s">
        <v>4847</v>
      </c>
      <c r="CN787" s="1699" t="s">
        <v>3273</v>
      </c>
      <c r="CO787" s="1699" t="s">
        <v>5406</v>
      </c>
      <c r="CP787" s="1699" t="s">
        <v>5781</v>
      </c>
    </row>
    <row r="788" spans="84:94" x14ac:dyDescent="0.2">
      <c r="CF788" s="1661" t="s">
        <v>10604</v>
      </c>
      <c r="CG788" s="1661" t="s">
        <v>11604</v>
      </c>
      <c r="CL788" s="1699" t="s">
        <v>2519</v>
      </c>
      <c r="CM788" s="1699" t="s">
        <v>4848</v>
      </c>
      <c r="CN788" s="1699" t="s">
        <v>3272</v>
      </c>
      <c r="CO788" s="1699" t="s">
        <v>5405</v>
      </c>
      <c r="CP788" s="1699" t="s">
        <v>5780</v>
      </c>
    </row>
    <row r="789" spans="84:94" x14ac:dyDescent="0.2">
      <c r="CF789" s="1661" t="s">
        <v>10605</v>
      </c>
      <c r="CG789" s="1661" t="s">
        <v>11605</v>
      </c>
      <c r="CL789" s="1699" t="s">
        <v>2520</v>
      </c>
      <c r="CM789" s="1699" t="s">
        <v>4849</v>
      </c>
      <c r="CN789" s="1699" t="s">
        <v>3271</v>
      </c>
      <c r="CO789" s="1699" t="s">
        <v>5404</v>
      </c>
      <c r="CP789" s="1699" t="s">
        <v>5779</v>
      </c>
    </row>
    <row r="790" spans="84:94" x14ac:dyDescent="0.2">
      <c r="CF790" s="1661" t="s">
        <v>10606</v>
      </c>
      <c r="CG790" s="1661" t="s">
        <v>11606</v>
      </c>
      <c r="CL790" s="1699" t="s">
        <v>2521</v>
      </c>
      <c r="CM790" s="1699" t="s">
        <v>4850</v>
      </c>
      <c r="CN790" s="1699" t="s">
        <v>3270</v>
      </c>
      <c r="CO790" s="1699" t="s">
        <v>5403</v>
      </c>
      <c r="CP790" s="1699" t="s">
        <v>5778</v>
      </c>
    </row>
    <row r="791" spans="84:94" x14ac:dyDescent="0.2">
      <c r="CF791" s="1661" t="s">
        <v>10607</v>
      </c>
      <c r="CG791" s="1661" t="s">
        <v>11607</v>
      </c>
      <c r="CL791" s="1699" t="s">
        <v>2522</v>
      </c>
      <c r="CM791" s="1699" t="s">
        <v>6596</v>
      </c>
      <c r="CN791" s="1699" t="s">
        <v>3269</v>
      </c>
      <c r="CO791" s="1699" t="s">
        <v>5402</v>
      </c>
      <c r="CP791" s="1699" t="s">
        <v>5777</v>
      </c>
    </row>
    <row r="792" spans="84:94" x14ac:dyDescent="0.2">
      <c r="CF792" s="1661" t="s">
        <v>10608</v>
      </c>
      <c r="CG792" s="1661" t="s">
        <v>11608</v>
      </c>
      <c r="CL792" s="1699" t="s">
        <v>2523</v>
      </c>
      <c r="CM792" s="1699" t="s">
        <v>4851</v>
      </c>
      <c r="CN792" s="1699" t="s">
        <v>3268</v>
      </c>
      <c r="CO792" s="1699" t="s">
        <v>5401</v>
      </c>
      <c r="CP792" s="1699" t="s">
        <v>5776</v>
      </c>
    </row>
    <row r="793" spans="84:94" ht="25.5" x14ac:dyDescent="0.2">
      <c r="CF793" s="1661" t="s">
        <v>10609</v>
      </c>
      <c r="CG793" s="1661" t="s">
        <v>11609</v>
      </c>
      <c r="CL793" s="1699" t="s">
        <v>2524</v>
      </c>
      <c r="CM793" s="1699" t="s">
        <v>4852</v>
      </c>
      <c r="CN793" s="1699" t="s">
        <v>3267</v>
      </c>
      <c r="CO793" s="1699" t="s">
        <v>5400</v>
      </c>
      <c r="CP793" s="1699" t="s">
        <v>5775</v>
      </c>
    </row>
    <row r="794" spans="84:94" ht="25.5" x14ac:dyDescent="0.2">
      <c r="CF794" s="1661" t="s">
        <v>10610</v>
      </c>
      <c r="CG794" s="1661" t="s">
        <v>11610</v>
      </c>
      <c r="CL794" s="1699" t="s">
        <v>2525</v>
      </c>
      <c r="CM794" s="1699" t="s">
        <v>4853</v>
      </c>
      <c r="CN794" s="1699" t="s">
        <v>3266</v>
      </c>
      <c r="CO794" s="1699" t="s">
        <v>5399</v>
      </c>
      <c r="CP794" s="1699" t="s">
        <v>5774</v>
      </c>
    </row>
    <row r="795" spans="84:94" ht="25.5" x14ac:dyDescent="0.2">
      <c r="CF795" s="1661" t="s">
        <v>10611</v>
      </c>
      <c r="CG795" s="1661" t="s">
        <v>11611</v>
      </c>
      <c r="CL795" s="1699" t="s">
        <v>2526</v>
      </c>
      <c r="CM795" s="1699" t="s">
        <v>4854</v>
      </c>
      <c r="CN795" s="1699" t="s">
        <v>3265</v>
      </c>
      <c r="CO795" s="1699" t="s">
        <v>5398</v>
      </c>
      <c r="CP795" s="1699" t="s">
        <v>5773</v>
      </c>
    </row>
    <row r="796" spans="84:94" ht="25.5" x14ac:dyDescent="0.2">
      <c r="CF796" s="1661" t="s">
        <v>10612</v>
      </c>
      <c r="CG796" s="1661" t="s">
        <v>11612</v>
      </c>
      <c r="CL796" s="1699" t="s">
        <v>2527</v>
      </c>
      <c r="CM796" s="1699" t="s">
        <v>7215</v>
      </c>
      <c r="CN796" s="1699" t="s">
        <v>3264</v>
      </c>
      <c r="CO796" s="1699" t="s">
        <v>5397</v>
      </c>
      <c r="CP796" s="1699" t="s">
        <v>5772</v>
      </c>
    </row>
    <row r="797" spans="84:94" x14ac:dyDescent="0.2">
      <c r="CF797" s="1661" t="s">
        <v>10613</v>
      </c>
      <c r="CG797" s="1661" t="s">
        <v>11613</v>
      </c>
      <c r="CL797" s="1699" t="s">
        <v>2528</v>
      </c>
      <c r="CM797" s="1699" t="s">
        <v>4855</v>
      </c>
      <c r="CN797" s="1699" t="s">
        <v>3263</v>
      </c>
      <c r="CO797" s="1699" t="s">
        <v>5396</v>
      </c>
      <c r="CP797" s="1699" t="s">
        <v>5771</v>
      </c>
    </row>
    <row r="798" spans="84:94" x14ac:dyDescent="0.2">
      <c r="CF798" s="1661" t="s">
        <v>10614</v>
      </c>
      <c r="CG798" s="1661" t="s">
        <v>11614</v>
      </c>
      <c r="CL798" s="1699" t="s">
        <v>2529</v>
      </c>
      <c r="CM798" s="1699" t="s">
        <v>4856</v>
      </c>
      <c r="CN798" s="1699" t="s">
        <v>3262</v>
      </c>
      <c r="CO798" s="1699" t="s">
        <v>5395</v>
      </c>
      <c r="CP798" s="1699" t="s">
        <v>8176</v>
      </c>
    </row>
    <row r="799" spans="84:94" x14ac:dyDescent="0.2">
      <c r="CF799" s="1661" t="s">
        <v>10615</v>
      </c>
      <c r="CG799" s="1661" t="s">
        <v>11615</v>
      </c>
      <c r="CL799" s="1699" t="s">
        <v>2530</v>
      </c>
      <c r="CM799" s="1699" t="s">
        <v>4857</v>
      </c>
      <c r="CN799" s="1699" t="s">
        <v>3261</v>
      </c>
      <c r="CO799" s="1699" t="s">
        <v>5394</v>
      </c>
      <c r="CP799" s="1699" t="s">
        <v>5770</v>
      </c>
    </row>
    <row r="800" spans="84:94" x14ac:dyDescent="0.2">
      <c r="CF800" s="1661" t="s">
        <v>10616</v>
      </c>
      <c r="CG800" s="1661" t="s">
        <v>11616</v>
      </c>
      <c r="CL800" s="1699" t="s">
        <v>2531</v>
      </c>
      <c r="CM800" s="1699" t="s">
        <v>4858</v>
      </c>
      <c r="CN800" s="1699" t="s">
        <v>3260</v>
      </c>
      <c r="CO800" s="1699" t="s">
        <v>5393</v>
      </c>
      <c r="CP800" s="1699" t="s">
        <v>5769</v>
      </c>
    </row>
    <row r="801" spans="84:94" x14ac:dyDescent="0.2">
      <c r="CF801" s="1661" t="s">
        <v>10617</v>
      </c>
      <c r="CG801" s="1661" t="s">
        <v>11617</v>
      </c>
      <c r="CL801" s="1699" t="s">
        <v>2532</v>
      </c>
      <c r="CM801" s="1699" t="s">
        <v>4859</v>
      </c>
      <c r="CN801" s="1699" t="s">
        <v>3259</v>
      </c>
      <c r="CO801" s="1699" t="s">
        <v>5392</v>
      </c>
      <c r="CP801" s="1699" t="s">
        <v>5768</v>
      </c>
    </row>
    <row r="802" spans="84:94" x14ac:dyDescent="0.2">
      <c r="CF802" s="1661" t="s">
        <v>10618</v>
      </c>
      <c r="CG802" s="1661" t="s">
        <v>11618</v>
      </c>
      <c r="CL802" s="1699" t="s">
        <v>2533</v>
      </c>
      <c r="CM802" s="1699" t="s">
        <v>4860</v>
      </c>
      <c r="CN802" s="1699" t="s">
        <v>3258</v>
      </c>
      <c r="CO802" s="1699" t="s">
        <v>5391</v>
      </c>
      <c r="CP802" s="1699" t="s">
        <v>5767</v>
      </c>
    </row>
    <row r="803" spans="84:94" x14ac:dyDescent="0.2">
      <c r="CF803" s="1661" t="s">
        <v>10619</v>
      </c>
      <c r="CG803" s="1661" t="s">
        <v>11619</v>
      </c>
      <c r="CL803" s="1699" t="s">
        <v>2534</v>
      </c>
      <c r="CM803" s="1699" t="s">
        <v>4861</v>
      </c>
      <c r="CN803" s="1699" t="s">
        <v>3257</v>
      </c>
      <c r="CO803" s="1699" t="s">
        <v>5390</v>
      </c>
      <c r="CP803" s="1699" t="s">
        <v>5766</v>
      </c>
    </row>
    <row r="804" spans="84:94" x14ac:dyDescent="0.2">
      <c r="CF804" s="1661" t="s">
        <v>10620</v>
      </c>
      <c r="CG804" s="1661" t="s">
        <v>11620</v>
      </c>
      <c r="CL804" s="1699" t="s">
        <v>2535</v>
      </c>
      <c r="CM804" s="1699" t="s">
        <v>4862</v>
      </c>
      <c r="CN804" s="1699" t="s">
        <v>3256</v>
      </c>
      <c r="CO804" s="1699" t="s">
        <v>5389</v>
      </c>
      <c r="CP804" s="1699" t="s">
        <v>5765</v>
      </c>
    </row>
    <row r="805" spans="84:94" x14ac:dyDescent="0.2">
      <c r="CF805" s="1661" t="s">
        <v>10621</v>
      </c>
      <c r="CG805" s="1661" t="s">
        <v>11621</v>
      </c>
      <c r="CL805" s="1699" t="s">
        <v>2536</v>
      </c>
      <c r="CM805" s="1699" t="s">
        <v>4863</v>
      </c>
      <c r="CN805" s="1699" t="s">
        <v>3255</v>
      </c>
      <c r="CO805" s="1699" t="s">
        <v>5388</v>
      </c>
      <c r="CP805" s="1699" t="s">
        <v>5764</v>
      </c>
    </row>
    <row r="806" spans="84:94" x14ac:dyDescent="0.2">
      <c r="CF806" s="1661" t="s">
        <v>10622</v>
      </c>
      <c r="CG806" s="1661" t="s">
        <v>11622</v>
      </c>
      <c r="CL806" s="1699" t="s">
        <v>2537</v>
      </c>
      <c r="CM806" s="1699" t="s">
        <v>4864</v>
      </c>
      <c r="CN806" s="1699" t="s">
        <v>3254</v>
      </c>
      <c r="CO806" s="1699" t="s">
        <v>5387</v>
      </c>
      <c r="CP806" s="1699" t="s">
        <v>5763</v>
      </c>
    </row>
    <row r="807" spans="84:94" x14ac:dyDescent="0.2">
      <c r="CF807" s="1661" t="s">
        <v>10623</v>
      </c>
      <c r="CG807" s="1661" t="s">
        <v>11623</v>
      </c>
      <c r="CL807" s="1699" t="s">
        <v>2538</v>
      </c>
      <c r="CM807" s="1699" t="s">
        <v>4865</v>
      </c>
      <c r="CN807" s="1699" t="s">
        <v>3253</v>
      </c>
      <c r="CO807" s="1699" t="s">
        <v>5386</v>
      </c>
      <c r="CP807" s="1699" t="s">
        <v>5762</v>
      </c>
    </row>
    <row r="808" spans="84:94" x14ac:dyDescent="0.2">
      <c r="CF808" s="1661" t="s">
        <v>10624</v>
      </c>
      <c r="CG808" s="1661" t="s">
        <v>11624</v>
      </c>
      <c r="CL808" s="1699" t="s">
        <v>2539</v>
      </c>
      <c r="CM808" s="1699" t="s">
        <v>6597</v>
      </c>
      <c r="CN808" s="1699" t="s">
        <v>3252</v>
      </c>
      <c r="CO808" s="1699" t="s">
        <v>5385</v>
      </c>
      <c r="CP808" s="1699" t="s">
        <v>5761</v>
      </c>
    </row>
    <row r="809" spans="84:94" x14ac:dyDescent="0.2">
      <c r="CF809" s="1661" t="s">
        <v>10625</v>
      </c>
      <c r="CG809" s="1661" t="s">
        <v>11625</v>
      </c>
      <c r="CL809" s="1699" t="s">
        <v>2540</v>
      </c>
      <c r="CM809" s="1699" t="s">
        <v>4866</v>
      </c>
      <c r="CN809" s="1699" t="s">
        <v>3251</v>
      </c>
      <c r="CO809" s="1699" t="s">
        <v>5384</v>
      </c>
      <c r="CP809" s="1699" t="s">
        <v>5760</v>
      </c>
    </row>
    <row r="810" spans="84:94" x14ac:dyDescent="0.2">
      <c r="CF810" s="1661" t="s">
        <v>10626</v>
      </c>
      <c r="CG810" s="1661" t="s">
        <v>11626</v>
      </c>
      <c r="CL810" s="1699" t="s">
        <v>2541</v>
      </c>
      <c r="CM810" s="1699" t="s">
        <v>4867</v>
      </c>
      <c r="CN810" s="1699" t="s">
        <v>3250</v>
      </c>
      <c r="CO810" s="1699" t="s">
        <v>5383</v>
      </c>
      <c r="CP810" s="1699" t="s">
        <v>5759</v>
      </c>
    </row>
    <row r="811" spans="84:94" x14ac:dyDescent="0.2">
      <c r="CF811" s="1661" t="s">
        <v>10627</v>
      </c>
      <c r="CG811" s="1661" t="s">
        <v>11627</v>
      </c>
      <c r="CL811" s="1699" t="s">
        <v>2542</v>
      </c>
      <c r="CM811" s="1699" t="s">
        <v>4868</v>
      </c>
      <c r="CN811" s="1699" t="s">
        <v>3249</v>
      </c>
      <c r="CO811" s="1699" t="s">
        <v>5382</v>
      </c>
      <c r="CP811" s="1699" t="s">
        <v>5758</v>
      </c>
    </row>
    <row r="812" spans="84:94" x14ac:dyDescent="0.2">
      <c r="CF812" s="1661" t="s">
        <v>10628</v>
      </c>
      <c r="CG812" s="1661" t="s">
        <v>11628</v>
      </c>
      <c r="CL812" s="1699" t="s">
        <v>2543</v>
      </c>
      <c r="CM812" s="1699" t="s">
        <v>6598</v>
      </c>
      <c r="CN812" s="1699" t="s">
        <v>3248</v>
      </c>
      <c r="CO812" s="1699" t="s">
        <v>5381</v>
      </c>
      <c r="CP812" s="1699" t="s">
        <v>5757</v>
      </c>
    </row>
    <row r="813" spans="84:94" x14ac:dyDescent="0.2">
      <c r="CF813" s="1661" t="s">
        <v>10629</v>
      </c>
      <c r="CG813" s="1661" t="s">
        <v>11629</v>
      </c>
      <c r="CL813" s="1699" t="s">
        <v>2544</v>
      </c>
      <c r="CM813" s="1699" t="s">
        <v>6599</v>
      </c>
      <c r="CN813" s="1699" t="s">
        <v>3247</v>
      </c>
      <c r="CO813" s="1699" t="s">
        <v>5380</v>
      </c>
      <c r="CP813" s="1699" t="s">
        <v>5756</v>
      </c>
    </row>
    <row r="814" spans="84:94" x14ac:dyDescent="0.2">
      <c r="CF814" s="1661" t="s">
        <v>10630</v>
      </c>
      <c r="CG814" s="1661" t="s">
        <v>11630</v>
      </c>
      <c r="CL814" s="1699" t="s">
        <v>2545</v>
      </c>
      <c r="CM814" s="1699" t="s">
        <v>6709</v>
      </c>
      <c r="CN814" s="1699" t="s">
        <v>3246</v>
      </c>
      <c r="CO814" s="1699" t="s">
        <v>5379</v>
      </c>
      <c r="CP814" s="1699" t="s">
        <v>5755</v>
      </c>
    </row>
    <row r="815" spans="84:94" x14ac:dyDescent="0.2">
      <c r="CF815" s="1661" t="s">
        <v>10631</v>
      </c>
      <c r="CG815" s="1661" t="s">
        <v>11631</v>
      </c>
      <c r="CL815" s="1699" t="s">
        <v>2546</v>
      </c>
      <c r="CM815" s="1699" t="s">
        <v>6710</v>
      </c>
      <c r="CN815" s="1699" t="s">
        <v>3245</v>
      </c>
      <c r="CO815" s="1699" t="s">
        <v>5378</v>
      </c>
      <c r="CP815" s="1699" t="s">
        <v>5754</v>
      </c>
    </row>
    <row r="816" spans="84:94" x14ac:dyDescent="0.2">
      <c r="CF816" s="1661" t="s">
        <v>10632</v>
      </c>
      <c r="CG816" s="1661" t="s">
        <v>11632</v>
      </c>
      <c r="CL816" s="1699" t="s">
        <v>2547</v>
      </c>
      <c r="CM816" s="1699" t="s">
        <v>7216</v>
      </c>
      <c r="CN816" s="1699" t="s">
        <v>3244</v>
      </c>
      <c r="CO816" s="1699" t="s">
        <v>5377</v>
      </c>
      <c r="CP816" s="1699" t="s">
        <v>5753</v>
      </c>
    </row>
    <row r="817" spans="84:94" x14ac:dyDescent="0.2">
      <c r="CF817" s="1661" t="s">
        <v>10633</v>
      </c>
      <c r="CG817" s="1661" t="s">
        <v>11633</v>
      </c>
      <c r="CL817" s="1699" t="s">
        <v>2548</v>
      </c>
      <c r="CM817" s="1699" t="s">
        <v>6711</v>
      </c>
      <c r="CN817" s="1699" t="s">
        <v>3243</v>
      </c>
      <c r="CO817" s="1699" t="s">
        <v>5376</v>
      </c>
      <c r="CP817" s="1699" t="s">
        <v>5752</v>
      </c>
    </row>
    <row r="818" spans="84:94" x14ac:dyDescent="0.2">
      <c r="CF818" s="1661" t="s">
        <v>10634</v>
      </c>
      <c r="CG818" s="1661" t="s">
        <v>11634</v>
      </c>
      <c r="CL818" s="1699" t="s">
        <v>2549</v>
      </c>
      <c r="CM818" s="1699" t="s">
        <v>7217</v>
      </c>
      <c r="CN818" s="1699" t="s">
        <v>3242</v>
      </c>
      <c r="CO818" s="1699" t="s">
        <v>5375</v>
      </c>
      <c r="CP818" s="1699" t="s">
        <v>5751</v>
      </c>
    </row>
    <row r="819" spans="84:94" x14ac:dyDescent="0.2">
      <c r="CF819" s="1661" t="s">
        <v>10635</v>
      </c>
      <c r="CG819" s="1661" t="s">
        <v>11635</v>
      </c>
      <c r="CL819" s="1699" t="s">
        <v>2550</v>
      </c>
      <c r="CM819" s="1699" t="s">
        <v>6712</v>
      </c>
      <c r="CN819" s="1699" t="s">
        <v>3241</v>
      </c>
      <c r="CO819" s="1699" t="s">
        <v>5374</v>
      </c>
      <c r="CP819" s="1699" t="s">
        <v>5750</v>
      </c>
    </row>
    <row r="820" spans="84:94" x14ac:dyDescent="0.2">
      <c r="CF820" s="1661" t="s">
        <v>10636</v>
      </c>
      <c r="CG820" s="1661" t="s">
        <v>11636</v>
      </c>
      <c r="CL820" s="1699" t="s">
        <v>2551</v>
      </c>
      <c r="CM820" s="1699" t="s">
        <v>6713</v>
      </c>
      <c r="CN820" s="1699" t="s">
        <v>3240</v>
      </c>
      <c r="CO820" s="1699" t="s">
        <v>5373</v>
      </c>
      <c r="CP820" s="1699" t="s">
        <v>5749</v>
      </c>
    </row>
    <row r="821" spans="84:94" x14ac:dyDescent="0.2">
      <c r="CF821" s="1661" t="s">
        <v>10637</v>
      </c>
      <c r="CG821" s="1661" t="s">
        <v>11637</v>
      </c>
      <c r="CL821" s="1699" t="s">
        <v>2552</v>
      </c>
      <c r="CM821" s="1699" t="s">
        <v>6714</v>
      </c>
      <c r="CN821" s="1699" t="s">
        <v>3239</v>
      </c>
      <c r="CO821" s="1699" t="s">
        <v>5372</v>
      </c>
      <c r="CP821" s="1699" t="s">
        <v>5748</v>
      </c>
    </row>
    <row r="822" spans="84:94" x14ac:dyDescent="0.2">
      <c r="CF822" s="1661" t="s">
        <v>10638</v>
      </c>
      <c r="CG822" s="1661" t="s">
        <v>11638</v>
      </c>
      <c r="CL822" s="1699" t="s">
        <v>2553</v>
      </c>
      <c r="CM822" s="1699" t="s">
        <v>6715</v>
      </c>
      <c r="CN822" s="1699" t="s">
        <v>3238</v>
      </c>
      <c r="CO822" s="1699" t="s">
        <v>5371</v>
      </c>
      <c r="CP822" s="1699" t="s">
        <v>5747</v>
      </c>
    </row>
    <row r="823" spans="84:94" x14ac:dyDescent="0.2">
      <c r="CF823" s="1661" t="s">
        <v>10639</v>
      </c>
      <c r="CG823" s="1661" t="s">
        <v>11639</v>
      </c>
      <c r="CL823" s="1699" t="s">
        <v>2554</v>
      </c>
      <c r="CM823" s="1699" t="s">
        <v>7218</v>
      </c>
      <c r="CN823" s="1699" t="s">
        <v>3237</v>
      </c>
      <c r="CO823" s="1699" t="s">
        <v>5370</v>
      </c>
      <c r="CP823" s="1699" t="s">
        <v>5746</v>
      </c>
    </row>
    <row r="824" spans="84:94" x14ac:dyDescent="0.2">
      <c r="CF824" s="1661" t="s">
        <v>10640</v>
      </c>
      <c r="CG824" s="1661" t="s">
        <v>11640</v>
      </c>
      <c r="CL824" s="1699" t="s">
        <v>2555</v>
      </c>
      <c r="CM824" s="1699" t="s">
        <v>7219</v>
      </c>
      <c r="CN824" s="1699" t="s">
        <v>3236</v>
      </c>
      <c r="CO824" s="1699" t="s">
        <v>5369</v>
      </c>
      <c r="CP824" s="1699" t="s">
        <v>5745</v>
      </c>
    </row>
    <row r="825" spans="84:94" x14ac:dyDescent="0.2">
      <c r="CF825" s="1661" t="s">
        <v>10641</v>
      </c>
      <c r="CG825" s="1661" t="s">
        <v>11641</v>
      </c>
      <c r="CL825" s="1699" t="s">
        <v>2556</v>
      </c>
      <c r="CM825" s="1699" t="s">
        <v>7220</v>
      </c>
      <c r="CN825" s="1699" t="s">
        <v>3235</v>
      </c>
      <c r="CO825" s="1699" t="s">
        <v>5368</v>
      </c>
      <c r="CP825" s="1699" t="s">
        <v>5744</v>
      </c>
    </row>
    <row r="826" spans="84:94" x14ac:dyDescent="0.2">
      <c r="CF826" s="1661" t="s">
        <v>10642</v>
      </c>
      <c r="CG826" s="1661" t="s">
        <v>11642</v>
      </c>
      <c r="CL826" s="1699" t="s">
        <v>2557</v>
      </c>
      <c r="CM826" s="1699" t="s">
        <v>7221</v>
      </c>
      <c r="CN826" s="1699" t="s">
        <v>3234</v>
      </c>
      <c r="CO826" s="1699" t="s">
        <v>5367</v>
      </c>
      <c r="CP826" s="1699" t="s">
        <v>8003</v>
      </c>
    </row>
    <row r="827" spans="84:94" x14ac:dyDescent="0.2">
      <c r="CF827" s="1661" t="s">
        <v>10643</v>
      </c>
      <c r="CG827" s="1661" t="s">
        <v>11643</v>
      </c>
      <c r="CL827" s="1699" t="s">
        <v>2558</v>
      </c>
      <c r="CM827" s="1699" t="s">
        <v>7400</v>
      </c>
      <c r="CN827" s="1699" t="s">
        <v>3233</v>
      </c>
      <c r="CO827" s="1699" t="s">
        <v>5366</v>
      </c>
      <c r="CP827" s="1699" t="s">
        <v>5743</v>
      </c>
    </row>
    <row r="828" spans="84:94" x14ac:dyDescent="0.2">
      <c r="CF828" s="1661" t="s">
        <v>10644</v>
      </c>
      <c r="CG828" s="1661" t="s">
        <v>11644</v>
      </c>
      <c r="CL828" s="1699" t="s">
        <v>2559</v>
      </c>
      <c r="CM828" s="1699" t="s">
        <v>7401</v>
      </c>
      <c r="CN828" s="1699" t="s">
        <v>3232</v>
      </c>
      <c r="CO828" s="1699" t="s">
        <v>5365</v>
      </c>
      <c r="CP828" s="1699" t="s">
        <v>5742</v>
      </c>
    </row>
    <row r="829" spans="84:94" x14ac:dyDescent="0.2">
      <c r="CF829" s="1661" t="s">
        <v>10645</v>
      </c>
      <c r="CG829" s="1661" t="s">
        <v>11645</v>
      </c>
      <c r="CL829" s="1699" t="s">
        <v>2560</v>
      </c>
      <c r="CM829" s="1699" t="s">
        <v>7402</v>
      </c>
      <c r="CN829" s="1699" t="s">
        <v>3231</v>
      </c>
      <c r="CO829" s="1699" t="s">
        <v>5364</v>
      </c>
      <c r="CP829" s="1699" t="s">
        <v>5741</v>
      </c>
    </row>
    <row r="830" spans="84:94" x14ac:dyDescent="0.2">
      <c r="CF830" s="1661" t="s">
        <v>10646</v>
      </c>
      <c r="CG830" s="1661" t="s">
        <v>11646</v>
      </c>
      <c r="CL830" s="1699" t="s">
        <v>2561</v>
      </c>
      <c r="CM830" s="1699" t="s">
        <v>7403</v>
      </c>
      <c r="CN830" s="1699" t="s">
        <v>3230</v>
      </c>
      <c r="CO830" s="1699" t="s">
        <v>5363</v>
      </c>
      <c r="CP830" s="1699" t="s">
        <v>5740</v>
      </c>
    </row>
    <row r="831" spans="84:94" x14ac:dyDescent="0.2">
      <c r="CF831" s="1661" t="s">
        <v>10647</v>
      </c>
      <c r="CG831" s="1661" t="s">
        <v>11647</v>
      </c>
      <c r="CL831" s="1699" t="s">
        <v>2562</v>
      </c>
      <c r="CM831" s="1699" t="s">
        <v>7404</v>
      </c>
      <c r="CN831" s="1699" t="s">
        <v>3229</v>
      </c>
      <c r="CO831" s="1699" t="s">
        <v>5362</v>
      </c>
      <c r="CP831" s="1699" t="s">
        <v>5739</v>
      </c>
    </row>
    <row r="832" spans="84:94" x14ac:dyDescent="0.2">
      <c r="CF832" s="1661" t="s">
        <v>10648</v>
      </c>
      <c r="CG832" s="1661" t="s">
        <v>11648</v>
      </c>
      <c r="CL832" s="1699" t="s">
        <v>2563</v>
      </c>
      <c r="CM832" s="1699" t="s">
        <v>7405</v>
      </c>
      <c r="CN832" s="1699" t="s">
        <v>3228</v>
      </c>
      <c r="CO832" s="1699" t="s">
        <v>5361</v>
      </c>
      <c r="CP832" s="1699" t="s">
        <v>5738</v>
      </c>
    </row>
    <row r="833" spans="84:94" x14ac:dyDescent="0.2">
      <c r="CF833" s="1661" t="s">
        <v>10649</v>
      </c>
      <c r="CG833" s="1661" t="s">
        <v>11649</v>
      </c>
      <c r="CL833" s="1699" t="s">
        <v>2564</v>
      </c>
      <c r="CM833" s="1699" t="s">
        <v>7406</v>
      </c>
      <c r="CN833" s="1699" t="s">
        <v>3227</v>
      </c>
      <c r="CO833" s="1699" t="s">
        <v>5360</v>
      </c>
      <c r="CP833" s="1699" t="s">
        <v>5737</v>
      </c>
    </row>
    <row r="834" spans="84:94" x14ac:dyDescent="0.2">
      <c r="CF834" s="1661" t="s">
        <v>10650</v>
      </c>
      <c r="CG834" s="1661" t="s">
        <v>11650</v>
      </c>
      <c r="CL834" s="1699" t="s">
        <v>2565</v>
      </c>
      <c r="CM834" s="1699" t="s">
        <v>7407</v>
      </c>
      <c r="CN834" s="1699" t="s">
        <v>3226</v>
      </c>
      <c r="CO834" s="1699" t="s">
        <v>5359</v>
      </c>
      <c r="CP834" s="1699" t="s">
        <v>5736</v>
      </c>
    </row>
    <row r="835" spans="84:94" x14ac:dyDescent="0.2">
      <c r="CF835" s="1661" t="s">
        <v>10651</v>
      </c>
      <c r="CG835" s="1661" t="s">
        <v>11651</v>
      </c>
      <c r="CL835" s="1699" t="s">
        <v>2566</v>
      </c>
      <c r="CM835" s="1699" t="s">
        <v>7408</v>
      </c>
      <c r="CN835" s="1699" t="s">
        <v>3225</v>
      </c>
      <c r="CO835" s="1699" t="s">
        <v>5358</v>
      </c>
      <c r="CP835" s="1699" t="s">
        <v>5735</v>
      </c>
    </row>
    <row r="836" spans="84:94" x14ac:dyDescent="0.2">
      <c r="CF836" s="1661" t="s">
        <v>10652</v>
      </c>
      <c r="CG836" s="1661" t="s">
        <v>11652</v>
      </c>
      <c r="CL836" s="1699" t="s">
        <v>2567</v>
      </c>
      <c r="CM836" s="1699" t="s">
        <v>7409</v>
      </c>
      <c r="CN836" s="1699" t="s">
        <v>3224</v>
      </c>
      <c r="CO836" s="1699" t="s">
        <v>5357</v>
      </c>
      <c r="CP836" s="1699" t="s">
        <v>5734</v>
      </c>
    </row>
    <row r="837" spans="84:94" x14ac:dyDescent="0.2">
      <c r="CF837" s="1661" t="s">
        <v>10653</v>
      </c>
      <c r="CG837" s="1661" t="s">
        <v>11653</v>
      </c>
      <c r="CL837" s="1699" t="s">
        <v>2568</v>
      </c>
      <c r="CM837" s="1699" t="s">
        <v>7410</v>
      </c>
      <c r="CN837" s="1699" t="s">
        <v>3223</v>
      </c>
      <c r="CO837" s="1699" t="s">
        <v>5356</v>
      </c>
      <c r="CP837" s="1699" t="s">
        <v>5733</v>
      </c>
    </row>
    <row r="838" spans="84:94" x14ac:dyDescent="0.2">
      <c r="CF838" s="1661" t="s">
        <v>10654</v>
      </c>
      <c r="CG838" s="1661" t="s">
        <v>11654</v>
      </c>
      <c r="CL838" s="1699" t="s">
        <v>2569</v>
      </c>
      <c r="CM838" s="1699" t="s">
        <v>7411</v>
      </c>
      <c r="CN838" s="1699" t="s">
        <v>3222</v>
      </c>
      <c r="CO838" s="1699" t="s">
        <v>5355</v>
      </c>
      <c r="CP838" s="1699" t="s">
        <v>5732</v>
      </c>
    </row>
    <row r="839" spans="84:94" x14ac:dyDescent="0.2">
      <c r="CF839" s="1661" t="s">
        <v>10655</v>
      </c>
      <c r="CG839" s="1661" t="s">
        <v>11655</v>
      </c>
      <c r="CL839" s="1699" t="s">
        <v>2570</v>
      </c>
      <c r="CM839" s="1699" t="s">
        <v>7412</v>
      </c>
      <c r="CN839" s="1699" t="s">
        <v>3221</v>
      </c>
      <c r="CO839" s="1699" t="s">
        <v>5354</v>
      </c>
      <c r="CP839" s="1699" t="s">
        <v>5731</v>
      </c>
    </row>
    <row r="840" spans="84:94" x14ac:dyDescent="0.2">
      <c r="CF840" s="1661" t="s">
        <v>10656</v>
      </c>
      <c r="CG840" s="1661" t="s">
        <v>11656</v>
      </c>
      <c r="CL840" s="1699" t="s">
        <v>2571</v>
      </c>
      <c r="CM840" s="1699" t="s">
        <v>7413</v>
      </c>
      <c r="CN840" s="1699" t="s">
        <v>3220</v>
      </c>
      <c r="CO840" s="1699" t="s">
        <v>5353</v>
      </c>
      <c r="CP840" s="1699" t="s">
        <v>5730</v>
      </c>
    </row>
    <row r="841" spans="84:94" x14ac:dyDescent="0.2">
      <c r="CF841" s="1661" t="s">
        <v>10657</v>
      </c>
      <c r="CG841" s="1661" t="s">
        <v>11657</v>
      </c>
      <c r="CL841" s="1699" t="s">
        <v>2572</v>
      </c>
      <c r="CM841" s="1699" t="s">
        <v>7414</v>
      </c>
      <c r="CN841" s="1699" t="s">
        <v>3219</v>
      </c>
      <c r="CO841" s="1699" t="s">
        <v>5352</v>
      </c>
      <c r="CP841" s="1699" t="s">
        <v>5729</v>
      </c>
    </row>
    <row r="842" spans="84:94" x14ac:dyDescent="0.2">
      <c r="CF842" s="1661" t="s">
        <v>10658</v>
      </c>
      <c r="CG842" s="1661" t="s">
        <v>11658</v>
      </c>
      <c r="CL842" s="1699" t="s">
        <v>2573</v>
      </c>
      <c r="CM842" s="1699" t="s">
        <v>7550</v>
      </c>
      <c r="CN842" s="1699" t="s">
        <v>3218</v>
      </c>
      <c r="CO842" s="1699" t="s">
        <v>5351</v>
      </c>
      <c r="CP842" s="1699" t="s">
        <v>5728</v>
      </c>
    </row>
    <row r="843" spans="84:94" x14ac:dyDescent="0.2">
      <c r="CF843" s="1661" t="s">
        <v>10659</v>
      </c>
      <c r="CG843" s="1661" t="s">
        <v>11659</v>
      </c>
      <c r="CL843" s="1699" t="s">
        <v>2574</v>
      </c>
      <c r="CM843" s="1699" t="s">
        <v>7629</v>
      </c>
      <c r="CN843" s="1699" t="s">
        <v>3217</v>
      </c>
      <c r="CO843" s="1699" t="s">
        <v>5350</v>
      </c>
      <c r="CP843" s="1699" t="s">
        <v>5727</v>
      </c>
    </row>
    <row r="844" spans="84:94" x14ac:dyDescent="0.2">
      <c r="CF844" s="1661" t="s">
        <v>10660</v>
      </c>
      <c r="CG844" s="1661" t="s">
        <v>11660</v>
      </c>
      <c r="CL844" s="1699" t="s">
        <v>2575</v>
      </c>
      <c r="CM844" s="1699" t="s">
        <v>8008</v>
      </c>
      <c r="CN844" s="1699" t="s">
        <v>3216</v>
      </c>
      <c r="CO844" s="1699" t="s">
        <v>5349</v>
      </c>
      <c r="CP844" s="1699" t="s">
        <v>5726</v>
      </c>
    </row>
    <row r="845" spans="84:94" x14ac:dyDescent="0.2">
      <c r="CF845" s="1661" t="s">
        <v>10661</v>
      </c>
      <c r="CG845" s="1661" t="s">
        <v>11661</v>
      </c>
      <c r="CL845" s="1699" t="s">
        <v>2576</v>
      </c>
      <c r="CM845" s="1699" t="s">
        <v>4869</v>
      </c>
      <c r="CN845" s="1699" t="s">
        <v>3215</v>
      </c>
      <c r="CO845" s="1699" t="s">
        <v>5348</v>
      </c>
      <c r="CP845" s="1699" t="s">
        <v>5725</v>
      </c>
    </row>
    <row r="846" spans="84:94" x14ac:dyDescent="0.2">
      <c r="CF846" s="1661" t="s">
        <v>10662</v>
      </c>
      <c r="CG846" s="1661" t="s">
        <v>11662</v>
      </c>
      <c r="CL846" s="1699" t="s">
        <v>2577</v>
      </c>
      <c r="CM846" s="1699" t="s">
        <v>4870</v>
      </c>
      <c r="CN846" s="1699" t="s">
        <v>3214</v>
      </c>
      <c r="CO846" s="1699" t="s">
        <v>5347</v>
      </c>
      <c r="CP846" s="1699" t="s">
        <v>5724</v>
      </c>
    </row>
    <row r="847" spans="84:94" x14ac:dyDescent="0.2">
      <c r="CF847" s="1661" t="s">
        <v>10663</v>
      </c>
      <c r="CG847" s="1661" t="s">
        <v>11663</v>
      </c>
      <c r="CL847" s="1699" t="s">
        <v>2578</v>
      </c>
      <c r="CM847" s="1699" t="s">
        <v>4871</v>
      </c>
      <c r="CN847" s="1699" t="s">
        <v>3213</v>
      </c>
      <c r="CO847" s="1699" t="s">
        <v>5346</v>
      </c>
      <c r="CP847" s="1699" t="s">
        <v>5723</v>
      </c>
    </row>
    <row r="848" spans="84:94" x14ac:dyDescent="0.2">
      <c r="CF848" s="1661" t="s">
        <v>10664</v>
      </c>
      <c r="CG848" s="1661" t="s">
        <v>11664</v>
      </c>
      <c r="CL848" s="1699" t="s">
        <v>2579</v>
      </c>
      <c r="CM848" s="1698" t="s">
        <v>3059</v>
      </c>
      <c r="CN848" s="1699" t="s">
        <v>3212</v>
      </c>
      <c r="CO848" s="1699" t="s">
        <v>5345</v>
      </c>
      <c r="CP848" s="1699" t="s">
        <v>5722</v>
      </c>
    </row>
    <row r="849" spans="84:94" x14ac:dyDescent="0.2">
      <c r="CF849" s="1661" t="s">
        <v>10665</v>
      </c>
      <c r="CG849" s="1661" t="s">
        <v>11665</v>
      </c>
      <c r="CL849" s="1699" t="s">
        <v>2580</v>
      </c>
      <c r="CM849" s="1698" t="s">
        <v>3058</v>
      </c>
      <c r="CN849" s="1699" t="s">
        <v>3211</v>
      </c>
      <c r="CO849" s="1699" t="s">
        <v>5344</v>
      </c>
      <c r="CP849" s="1699" t="s">
        <v>5721</v>
      </c>
    </row>
    <row r="850" spans="84:94" x14ac:dyDescent="0.2">
      <c r="CF850" s="1661" t="s">
        <v>10666</v>
      </c>
      <c r="CG850" s="1661" t="s">
        <v>11666</v>
      </c>
      <c r="CL850" s="1699" t="s">
        <v>2581</v>
      </c>
      <c r="CM850" s="1698" t="s">
        <v>3057</v>
      </c>
      <c r="CN850" s="1699" t="s">
        <v>3210</v>
      </c>
      <c r="CO850" s="1699" t="s">
        <v>5343</v>
      </c>
      <c r="CP850" s="1699" t="s">
        <v>5720</v>
      </c>
    </row>
    <row r="851" spans="84:94" x14ac:dyDescent="0.2">
      <c r="CF851" s="1661" t="s">
        <v>10667</v>
      </c>
      <c r="CG851" s="1661" t="s">
        <v>11667</v>
      </c>
      <c r="CL851" s="1699" t="s">
        <v>2582</v>
      </c>
      <c r="CM851" s="1698" t="s">
        <v>3056</v>
      </c>
      <c r="CN851" s="1699" t="s">
        <v>3209</v>
      </c>
      <c r="CO851" s="1699" t="s">
        <v>5342</v>
      </c>
      <c r="CP851" s="1699" t="s">
        <v>6607</v>
      </c>
    </row>
    <row r="852" spans="84:94" x14ac:dyDescent="0.2">
      <c r="CF852" s="1661" t="s">
        <v>10668</v>
      </c>
      <c r="CG852" s="1661" t="s">
        <v>11668</v>
      </c>
      <c r="CL852" s="1699" t="s">
        <v>2583</v>
      </c>
      <c r="CM852" s="1698" t="s">
        <v>3055</v>
      </c>
      <c r="CN852" s="1699" t="s">
        <v>3208</v>
      </c>
      <c r="CO852" s="1699" t="s">
        <v>5341</v>
      </c>
      <c r="CP852" s="1699" t="s">
        <v>5719</v>
      </c>
    </row>
    <row r="853" spans="84:94" x14ac:dyDescent="0.2">
      <c r="CF853" s="1661" t="s">
        <v>10669</v>
      </c>
      <c r="CG853" s="1661" t="s">
        <v>11669</v>
      </c>
      <c r="CL853" s="1699" t="s">
        <v>2584</v>
      </c>
      <c r="CM853" s="1698" t="s">
        <v>3015</v>
      </c>
      <c r="CN853" s="1699" t="s">
        <v>3207</v>
      </c>
      <c r="CO853" s="1699" t="s">
        <v>5340</v>
      </c>
      <c r="CP853" s="1699" t="s">
        <v>6606</v>
      </c>
    </row>
    <row r="854" spans="84:94" x14ac:dyDescent="0.2">
      <c r="CF854" s="1661" t="s">
        <v>10670</v>
      </c>
      <c r="CG854" s="1661" t="s">
        <v>11670</v>
      </c>
      <c r="CL854" s="1699" t="s">
        <v>2585</v>
      </c>
      <c r="CM854" s="1698" t="s">
        <v>6600</v>
      </c>
      <c r="CN854" s="1699" t="s">
        <v>3206</v>
      </c>
      <c r="CO854" s="1699" t="s">
        <v>5339</v>
      </c>
      <c r="CP854" s="1699" t="s">
        <v>5718</v>
      </c>
    </row>
    <row r="855" spans="84:94" x14ac:dyDescent="0.2">
      <c r="CF855" s="1661" t="s">
        <v>10671</v>
      </c>
      <c r="CG855" s="1661" t="s">
        <v>11671</v>
      </c>
      <c r="CL855" s="1699" t="s">
        <v>2586</v>
      </c>
      <c r="CM855" s="1699" t="s">
        <v>7745</v>
      </c>
      <c r="CN855" s="1699" t="s">
        <v>3205</v>
      </c>
      <c r="CO855" s="1699" t="s">
        <v>5338</v>
      </c>
      <c r="CP855" s="1699" t="s">
        <v>5717</v>
      </c>
    </row>
    <row r="856" spans="84:94" x14ac:dyDescent="0.2">
      <c r="CF856" s="1661" t="s">
        <v>10672</v>
      </c>
      <c r="CG856" s="1661" t="s">
        <v>11672</v>
      </c>
      <c r="CL856" s="1699" t="s">
        <v>2587</v>
      </c>
      <c r="CM856" s="1699" t="s">
        <v>7746</v>
      </c>
      <c r="CN856" s="1699" t="s">
        <v>3204</v>
      </c>
      <c r="CO856" s="1699" t="s">
        <v>5337</v>
      </c>
      <c r="CP856" s="1699" t="s">
        <v>5716</v>
      </c>
    </row>
    <row r="857" spans="84:94" x14ac:dyDescent="0.2">
      <c r="CF857" s="1661" t="s">
        <v>10673</v>
      </c>
      <c r="CG857" s="1661" t="s">
        <v>11673</v>
      </c>
      <c r="CL857" s="1699" t="s">
        <v>2588</v>
      </c>
      <c r="CM857" s="1699" t="s">
        <v>3014</v>
      </c>
      <c r="CN857" s="1699" t="s">
        <v>3203</v>
      </c>
      <c r="CO857" s="1699" t="s">
        <v>5336</v>
      </c>
      <c r="CP857" s="1699" t="s">
        <v>5715</v>
      </c>
    </row>
    <row r="858" spans="84:94" x14ac:dyDescent="0.2">
      <c r="CF858" s="1661" t="s">
        <v>10674</v>
      </c>
      <c r="CG858" s="1661" t="s">
        <v>11674</v>
      </c>
      <c r="CL858" s="1699" t="s">
        <v>2589</v>
      </c>
      <c r="CM858" s="1699" t="s">
        <v>8146</v>
      </c>
      <c r="CN858" s="1699" t="s">
        <v>3202</v>
      </c>
      <c r="CO858" s="1699" t="s">
        <v>5335</v>
      </c>
      <c r="CP858" s="1699" t="s">
        <v>5714</v>
      </c>
    </row>
    <row r="859" spans="84:94" x14ac:dyDescent="0.2">
      <c r="CF859" s="1661" t="s">
        <v>10675</v>
      </c>
      <c r="CG859" s="1661" t="s">
        <v>11675</v>
      </c>
      <c r="CL859" s="1699" t="s">
        <v>2590</v>
      </c>
      <c r="CM859" s="1699" t="s">
        <v>3013</v>
      </c>
      <c r="CN859" s="1699" t="s">
        <v>3201</v>
      </c>
      <c r="CO859" s="1699" t="s">
        <v>5334</v>
      </c>
      <c r="CP859" s="1699" t="s">
        <v>5713</v>
      </c>
    </row>
    <row r="860" spans="84:94" x14ac:dyDescent="0.2">
      <c r="CF860" s="1661" t="s">
        <v>10676</v>
      </c>
      <c r="CG860" s="1661" t="s">
        <v>11676</v>
      </c>
      <c r="CL860" s="1699" t="s">
        <v>2591</v>
      </c>
      <c r="CM860" s="1699" t="s">
        <v>3012</v>
      </c>
      <c r="CN860" s="1699" t="s">
        <v>3200</v>
      </c>
      <c r="CO860" s="1699" t="s">
        <v>5333</v>
      </c>
      <c r="CP860" s="1699" t="s">
        <v>5712</v>
      </c>
    </row>
    <row r="861" spans="84:94" x14ac:dyDescent="0.2">
      <c r="CF861" s="1661" t="s">
        <v>10677</v>
      </c>
      <c r="CG861" s="1661" t="s">
        <v>11677</v>
      </c>
      <c r="CL861" s="1699" t="s">
        <v>2592</v>
      </c>
      <c r="CM861" s="1699" t="s">
        <v>3011</v>
      </c>
      <c r="CN861" s="1699" t="s">
        <v>3199</v>
      </c>
      <c r="CO861" s="1699" t="s">
        <v>5332</v>
      </c>
      <c r="CP861" s="1699" t="s">
        <v>5711</v>
      </c>
    </row>
    <row r="862" spans="84:94" x14ac:dyDescent="0.2">
      <c r="CF862" s="1661" t="s">
        <v>10678</v>
      </c>
      <c r="CG862" s="1661" t="s">
        <v>11678</v>
      </c>
      <c r="CL862" s="1699" t="s">
        <v>2593</v>
      </c>
      <c r="CM862" s="1699" t="s">
        <v>7983</v>
      </c>
      <c r="CN862" s="1699" t="s">
        <v>3198</v>
      </c>
      <c r="CO862" s="1699" t="s">
        <v>5331</v>
      </c>
      <c r="CP862" s="1699" t="s">
        <v>5710</v>
      </c>
    </row>
    <row r="863" spans="84:94" x14ac:dyDescent="0.2">
      <c r="CF863" s="1661" t="s">
        <v>10679</v>
      </c>
      <c r="CG863" s="1661" t="s">
        <v>11679</v>
      </c>
      <c r="CL863" s="1699" t="s">
        <v>2594</v>
      </c>
      <c r="CM863" s="1699" t="s">
        <v>7984</v>
      </c>
      <c r="CN863" s="1699" t="s">
        <v>3197</v>
      </c>
      <c r="CO863" s="1699" t="s">
        <v>5330</v>
      </c>
      <c r="CP863" s="1699" t="s">
        <v>5709</v>
      </c>
    </row>
    <row r="864" spans="84:94" x14ac:dyDescent="0.2">
      <c r="CF864" s="1661" t="s">
        <v>10680</v>
      </c>
      <c r="CG864" s="1661" t="s">
        <v>11680</v>
      </c>
      <c r="CL864" s="1699" t="s">
        <v>2595</v>
      </c>
      <c r="CM864" s="1699" t="s">
        <v>7985</v>
      </c>
      <c r="CN864" s="1699" t="s">
        <v>3196</v>
      </c>
      <c r="CO864" s="1699" t="s">
        <v>5329</v>
      </c>
      <c r="CP864" s="1699" t="s">
        <v>5708</v>
      </c>
    </row>
    <row r="865" spans="84:94" x14ac:dyDescent="0.2">
      <c r="CF865" s="1661" t="s">
        <v>10681</v>
      </c>
      <c r="CG865" s="1661" t="s">
        <v>11681</v>
      </c>
      <c r="CL865" s="1699" t="s">
        <v>2596</v>
      </c>
      <c r="CM865" s="1699" t="s">
        <v>7986</v>
      </c>
      <c r="CN865" s="1699" t="s">
        <v>3195</v>
      </c>
      <c r="CO865" s="1699" t="s">
        <v>5328</v>
      </c>
      <c r="CP865" s="1699" t="s">
        <v>5707</v>
      </c>
    </row>
    <row r="866" spans="84:94" x14ac:dyDescent="0.2">
      <c r="CF866" s="1661" t="s">
        <v>10682</v>
      </c>
      <c r="CG866" s="1661" t="s">
        <v>11682</v>
      </c>
      <c r="CL866" s="1699" t="s">
        <v>2597</v>
      </c>
      <c r="CM866" s="1699" t="s">
        <v>7987</v>
      </c>
      <c r="CN866" s="1699" t="s">
        <v>3194</v>
      </c>
      <c r="CO866" s="1699" t="s">
        <v>5327</v>
      </c>
      <c r="CP866" s="1699" t="s">
        <v>5706</v>
      </c>
    </row>
    <row r="867" spans="84:94" x14ac:dyDescent="0.2">
      <c r="CF867" s="1661" t="s">
        <v>10683</v>
      </c>
      <c r="CG867" s="1661" t="s">
        <v>11683</v>
      </c>
      <c r="CL867" s="1699" t="s">
        <v>2598</v>
      </c>
      <c r="CM867" s="1699" t="s">
        <v>7616</v>
      </c>
      <c r="CN867" s="1699" t="s">
        <v>3193</v>
      </c>
      <c r="CO867" s="1699" t="s">
        <v>5326</v>
      </c>
      <c r="CP867" s="1699" t="s">
        <v>5705</v>
      </c>
    </row>
    <row r="868" spans="84:94" x14ac:dyDescent="0.2">
      <c r="CF868" s="1661" t="s">
        <v>10684</v>
      </c>
      <c r="CG868" s="1661" t="s">
        <v>11684</v>
      </c>
      <c r="CL868" s="1699" t="s">
        <v>2599</v>
      </c>
      <c r="CM868" s="1699" t="s">
        <v>7615</v>
      </c>
      <c r="CN868" s="1699" t="s">
        <v>3192</v>
      </c>
      <c r="CO868" s="1699" t="s">
        <v>5325</v>
      </c>
      <c r="CP868" s="1699" t="s">
        <v>5704</v>
      </c>
    </row>
    <row r="869" spans="84:94" x14ac:dyDescent="0.2">
      <c r="CF869" s="1661" t="s">
        <v>10685</v>
      </c>
      <c r="CG869" s="1661" t="s">
        <v>11685</v>
      </c>
      <c r="CL869" s="1699" t="s">
        <v>2600</v>
      </c>
      <c r="CM869" s="1699" t="s">
        <v>7614</v>
      </c>
      <c r="CN869" s="1699" t="s">
        <v>3191</v>
      </c>
      <c r="CO869" s="1699" t="s">
        <v>5324</v>
      </c>
      <c r="CP869" s="1699" t="s">
        <v>5703</v>
      </c>
    </row>
    <row r="870" spans="84:94" x14ac:dyDescent="0.2">
      <c r="CF870" s="1661" t="s">
        <v>10686</v>
      </c>
      <c r="CG870" s="1661" t="s">
        <v>11686</v>
      </c>
      <c r="CL870" s="1699" t="s">
        <v>2601</v>
      </c>
      <c r="CM870" s="1699" t="s">
        <v>7613</v>
      </c>
      <c r="CN870" s="1699" t="s">
        <v>3190</v>
      </c>
      <c r="CO870" s="1699" t="s">
        <v>5323</v>
      </c>
      <c r="CP870" s="1699" t="s">
        <v>5702</v>
      </c>
    </row>
    <row r="871" spans="84:94" x14ac:dyDescent="0.2">
      <c r="CF871" s="1661" t="s">
        <v>10687</v>
      </c>
      <c r="CG871" s="1661" t="s">
        <v>11687</v>
      </c>
      <c r="CL871" s="1699" t="s">
        <v>2602</v>
      </c>
      <c r="CM871" s="1699" t="s">
        <v>7420</v>
      </c>
      <c r="CN871" s="1699" t="s">
        <v>3189</v>
      </c>
      <c r="CO871" s="1699" t="s">
        <v>5322</v>
      </c>
      <c r="CP871" s="1699" t="s">
        <v>5701</v>
      </c>
    </row>
    <row r="872" spans="84:94" x14ac:dyDescent="0.2">
      <c r="CF872" s="1661" t="s">
        <v>10688</v>
      </c>
      <c r="CG872" s="1661" t="s">
        <v>11688</v>
      </c>
      <c r="CL872" s="1699" t="s">
        <v>2603</v>
      </c>
      <c r="CM872" s="1699" t="s">
        <v>7419</v>
      </c>
      <c r="CN872" s="1699" t="s">
        <v>3188</v>
      </c>
      <c r="CO872" s="1699" t="s">
        <v>5321</v>
      </c>
      <c r="CP872" s="1699" t="s">
        <v>5700</v>
      </c>
    </row>
    <row r="873" spans="84:94" x14ac:dyDescent="0.2">
      <c r="CF873" s="1661" t="s">
        <v>10689</v>
      </c>
      <c r="CG873" s="1661" t="s">
        <v>11689</v>
      </c>
      <c r="CL873" s="1699" t="s">
        <v>2604</v>
      </c>
      <c r="CM873" s="1699" t="s">
        <v>7418</v>
      </c>
      <c r="CN873" s="1699" t="s">
        <v>3187</v>
      </c>
      <c r="CO873" s="1699" t="s">
        <v>5320</v>
      </c>
      <c r="CP873" s="1699" t="s">
        <v>5699</v>
      </c>
    </row>
    <row r="874" spans="84:94" x14ac:dyDescent="0.2">
      <c r="CF874" s="1661" t="s">
        <v>10690</v>
      </c>
      <c r="CG874" s="1661" t="s">
        <v>11690</v>
      </c>
      <c r="CL874" s="1699" t="s">
        <v>2605</v>
      </c>
      <c r="CM874" s="1699" t="s">
        <v>7417</v>
      </c>
      <c r="CN874" s="1699" t="s">
        <v>3186</v>
      </c>
      <c r="CO874" s="1699" t="s">
        <v>5319</v>
      </c>
      <c r="CP874" s="1699" t="s">
        <v>5698</v>
      </c>
    </row>
    <row r="875" spans="84:94" x14ac:dyDescent="0.2">
      <c r="CF875" s="1661" t="s">
        <v>10691</v>
      </c>
      <c r="CG875" s="1661" t="s">
        <v>11691</v>
      </c>
      <c r="CL875" s="1699" t="s">
        <v>2606</v>
      </c>
      <c r="CM875" s="1699" t="s">
        <v>7416</v>
      </c>
      <c r="CN875" s="1699" t="s">
        <v>3185</v>
      </c>
      <c r="CO875" s="1699" t="s">
        <v>5318</v>
      </c>
      <c r="CP875" s="1699" t="s">
        <v>5697</v>
      </c>
    </row>
    <row r="876" spans="84:94" x14ac:dyDescent="0.2">
      <c r="CF876" s="1661" t="s">
        <v>10692</v>
      </c>
      <c r="CG876" s="1661" t="s">
        <v>11692</v>
      </c>
      <c r="CL876" s="1699" t="s">
        <v>2607</v>
      </c>
      <c r="CM876" s="1699" t="s">
        <v>7415</v>
      </c>
      <c r="CN876" s="1699" t="s">
        <v>3184</v>
      </c>
      <c r="CO876" s="1699" t="s">
        <v>5317</v>
      </c>
      <c r="CP876" s="1699" t="s">
        <v>5696</v>
      </c>
    </row>
    <row r="877" spans="84:94" x14ac:dyDescent="0.2">
      <c r="CF877" s="1661" t="s">
        <v>10693</v>
      </c>
      <c r="CG877" s="1661" t="s">
        <v>11693</v>
      </c>
      <c r="CL877" s="1699" t="s">
        <v>2608</v>
      </c>
      <c r="CM877" s="1699" t="s">
        <v>6604</v>
      </c>
      <c r="CN877" s="1699" t="s">
        <v>3183</v>
      </c>
      <c r="CO877" s="1699" t="s">
        <v>5316</v>
      </c>
      <c r="CP877" s="1699" t="s">
        <v>5695</v>
      </c>
    </row>
    <row r="878" spans="84:94" x14ac:dyDescent="0.2">
      <c r="CF878" s="1661" t="s">
        <v>10694</v>
      </c>
      <c r="CG878" s="1661" t="s">
        <v>11694</v>
      </c>
      <c r="CL878" s="1699" t="s">
        <v>2609</v>
      </c>
      <c r="CM878" s="1699" t="s">
        <v>6603</v>
      </c>
      <c r="CN878" s="1699" t="s">
        <v>3182</v>
      </c>
      <c r="CO878" s="1699" t="s">
        <v>5315</v>
      </c>
      <c r="CP878" s="1699" t="s">
        <v>5694</v>
      </c>
    </row>
    <row r="879" spans="84:94" x14ac:dyDescent="0.2">
      <c r="CF879" s="1661" t="s">
        <v>10695</v>
      </c>
      <c r="CG879" s="1661" t="s">
        <v>11695</v>
      </c>
      <c r="CL879" s="1699" t="s">
        <v>2610</v>
      </c>
      <c r="CM879" s="1699" t="s">
        <v>6602</v>
      </c>
      <c r="CN879" s="1699" t="s">
        <v>3181</v>
      </c>
      <c r="CO879" s="1699" t="s">
        <v>5314</v>
      </c>
      <c r="CP879" s="1699" t="s">
        <v>5693</v>
      </c>
    </row>
    <row r="880" spans="84:94" x14ac:dyDescent="0.2">
      <c r="CF880" s="1661" t="s">
        <v>10696</v>
      </c>
      <c r="CG880" s="1661" t="s">
        <v>11696</v>
      </c>
      <c r="CL880" s="1699" t="s">
        <v>2611</v>
      </c>
      <c r="CM880" s="1699" t="s">
        <v>6601</v>
      </c>
      <c r="CN880" s="1699" t="s">
        <v>3180</v>
      </c>
      <c r="CO880" s="1699" t="s">
        <v>5313</v>
      </c>
      <c r="CP880" s="1699" t="s">
        <v>5692</v>
      </c>
    </row>
    <row r="881" spans="84:94" x14ac:dyDescent="0.2">
      <c r="CF881" s="1661" t="s">
        <v>10697</v>
      </c>
      <c r="CG881" s="1661" t="s">
        <v>11697</v>
      </c>
      <c r="CL881" s="1699" t="s">
        <v>2612</v>
      </c>
      <c r="CM881" s="1699" t="s">
        <v>3010</v>
      </c>
      <c r="CN881" s="1699" t="s">
        <v>3179</v>
      </c>
      <c r="CO881" s="1699" t="s">
        <v>5312</v>
      </c>
      <c r="CP881" s="1699" t="s">
        <v>5691</v>
      </c>
    </row>
    <row r="882" spans="84:94" x14ac:dyDescent="0.2">
      <c r="CF882" s="1661" t="s">
        <v>10698</v>
      </c>
      <c r="CG882" s="1661" t="s">
        <v>11698</v>
      </c>
      <c r="CL882" s="1699" t="s">
        <v>2613</v>
      </c>
      <c r="CM882" s="1699" t="s">
        <v>3009</v>
      </c>
      <c r="CN882" s="1699" t="s">
        <v>3178</v>
      </c>
      <c r="CO882" s="1699" t="s">
        <v>5311</v>
      </c>
      <c r="CP882" s="1699" t="s">
        <v>5690</v>
      </c>
    </row>
    <row r="883" spans="84:94" x14ac:dyDescent="0.2">
      <c r="CF883" s="1661" t="s">
        <v>10699</v>
      </c>
      <c r="CG883" s="1661" t="s">
        <v>11699</v>
      </c>
      <c r="CL883" s="1699" t="s">
        <v>2614</v>
      </c>
      <c r="CM883" s="1699" t="s">
        <v>3008</v>
      </c>
      <c r="CN883" s="1699" t="s">
        <v>3177</v>
      </c>
      <c r="CO883" s="1699" t="s">
        <v>5310</v>
      </c>
      <c r="CP883" s="1699" t="s">
        <v>5689</v>
      </c>
    </row>
    <row r="884" spans="84:94" x14ac:dyDescent="0.2">
      <c r="CF884" s="1661" t="s">
        <v>10700</v>
      </c>
      <c r="CG884" s="1661" t="s">
        <v>11700</v>
      </c>
      <c r="CL884" s="1699" t="s">
        <v>2615</v>
      </c>
      <c r="CM884" s="1699" t="s">
        <v>3007</v>
      </c>
      <c r="CN884" s="1699" t="s">
        <v>3176</v>
      </c>
      <c r="CO884" s="1699" t="s">
        <v>5309</v>
      </c>
      <c r="CP884" s="1699" t="s">
        <v>5688</v>
      </c>
    </row>
    <row r="885" spans="84:94" x14ac:dyDescent="0.2">
      <c r="CF885" s="1661" t="s">
        <v>10701</v>
      </c>
      <c r="CG885" s="1661" t="s">
        <v>11701</v>
      </c>
      <c r="CL885" s="1699" t="s">
        <v>2616</v>
      </c>
      <c r="CM885" s="1699" t="s">
        <v>3006</v>
      </c>
      <c r="CN885" s="1699" t="s">
        <v>3175</v>
      </c>
      <c r="CO885" s="1699" t="s">
        <v>5308</v>
      </c>
      <c r="CP885" s="1699" t="s">
        <v>5687</v>
      </c>
    </row>
    <row r="886" spans="84:94" x14ac:dyDescent="0.2">
      <c r="CF886" s="1661" t="s">
        <v>10702</v>
      </c>
      <c r="CG886" s="1661" t="s">
        <v>11702</v>
      </c>
      <c r="CL886" s="1699" t="s">
        <v>2617</v>
      </c>
      <c r="CM886" s="1699" t="s">
        <v>3005</v>
      </c>
      <c r="CN886" s="1699" t="s">
        <v>3174</v>
      </c>
      <c r="CO886" s="1699" t="s">
        <v>5307</v>
      </c>
      <c r="CP886" s="1699" t="s">
        <v>5686</v>
      </c>
    </row>
    <row r="887" spans="84:94" x14ac:dyDescent="0.2">
      <c r="CF887" s="1661" t="s">
        <v>10703</v>
      </c>
      <c r="CG887" s="1661" t="s">
        <v>11703</v>
      </c>
      <c r="CL887" s="1699" t="s">
        <v>2618</v>
      </c>
      <c r="CM887" s="1699" t="s">
        <v>3004</v>
      </c>
      <c r="CN887" s="1699" t="s">
        <v>3173</v>
      </c>
      <c r="CO887" s="1699" t="s">
        <v>5306</v>
      </c>
      <c r="CP887" s="1699" t="s">
        <v>5685</v>
      </c>
    </row>
    <row r="888" spans="84:94" x14ac:dyDescent="0.2">
      <c r="CF888" s="1661" t="s">
        <v>10704</v>
      </c>
      <c r="CG888" s="1661" t="s">
        <v>11704</v>
      </c>
      <c r="CL888" s="1699" t="s">
        <v>2619</v>
      </c>
      <c r="CM888" s="1699" t="s">
        <v>3003</v>
      </c>
      <c r="CN888" s="1699" t="s">
        <v>3172</v>
      </c>
      <c r="CO888" s="1699" t="s">
        <v>5305</v>
      </c>
      <c r="CP888" s="1699" t="s">
        <v>5684</v>
      </c>
    </row>
    <row r="889" spans="84:94" x14ac:dyDescent="0.2">
      <c r="CF889" s="1661" t="s">
        <v>10705</v>
      </c>
      <c r="CG889" s="1661" t="s">
        <v>11705</v>
      </c>
      <c r="CL889" s="1699" t="s">
        <v>2620</v>
      </c>
      <c r="CM889" s="1699" t="s">
        <v>3002</v>
      </c>
      <c r="CN889" s="1699" t="s">
        <v>3171</v>
      </c>
      <c r="CO889" s="1699" t="s">
        <v>5304</v>
      </c>
      <c r="CP889" s="1699" t="s">
        <v>5683</v>
      </c>
    </row>
    <row r="890" spans="84:94" x14ac:dyDescent="0.2">
      <c r="CF890" s="1661" t="s">
        <v>10706</v>
      </c>
      <c r="CG890" s="1661" t="s">
        <v>11706</v>
      </c>
      <c r="CL890" s="1699" t="s">
        <v>2621</v>
      </c>
      <c r="CM890" s="1699" t="s">
        <v>3001</v>
      </c>
      <c r="CN890" s="1699" t="s">
        <v>3170</v>
      </c>
      <c r="CO890" s="1699" t="s">
        <v>5303</v>
      </c>
      <c r="CP890" s="1699" t="s">
        <v>5682</v>
      </c>
    </row>
    <row r="891" spans="84:94" x14ac:dyDescent="0.2">
      <c r="CF891" s="1661" t="s">
        <v>10707</v>
      </c>
      <c r="CG891" s="1661" t="s">
        <v>11707</v>
      </c>
      <c r="CL891" s="1699" t="s">
        <v>2622</v>
      </c>
      <c r="CM891" s="1699" t="s">
        <v>3000</v>
      </c>
      <c r="CN891" s="1699" t="s">
        <v>3169</v>
      </c>
      <c r="CO891" s="1699" t="s">
        <v>5302</v>
      </c>
      <c r="CP891" s="1699" t="s">
        <v>5681</v>
      </c>
    </row>
    <row r="892" spans="84:94" x14ac:dyDescent="0.2">
      <c r="CF892" s="1661" t="s">
        <v>10708</v>
      </c>
      <c r="CG892" s="1661" t="s">
        <v>11708</v>
      </c>
      <c r="CL892" s="1699" t="s">
        <v>2623</v>
      </c>
      <c r="CM892" s="1699" t="s">
        <v>2999</v>
      </c>
      <c r="CN892" s="1699" t="s">
        <v>3168</v>
      </c>
      <c r="CO892" s="1699" t="s">
        <v>5301</v>
      </c>
      <c r="CP892" s="1699" t="s">
        <v>5680</v>
      </c>
    </row>
    <row r="893" spans="84:94" x14ac:dyDescent="0.2">
      <c r="CF893" s="1661" t="s">
        <v>10709</v>
      </c>
      <c r="CG893" s="1661" t="s">
        <v>11709</v>
      </c>
      <c r="CL893" s="1699" t="s">
        <v>2624</v>
      </c>
      <c r="CM893" s="1699" t="s">
        <v>2998</v>
      </c>
      <c r="CN893" s="1699" t="s">
        <v>3167</v>
      </c>
      <c r="CO893" s="1699" t="s">
        <v>5300</v>
      </c>
      <c r="CP893" s="1699" t="s">
        <v>5679</v>
      </c>
    </row>
    <row r="894" spans="84:94" x14ac:dyDescent="0.2">
      <c r="CF894" s="1661" t="s">
        <v>10710</v>
      </c>
      <c r="CG894" s="1661" t="s">
        <v>11710</v>
      </c>
      <c r="CL894" s="1699" t="s">
        <v>2625</v>
      </c>
      <c r="CM894" s="1699" t="s">
        <v>2997</v>
      </c>
      <c r="CN894" s="1699" t="s">
        <v>3166</v>
      </c>
      <c r="CO894" s="1699" t="s">
        <v>5299</v>
      </c>
      <c r="CP894" s="1699" t="s">
        <v>5678</v>
      </c>
    </row>
    <row r="895" spans="84:94" x14ac:dyDescent="0.2">
      <c r="CF895" s="1661" t="s">
        <v>10711</v>
      </c>
      <c r="CG895" s="1661" t="s">
        <v>11711</v>
      </c>
      <c r="CL895" s="1699" t="s">
        <v>2626</v>
      </c>
      <c r="CM895" s="1699" t="s">
        <v>2996</v>
      </c>
      <c r="CN895" s="1699" t="s">
        <v>3165</v>
      </c>
      <c r="CO895" s="1699" t="s">
        <v>5298</v>
      </c>
      <c r="CP895" s="1699" t="s">
        <v>5677</v>
      </c>
    </row>
    <row r="896" spans="84:94" x14ac:dyDescent="0.2">
      <c r="CF896" s="1661" t="s">
        <v>10712</v>
      </c>
      <c r="CG896" s="1661" t="s">
        <v>11712</v>
      </c>
      <c r="CL896" s="1699" t="s">
        <v>2627</v>
      </c>
      <c r="CM896" s="1699" t="s">
        <v>2995</v>
      </c>
      <c r="CN896" s="1699" t="s">
        <v>3164</v>
      </c>
      <c r="CO896" s="1699" t="s">
        <v>5297</v>
      </c>
      <c r="CP896" s="1699" t="s">
        <v>5676</v>
      </c>
    </row>
    <row r="897" spans="84:94" x14ac:dyDescent="0.2">
      <c r="CF897" s="1661" t="s">
        <v>10713</v>
      </c>
      <c r="CG897" s="1661" t="s">
        <v>11713</v>
      </c>
      <c r="CL897" s="1699" t="s">
        <v>2628</v>
      </c>
      <c r="CM897" s="1699" t="s">
        <v>2994</v>
      </c>
      <c r="CN897" s="1699" t="s">
        <v>3163</v>
      </c>
      <c r="CO897" s="1699" t="s">
        <v>5296</v>
      </c>
      <c r="CP897" s="1699" t="s">
        <v>5675</v>
      </c>
    </row>
    <row r="898" spans="84:94" x14ac:dyDescent="0.2">
      <c r="CF898" s="1661" t="s">
        <v>10714</v>
      </c>
      <c r="CG898" s="1661" t="s">
        <v>11714</v>
      </c>
      <c r="CL898" s="1699" t="s">
        <v>2629</v>
      </c>
      <c r="CM898" s="1699" t="s">
        <v>2993</v>
      </c>
      <c r="CN898" s="1699" t="s">
        <v>3162</v>
      </c>
      <c r="CO898" s="1699" t="s">
        <v>5295</v>
      </c>
      <c r="CP898" s="1699" t="s">
        <v>5674</v>
      </c>
    </row>
    <row r="899" spans="84:94" x14ac:dyDescent="0.2">
      <c r="CF899" s="1661" t="s">
        <v>10715</v>
      </c>
      <c r="CG899" s="1661" t="s">
        <v>11715</v>
      </c>
      <c r="CL899" s="1699" t="s">
        <v>2630</v>
      </c>
      <c r="CM899" s="1699" t="s">
        <v>2992</v>
      </c>
      <c r="CN899" s="1699" t="s">
        <v>3161</v>
      </c>
      <c r="CO899" s="1699" t="s">
        <v>5294</v>
      </c>
      <c r="CP899" s="1699" t="s">
        <v>5673</v>
      </c>
    </row>
    <row r="900" spans="84:94" x14ac:dyDescent="0.2">
      <c r="CF900" s="1661" t="s">
        <v>10716</v>
      </c>
      <c r="CG900" s="1661" t="s">
        <v>11716</v>
      </c>
      <c r="CL900" s="1699" t="s">
        <v>2631</v>
      </c>
      <c r="CM900" s="1699" t="s">
        <v>2991</v>
      </c>
      <c r="CN900" s="1699" t="s">
        <v>3160</v>
      </c>
      <c r="CO900" s="1699" t="s">
        <v>5293</v>
      </c>
      <c r="CP900" s="1699" t="s">
        <v>5672</v>
      </c>
    </row>
    <row r="901" spans="84:94" x14ac:dyDescent="0.2">
      <c r="CF901" s="1661" t="s">
        <v>10717</v>
      </c>
      <c r="CG901" s="1661" t="s">
        <v>11717</v>
      </c>
      <c r="CL901" s="1699" t="s">
        <v>2632</v>
      </c>
      <c r="CM901" s="1699" t="s">
        <v>2990</v>
      </c>
      <c r="CN901" s="1699" t="s">
        <v>3159</v>
      </c>
      <c r="CO901" s="1699" t="s">
        <v>5292</v>
      </c>
      <c r="CP901" s="1699" t="s">
        <v>5671</v>
      </c>
    </row>
    <row r="902" spans="84:94" x14ac:dyDescent="0.2">
      <c r="CF902" s="1661" t="s">
        <v>10718</v>
      </c>
      <c r="CG902" s="1661" t="s">
        <v>11718</v>
      </c>
      <c r="CL902" s="1699" t="s">
        <v>2633</v>
      </c>
      <c r="CM902" s="1699" t="s">
        <v>2989</v>
      </c>
      <c r="CN902" s="1699" t="s">
        <v>3158</v>
      </c>
      <c r="CO902" s="1699" t="s">
        <v>5291</v>
      </c>
      <c r="CP902" s="1699" t="s">
        <v>5670</v>
      </c>
    </row>
    <row r="903" spans="84:94" x14ac:dyDescent="0.2">
      <c r="CF903" s="1661" t="s">
        <v>10719</v>
      </c>
      <c r="CG903" s="1661" t="s">
        <v>11719</v>
      </c>
      <c r="CL903" s="1699" t="s">
        <v>2634</v>
      </c>
      <c r="CM903" s="1699" t="s">
        <v>2988</v>
      </c>
      <c r="CN903" s="1699" t="s">
        <v>3157</v>
      </c>
      <c r="CO903" s="1699" t="s">
        <v>5290</v>
      </c>
      <c r="CP903" s="1699" t="s">
        <v>5669</v>
      </c>
    </row>
    <row r="904" spans="84:94" x14ac:dyDescent="0.2">
      <c r="CF904" s="1661" t="s">
        <v>10720</v>
      </c>
      <c r="CG904" s="1661" t="s">
        <v>11720</v>
      </c>
      <c r="CL904" s="1699" t="s">
        <v>2635</v>
      </c>
      <c r="CM904" s="1699" t="s">
        <v>2987</v>
      </c>
      <c r="CN904" s="1699" t="s">
        <v>3156</v>
      </c>
      <c r="CO904" s="1699" t="s">
        <v>5289</v>
      </c>
      <c r="CP904" s="1699" t="s">
        <v>5668</v>
      </c>
    </row>
    <row r="905" spans="84:94" x14ac:dyDescent="0.2">
      <c r="CF905" s="1661" t="s">
        <v>10721</v>
      </c>
      <c r="CG905" s="1661" t="s">
        <v>11721</v>
      </c>
      <c r="CL905" s="1699" t="s">
        <v>2636</v>
      </c>
      <c r="CM905" s="1699" t="s">
        <v>2986</v>
      </c>
      <c r="CN905" s="1699" t="s">
        <v>3155</v>
      </c>
      <c r="CO905" s="1699" t="s">
        <v>5288</v>
      </c>
      <c r="CP905" s="1699" t="s">
        <v>5667</v>
      </c>
    </row>
    <row r="906" spans="84:94" x14ac:dyDescent="0.2">
      <c r="CF906" s="1661" t="s">
        <v>10722</v>
      </c>
      <c r="CG906" s="1661" t="s">
        <v>11722</v>
      </c>
      <c r="CL906" s="1699" t="s">
        <v>2637</v>
      </c>
      <c r="CM906" s="1699" t="s">
        <v>2985</v>
      </c>
      <c r="CN906" s="1699" t="s">
        <v>3154</v>
      </c>
      <c r="CO906" s="1699" t="s">
        <v>5287</v>
      </c>
      <c r="CP906" s="1699" t="s">
        <v>5666</v>
      </c>
    </row>
    <row r="907" spans="84:94" x14ac:dyDescent="0.2">
      <c r="CF907" s="1661" t="s">
        <v>10723</v>
      </c>
      <c r="CG907" s="1661" t="s">
        <v>11723</v>
      </c>
      <c r="CL907" s="1699" t="s">
        <v>2638</v>
      </c>
      <c r="CM907" s="1699" t="s">
        <v>2984</v>
      </c>
      <c r="CN907" s="1699" t="s">
        <v>3153</v>
      </c>
      <c r="CO907" s="1699" t="s">
        <v>5286</v>
      </c>
      <c r="CP907" s="1699" t="s">
        <v>5665</v>
      </c>
    </row>
    <row r="908" spans="84:94" x14ac:dyDescent="0.2">
      <c r="CF908" s="1661" t="s">
        <v>10724</v>
      </c>
      <c r="CG908" s="1661" t="s">
        <v>11724</v>
      </c>
      <c r="CL908" s="1699" t="s">
        <v>2639</v>
      </c>
      <c r="CM908" s="1699" t="s">
        <v>2983</v>
      </c>
      <c r="CN908" s="1699" t="s">
        <v>3152</v>
      </c>
      <c r="CO908" s="1699" t="s">
        <v>5285</v>
      </c>
      <c r="CP908" s="1699" t="s">
        <v>5664</v>
      </c>
    </row>
    <row r="909" spans="84:94" x14ac:dyDescent="0.2">
      <c r="CF909" s="1661" t="s">
        <v>10725</v>
      </c>
      <c r="CG909" s="1661" t="s">
        <v>11725</v>
      </c>
      <c r="CL909" s="1699" t="s">
        <v>2640</v>
      </c>
      <c r="CM909" s="1699" t="s">
        <v>2982</v>
      </c>
      <c r="CN909" s="1699" t="s">
        <v>3151</v>
      </c>
      <c r="CO909" s="1699" t="s">
        <v>5284</v>
      </c>
      <c r="CP909" s="1699" t="s">
        <v>5663</v>
      </c>
    </row>
    <row r="910" spans="84:94" x14ac:dyDescent="0.2">
      <c r="CF910" s="1661" t="s">
        <v>10726</v>
      </c>
      <c r="CG910" s="1661" t="s">
        <v>11726</v>
      </c>
      <c r="CL910" s="1699" t="s">
        <v>2641</v>
      </c>
      <c r="CM910" s="1699" t="s">
        <v>2981</v>
      </c>
      <c r="CN910" s="1699" t="s">
        <v>3150</v>
      </c>
      <c r="CO910" s="1699" t="s">
        <v>5283</v>
      </c>
      <c r="CP910" s="1699" t="s">
        <v>5662</v>
      </c>
    </row>
    <row r="911" spans="84:94" x14ac:dyDescent="0.2">
      <c r="CF911" s="1661" t="s">
        <v>10727</v>
      </c>
      <c r="CG911" s="1661" t="s">
        <v>11727</v>
      </c>
      <c r="CL911" s="1699" t="s">
        <v>2642</v>
      </c>
      <c r="CM911" s="1699" t="s">
        <v>2980</v>
      </c>
      <c r="CN911" s="1699" t="s">
        <v>3149</v>
      </c>
      <c r="CO911" s="1699" t="s">
        <v>5282</v>
      </c>
      <c r="CP911" s="1699" t="s">
        <v>5661</v>
      </c>
    </row>
    <row r="912" spans="84:94" x14ac:dyDescent="0.2">
      <c r="CF912" s="1661" t="s">
        <v>10728</v>
      </c>
      <c r="CG912" s="1661" t="s">
        <v>11728</v>
      </c>
      <c r="CL912" s="1699" t="s">
        <v>2643</v>
      </c>
      <c r="CM912" s="1699" t="s">
        <v>2979</v>
      </c>
      <c r="CN912" s="1699" t="s">
        <v>3148</v>
      </c>
      <c r="CO912" s="1699" t="s">
        <v>5281</v>
      </c>
      <c r="CP912" s="1699" t="s">
        <v>5660</v>
      </c>
    </row>
    <row r="913" spans="84:94" x14ac:dyDescent="0.2">
      <c r="CF913" s="1661" t="s">
        <v>10729</v>
      </c>
      <c r="CG913" s="1661" t="s">
        <v>11729</v>
      </c>
      <c r="CL913" s="1699" t="s">
        <v>2644</v>
      </c>
      <c r="CM913" s="1699" t="s">
        <v>2978</v>
      </c>
      <c r="CN913" s="1699" t="s">
        <v>3147</v>
      </c>
      <c r="CO913" s="1699" t="s">
        <v>5280</v>
      </c>
      <c r="CP913" s="1699" t="s">
        <v>5659</v>
      </c>
    </row>
    <row r="914" spans="84:94" x14ac:dyDescent="0.2">
      <c r="CF914" s="1661" t="s">
        <v>10730</v>
      </c>
      <c r="CG914" s="1661" t="s">
        <v>11730</v>
      </c>
      <c r="CL914" s="1699" t="s">
        <v>2645</v>
      </c>
      <c r="CM914" s="1699" t="s">
        <v>2977</v>
      </c>
      <c r="CN914" s="1699" t="s">
        <v>3146</v>
      </c>
      <c r="CO914" s="1699" t="s">
        <v>5279</v>
      </c>
      <c r="CP914" s="1699" t="s">
        <v>5658</v>
      </c>
    </row>
    <row r="915" spans="84:94" x14ac:dyDescent="0.2">
      <c r="CF915" s="1661" t="s">
        <v>10731</v>
      </c>
      <c r="CG915" s="1661" t="s">
        <v>11731</v>
      </c>
      <c r="CL915" s="1699" t="s">
        <v>2646</v>
      </c>
      <c r="CM915" s="1699" t="s">
        <v>4069</v>
      </c>
      <c r="CN915" s="1699" t="s">
        <v>3145</v>
      </c>
      <c r="CO915" s="1699" t="s">
        <v>5278</v>
      </c>
      <c r="CP915" s="1699" t="s">
        <v>5657</v>
      </c>
    </row>
    <row r="916" spans="84:94" x14ac:dyDescent="0.2">
      <c r="CF916" s="1661" t="s">
        <v>10732</v>
      </c>
      <c r="CG916" s="1661" t="s">
        <v>11732</v>
      </c>
      <c r="CL916" s="1699" t="s">
        <v>2647</v>
      </c>
      <c r="CM916" s="1699" t="s">
        <v>8009</v>
      </c>
      <c r="CN916" s="1699" t="s">
        <v>3144</v>
      </c>
      <c r="CO916" s="1699" t="s">
        <v>5277</v>
      </c>
      <c r="CP916" s="1699" t="s">
        <v>5656</v>
      </c>
    </row>
    <row r="917" spans="84:94" x14ac:dyDescent="0.2">
      <c r="CF917" s="1661" t="s">
        <v>10733</v>
      </c>
      <c r="CG917" s="1661" t="s">
        <v>11733</v>
      </c>
      <c r="CL917" s="1699" t="s">
        <v>2648</v>
      </c>
      <c r="CM917" s="1699" t="s">
        <v>7639</v>
      </c>
      <c r="CN917" s="1699" t="s">
        <v>3143</v>
      </c>
      <c r="CO917" s="1699" t="s">
        <v>5276</v>
      </c>
      <c r="CP917" s="1699" t="s">
        <v>5655</v>
      </c>
    </row>
    <row r="918" spans="84:94" x14ac:dyDescent="0.2">
      <c r="CF918" s="1661" t="s">
        <v>10734</v>
      </c>
      <c r="CG918" s="1661" t="s">
        <v>11734</v>
      </c>
      <c r="CL918" s="1699" t="s">
        <v>2649</v>
      </c>
      <c r="CM918" s="1699" t="s">
        <v>7638</v>
      </c>
      <c r="CN918" s="1699" t="s">
        <v>3142</v>
      </c>
      <c r="CO918" s="1699" t="s">
        <v>5275</v>
      </c>
      <c r="CP918" s="1699" t="s">
        <v>5654</v>
      </c>
    </row>
    <row r="919" spans="84:94" x14ac:dyDescent="0.2">
      <c r="CF919" s="1661" t="s">
        <v>10735</v>
      </c>
      <c r="CG919" s="1661" t="s">
        <v>11725</v>
      </c>
      <c r="CL919" s="1699" t="s">
        <v>2650</v>
      </c>
      <c r="CM919" s="1699" t="s">
        <v>7637</v>
      </c>
      <c r="CN919" s="1699" t="s">
        <v>3141</v>
      </c>
      <c r="CO919" s="1699" t="s">
        <v>5274</v>
      </c>
      <c r="CP919" s="1699" t="s">
        <v>5653</v>
      </c>
    </row>
    <row r="920" spans="84:94" x14ac:dyDescent="0.2">
      <c r="CF920" s="1661" t="s">
        <v>10736</v>
      </c>
      <c r="CG920" s="1661" t="s">
        <v>11726</v>
      </c>
      <c r="CL920" s="1699" t="s">
        <v>2651</v>
      </c>
      <c r="CM920" s="1699" t="s">
        <v>7636</v>
      </c>
      <c r="CN920" s="1699" t="s">
        <v>3140</v>
      </c>
      <c r="CO920" s="1699" t="s">
        <v>5273</v>
      </c>
      <c r="CP920" s="1699" t="s">
        <v>5652</v>
      </c>
    </row>
    <row r="921" spans="84:94" x14ac:dyDescent="0.2">
      <c r="CF921" s="1661" t="s">
        <v>10737</v>
      </c>
      <c r="CG921" s="1661" t="s">
        <v>11727</v>
      </c>
      <c r="CL921" s="1699" t="s">
        <v>2652</v>
      </c>
      <c r="CM921" s="1699" t="s">
        <v>7635</v>
      </c>
      <c r="CN921" s="1699" t="s">
        <v>3139</v>
      </c>
      <c r="CO921" s="1699" t="s">
        <v>5272</v>
      </c>
      <c r="CP921" s="1699" t="s">
        <v>5651</v>
      </c>
    </row>
    <row r="922" spans="84:94" x14ac:dyDescent="0.2">
      <c r="CF922" s="1661" t="s">
        <v>10738</v>
      </c>
      <c r="CG922" s="1661" t="s">
        <v>11735</v>
      </c>
      <c r="CL922" s="1699" t="s">
        <v>2653</v>
      </c>
      <c r="CM922" s="1699" t="s">
        <v>7634</v>
      </c>
      <c r="CN922" s="1699" t="s">
        <v>3138</v>
      </c>
      <c r="CO922" s="1699" t="s">
        <v>5271</v>
      </c>
      <c r="CP922" s="1699" t="s">
        <v>5650</v>
      </c>
    </row>
    <row r="923" spans="84:94" x14ac:dyDescent="0.2">
      <c r="CF923" s="1661" t="s">
        <v>10739</v>
      </c>
      <c r="CG923" s="1661" t="s">
        <v>11736</v>
      </c>
      <c r="CL923" s="1699" t="s">
        <v>2654</v>
      </c>
      <c r="CM923" s="1699" t="s">
        <v>7633</v>
      </c>
      <c r="CN923" s="1699" t="s">
        <v>3137</v>
      </c>
      <c r="CO923" s="1699" t="s">
        <v>5270</v>
      </c>
      <c r="CP923" s="1699" t="s">
        <v>5649</v>
      </c>
    </row>
    <row r="924" spans="84:94" x14ac:dyDescent="0.2">
      <c r="CF924" s="1661" t="s">
        <v>10740</v>
      </c>
      <c r="CG924" s="1661" t="s">
        <v>11737</v>
      </c>
      <c r="CL924" s="1699" t="s">
        <v>2655</v>
      </c>
      <c r="CM924" s="1699" t="s">
        <v>7632</v>
      </c>
      <c r="CN924" s="1699" t="s">
        <v>3136</v>
      </c>
      <c r="CO924" s="1699" t="s">
        <v>5269</v>
      </c>
      <c r="CP924" s="1699" t="s">
        <v>5648</v>
      </c>
    </row>
    <row r="925" spans="84:94" x14ac:dyDescent="0.2">
      <c r="CF925" s="1661" t="s">
        <v>10741</v>
      </c>
      <c r="CG925" s="1661" t="s">
        <v>11738</v>
      </c>
      <c r="CL925" s="1699" t="s">
        <v>2656</v>
      </c>
      <c r="CM925" s="1699" t="s">
        <v>7631</v>
      </c>
      <c r="CN925" s="1699" t="s">
        <v>3135</v>
      </c>
      <c r="CO925" s="1699" t="s">
        <v>5268</v>
      </c>
      <c r="CP925" s="1699" t="s">
        <v>5647</v>
      </c>
    </row>
    <row r="926" spans="84:94" x14ac:dyDescent="0.2">
      <c r="CF926" s="1661" t="s">
        <v>10742</v>
      </c>
      <c r="CG926" s="1661" t="s">
        <v>11739</v>
      </c>
      <c r="CL926" s="1699" t="s">
        <v>2657</v>
      </c>
      <c r="CM926" s="1699" t="s">
        <v>7630</v>
      </c>
      <c r="CN926" s="1699" t="s">
        <v>3134</v>
      </c>
      <c r="CO926" s="1699" t="s">
        <v>5267</v>
      </c>
      <c r="CP926" s="1699" t="s">
        <v>5646</v>
      </c>
    </row>
    <row r="927" spans="84:94" x14ac:dyDescent="0.2">
      <c r="CF927" s="1661" t="s">
        <v>10743</v>
      </c>
      <c r="CG927" s="1661" t="s">
        <v>11740</v>
      </c>
      <c r="CL927" s="1699" t="s">
        <v>2658</v>
      </c>
      <c r="CM927" s="1699" t="s">
        <v>7627</v>
      </c>
      <c r="CN927" s="1699" t="s">
        <v>3133</v>
      </c>
      <c r="CO927" s="1699" t="s">
        <v>5266</v>
      </c>
      <c r="CP927" s="1699" t="s">
        <v>5645</v>
      </c>
    </row>
    <row r="928" spans="84:94" x14ac:dyDescent="0.2">
      <c r="CF928" s="1661" t="s">
        <v>10744</v>
      </c>
      <c r="CG928" s="1661" t="s">
        <v>11741</v>
      </c>
      <c r="CL928" s="1699" t="s">
        <v>2659</v>
      </c>
      <c r="CM928" s="1699" t="s">
        <v>7626</v>
      </c>
      <c r="CN928" s="1699" t="s">
        <v>3132</v>
      </c>
      <c r="CO928" s="1699" t="s">
        <v>5265</v>
      </c>
      <c r="CP928" s="1699" t="s">
        <v>5644</v>
      </c>
    </row>
    <row r="929" spans="84:94" x14ac:dyDescent="0.2">
      <c r="CF929" s="1661" t="s">
        <v>10745</v>
      </c>
      <c r="CG929" s="1661" t="s">
        <v>11742</v>
      </c>
      <c r="CL929" s="1699" t="s">
        <v>2660</v>
      </c>
      <c r="CM929" s="1699" t="s">
        <v>7625</v>
      </c>
      <c r="CN929" s="1699" t="s">
        <v>3131</v>
      </c>
      <c r="CO929" s="1699" t="s">
        <v>5264</v>
      </c>
      <c r="CP929" s="1699" t="s">
        <v>5643</v>
      </c>
    </row>
    <row r="930" spans="84:94" x14ac:dyDescent="0.2">
      <c r="CF930" s="1661" t="s">
        <v>10746</v>
      </c>
      <c r="CG930" s="1661" t="s">
        <v>11743</v>
      </c>
      <c r="CL930" s="1699" t="s">
        <v>2661</v>
      </c>
      <c r="CM930" s="1699" t="s">
        <v>7551</v>
      </c>
      <c r="CN930" s="1699" t="s">
        <v>3130</v>
      </c>
      <c r="CO930" s="1699" t="s">
        <v>5263</v>
      </c>
      <c r="CP930" s="1699" t="s">
        <v>5642</v>
      </c>
    </row>
    <row r="931" spans="84:94" x14ac:dyDescent="0.2">
      <c r="CF931" s="1661" t="s">
        <v>10747</v>
      </c>
      <c r="CG931" s="1661" t="s">
        <v>11744</v>
      </c>
      <c r="CL931" s="1699" t="s">
        <v>2662</v>
      </c>
      <c r="CM931" s="1699" t="s">
        <v>7437</v>
      </c>
      <c r="CN931" s="1699" t="s">
        <v>3129</v>
      </c>
      <c r="CO931" s="1699" t="s">
        <v>5262</v>
      </c>
      <c r="CP931" s="1699" t="s">
        <v>5641</v>
      </c>
    </row>
    <row r="932" spans="84:94" x14ac:dyDescent="0.2">
      <c r="CF932" s="1661" t="s">
        <v>10748</v>
      </c>
      <c r="CG932" s="1661" t="s">
        <v>11745</v>
      </c>
      <c r="CL932" s="1699" t="s">
        <v>2663</v>
      </c>
      <c r="CM932" s="1699" t="s">
        <v>7436</v>
      </c>
      <c r="CN932" s="1699" t="s">
        <v>3128</v>
      </c>
      <c r="CO932" s="1699" t="s">
        <v>5261</v>
      </c>
      <c r="CP932" s="1699" t="s">
        <v>5640</v>
      </c>
    </row>
    <row r="933" spans="84:94" x14ac:dyDescent="0.2">
      <c r="CF933" s="1661" t="s">
        <v>10749</v>
      </c>
      <c r="CG933" s="1661" t="s">
        <v>11746</v>
      </c>
      <c r="CL933" s="1699" t="s">
        <v>2664</v>
      </c>
      <c r="CM933" s="1699" t="s">
        <v>7435</v>
      </c>
      <c r="CN933" s="1699" t="s">
        <v>3127</v>
      </c>
      <c r="CO933" s="1699" t="s">
        <v>5260</v>
      </c>
      <c r="CP933" s="1699" t="s">
        <v>5639</v>
      </c>
    </row>
    <row r="934" spans="84:94" x14ac:dyDescent="0.2">
      <c r="CF934" s="1661" t="s">
        <v>10750</v>
      </c>
      <c r="CG934" s="1661" t="s">
        <v>11747</v>
      </c>
      <c r="CL934" s="1699" t="s">
        <v>2665</v>
      </c>
      <c r="CM934" s="1699" t="s">
        <v>7434</v>
      </c>
      <c r="CN934" s="1699" t="s">
        <v>3126</v>
      </c>
      <c r="CO934" s="1699" t="s">
        <v>5259</v>
      </c>
      <c r="CP934" s="1699" t="s">
        <v>5638</v>
      </c>
    </row>
    <row r="935" spans="84:94" x14ac:dyDescent="0.2">
      <c r="CF935" s="1661" t="s">
        <v>10751</v>
      </c>
      <c r="CG935" s="1661" t="s">
        <v>11748</v>
      </c>
      <c r="CL935" s="1699" t="s">
        <v>2666</v>
      </c>
      <c r="CM935" s="1699" t="s">
        <v>7433</v>
      </c>
      <c r="CN935" s="1699" t="s">
        <v>3125</v>
      </c>
      <c r="CO935" s="1699" t="s">
        <v>5258</v>
      </c>
      <c r="CP935" s="1699" t="s">
        <v>5637</v>
      </c>
    </row>
    <row r="936" spans="84:94" x14ac:dyDescent="0.2">
      <c r="CF936" s="1661" t="s">
        <v>10752</v>
      </c>
      <c r="CG936" s="1661" t="s">
        <v>11749</v>
      </c>
      <c r="CL936" s="1699" t="s">
        <v>2667</v>
      </c>
      <c r="CM936" s="1699" t="s">
        <v>7432</v>
      </c>
      <c r="CN936" s="1699" t="s">
        <v>3124</v>
      </c>
      <c r="CO936" s="1699" t="s">
        <v>5257</v>
      </c>
      <c r="CP936" s="1699" t="s">
        <v>5636</v>
      </c>
    </row>
    <row r="937" spans="84:94" x14ac:dyDescent="0.2">
      <c r="CF937" s="1661" t="s">
        <v>10753</v>
      </c>
      <c r="CG937" s="1661" t="s">
        <v>11750</v>
      </c>
      <c r="CL937" s="1699" t="s">
        <v>2668</v>
      </c>
      <c r="CM937" s="1699" t="s">
        <v>7431</v>
      </c>
      <c r="CN937" s="1699" t="s">
        <v>3123</v>
      </c>
      <c r="CO937" s="1699" t="s">
        <v>5256</v>
      </c>
      <c r="CP937" s="1699" t="s">
        <v>7623</v>
      </c>
    </row>
    <row r="938" spans="84:94" x14ac:dyDescent="0.2">
      <c r="CF938" s="1661" t="s">
        <v>10754</v>
      </c>
      <c r="CG938" s="1661" t="s">
        <v>11751</v>
      </c>
      <c r="CL938" s="1699" t="s">
        <v>2669</v>
      </c>
      <c r="CM938" s="1699" t="s">
        <v>7430</v>
      </c>
      <c r="CN938" s="1699" t="s">
        <v>3122</v>
      </c>
      <c r="CO938" s="1699" t="s">
        <v>5255</v>
      </c>
      <c r="CP938" s="1699" t="s">
        <v>5635</v>
      </c>
    </row>
    <row r="939" spans="84:94" x14ac:dyDescent="0.2">
      <c r="CF939" s="1661" t="s">
        <v>10755</v>
      </c>
      <c r="CG939" s="1661" t="s">
        <v>11752</v>
      </c>
      <c r="CL939" s="1699" t="s">
        <v>2670</v>
      </c>
      <c r="CM939" s="1699" t="s">
        <v>7429</v>
      </c>
      <c r="CN939" s="1699" t="s">
        <v>3121</v>
      </c>
      <c r="CO939" s="1699" t="s">
        <v>5254</v>
      </c>
      <c r="CP939" s="1699" t="s">
        <v>5634</v>
      </c>
    </row>
    <row r="940" spans="84:94" x14ac:dyDescent="0.2">
      <c r="CF940" s="1661" t="s">
        <v>10756</v>
      </c>
      <c r="CG940" s="1661" t="s">
        <v>11753</v>
      </c>
      <c r="CL940" s="1699" t="s">
        <v>2671</v>
      </c>
      <c r="CM940" s="1699" t="s">
        <v>7428</v>
      </c>
      <c r="CN940" s="1699" t="s">
        <v>3120</v>
      </c>
      <c r="CO940" s="1699" t="s">
        <v>5253</v>
      </c>
      <c r="CP940" s="1699" t="s">
        <v>5633</v>
      </c>
    </row>
    <row r="941" spans="84:94" x14ac:dyDescent="0.2">
      <c r="CF941" s="1661" t="s">
        <v>10757</v>
      </c>
      <c r="CG941" s="1661" t="s">
        <v>11754</v>
      </c>
      <c r="CL941" s="1699" t="s">
        <v>2672</v>
      </c>
      <c r="CM941" s="1699" t="s">
        <v>7427</v>
      </c>
      <c r="CN941" s="1699" t="s">
        <v>3119</v>
      </c>
      <c r="CO941" s="1699" t="s">
        <v>5252</v>
      </c>
      <c r="CP941" s="1699" t="s">
        <v>5632</v>
      </c>
    </row>
    <row r="942" spans="84:94" x14ac:dyDescent="0.2">
      <c r="CF942" s="1661" t="s">
        <v>10758</v>
      </c>
      <c r="CG942" s="1661" t="s">
        <v>11755</v>
      </c>
      <c r="CL942" s="1699" t="s">
        <v>2673</v>
      </c>
      <c r="CM942" s="1699" t="s">
        <v>7426</v>
      </c>
      <c r="CN942" s="1699" t="s">
        <v>3118</v>
      </c>
      <c r="CO942" s="1699" t="s">
        <v>5251</v>
      </c>
      <c r="CP942" s="1699" t="s">
        <v>5631</v>
      </c>
    </row>
    <row r="943" spans="84:94" x14ac:dyDescent="0.2">
      <c r="CF943" s="1661" t="s">
        <v>10759</v>
      </c>
      <c r="CG943" s="1661" t="s">
        <v>11756</v>
      </c>
      <c r="CL943" s="1699" t="s">
        <v>2674</v>
      </c>
      <c r="CM943" s="1699" t="s">
        <v>7425</v>
      </c>
      <c r="CN943" s="1699" t="s">
        <v>3117</v>
      </c>
      <c r="CO943" s="1699" t="s">
        <v>5250</v>
      </c>
      <c r="CP943" s="1699" t="s">
        <v>5630</v>
      </c>
    </row>
    <row r="944" spans="84:94" x14ac:dyDescent="0.2">
      <c r="CF944" s="1661" t="s">
        <v>10760</v>
      </c>
      <c r="CG944" s="1661" t="s">
        <v>11757</v>
      </c>
      <c r="CL944" s="1699" t="s">
        <v>2675</v>
      </c>
      <c r="CM944" s="1699" t="s">
        <v>7424</v>
      </c>
      <c r="CN944" s="1699" t="s">
        <v>3116</v>
      </c>
      <c r="CO944" s="1699" t="s">
        <v>5249</v>
      </c>
      <c r="CP944" s="1699" t="s">
        <v>5629</v>
      </c>
    </row>
    <row r="945" spans="84:94" x14ac:dyDescent="0.2">
      <c r="CF945" s="1661" t="s">
        <v>10761</v>
      </c>
      <c r="CG945" s="1661" t="s">
        <v>11758</v>
      </c>
      <c r="CL945" s="1699" t="s">
        <v>2676</v>
      </c>
      <c r="CM945" s="1699" t="s">
        <v>7423</v>
      </c>
      <c r="CN945" s="1699" t="s">
        <v>3115</v>
      </c>
      <c r="CO945" s="1699" t="s">
        <v>5248</v>
      </c>
      <c r="CP945" s="1699" t="s">
        <v>5628</v>
      </c>
    </row>
    <row r="946" spans="84:94" x14ac:dyDescent="0.2">
      <c r="CF946" s="1661" t="s">
        <v>10762</v>
      </c>
      <c r="CG946" s="1661" t="s">
        <v>11759</v>
      </c>
      <c r="CL946" s="1699" t="s">
        <v>2677</v>
      </c>
      <c r="CM946" s="1699" t="s">
        <v>7422</v>
      </c>
      <c r="CN946" s="1699" t="s">
        <v>3114</v>
      </c>
      <c r="CO946" s="1699" t="s">
        <v>5247</v>
      </c>
      <c r="CP946" s="1699" t="s">
        <v>5627</v>
      </c>
    </row>
    <row r="947" spans="84:94" x14ac:dyDescent="0.2">
      <c r="CF947" s="1661" t="s">
        <v>10763</v>
      </c>
      <c r="CG947" s="1661" t="s">
        <v>11760</v>
      </c>
      <c r="CL947" s="1699" t="s">
        <v>2678</v>
      </c>
      <c r="CM947" s="1699" t="s">
        <v>7389</v>
      </c>
      <c r="CN947" s="1699" t="s">
        <v>3113</v>
      </c>
      <c r="CO947" s="1699" t="s">
        <v>5246</v>
      </c>
      <c r="CP947" s="1699" t="s">
        <v>5626</v>
      </c>
    </row>
    <row r="948" spans="84:94" x14ac:dyDescent="0.2">
      <c r="CF948" s="1661" t="s">
        <v>10764</v>
      </c>
      <c r="CG948" s="1661" t="s">
        <v>11761</v>
      </c>
      <c r="CL948" s="1699" t="s">
        <v>2679</v>
      </c>
      <c r="CM948" s="1699" t="s">
        <v>7388</v>
      </c>
      <c r="CN948" s="1699" t="s">
        <v>3112</v>
      </c>
      <c r="CO948" s="1699" t="s">
        <v>5245</v>
      </c>
      <c r="CP948" s="1699" t="s">
        <v>5625</v>
      </c>
    </row>
    <row r="949" spans="84:94" x14ac:dyDescent="0.2">
      <c r="CF949" s="1661" t="s">
        <v>10765</v>
      </c>
      <c r="CG949" s="1661" t="s">
        <v>11762</v>
      </c>
      <c r="CL949" s="1699" t="s">
        <v>2680</v>
      </c>
      <c r="CM949" s="1699" t="s">
        <v>7250</v>
      </c>
      <c r="CN949" s="1699" t="s">
        <v>3111</v>
      </c>
      <c r="CO949" s="1699" t="s">
        <v>5244</v>
      </c>
      <c r="CP949" s="1699" t="s">
        <v>5624</v>
      </c>
    </row>
    <row r="950" spans="84:94" x14ac:dyDescent="0.2">
      <c r="CF950" s="1661" t="s">
        <v>10766</v>
      </c>
      <c r="CG950" s="1661" t="s">
        <v>11763</v>
      </c>
      <c r="CL950" s="1699" t="s">
        <v>2681</v>
      </c>
      <c r="CM950" s="1699" t="s">
        <v>7249</v>
      </c>
      <c r="CN950" s="1699" t="s">
        <v>3110</v>
      </c>
      <c r="CO950" s="1699" t="s">
        <v>5243</v>
      </c>
      <c r="CP950" s="1699" t="s">
        <v>5623</v>
      </c>
    </row>
    <row r="951" spans="84:94" x14ac:dyDescent="0.2">
      <c r="CF951" s="1661" t="s">
        <v>10767</v>
      </c>
      <c r="CG951" s="1661" t="s">
        <v>11764</v>
      </c>
      <c r="CL951" s="1699" t="s">
        <v>2682</v>
      </c>
      <c r="CM951" s="1699" t="s">
        <v>7248</v>
      </c>
      <c r="CN951" s="1699" t="s">
        <v>3109</v>
      </c>
      <c r="CO951" s="1699" t="s">
        <v>5242</v>
      </c>
      <c r="CP951" s="1699" t="s">
        <v>5622</v>
      </c>
    </row>
    <row r="952" spans="84:94" x14ac:dyDescent="0.2">
      <c r="CF952" s="1661" t="s">
        <v>10768</v>
      </c>
      <c r="CG952" s="1661" t="s">
        <v>11765</v>
      </c>
      <c r="CL952" s="1699" t="s">
        <v>2683</v>
      </c>
      <c r="CM952" s="1699" t="s">
        <v>6797</v>
      </c>
      <c r="CN952" s="1699" t="s">
        <v>3108</v>
      </c>
      <c r="CO952" s="1699" t="s">
        <v>5241</v>
      </c>
      <c r="CP952" s="1699" t="s">
        <v>5621</v>
      </c>
    </row>
    <row r="953" spans="84:94" x14ac:dyDescent="0.2">
      <c r="CF953" s="1661" t="s">
        <v>10769</v>
      </c>
      <c r="CG953" s="1661" t="s">
        <v>11766</v>
      </c>
      <c r="CL953" s="1699" t="s">
        <v>2684</v>
      </c>
      <c r="CM953" s="1699" t="s">
        <v>6796</v>
      </c>
      <c r="CN953" s="1699" t="s">
        <v>3107</v>
      </c>
      <c r="CO953" s="1699" t="s">
        <v>5240</v>
      </c>
      <c r="CP953" s="1699" t="s">
        <v>6785</v>
      </c>
    </row>
    <row r="954" spans="84:94" x14ac:dyDescent="0.2">
      <c r="CF954" s="1661" t="s">
        <v>10770</v>
      </c>
      <c r="CG954" s="1661" t="s">
        <v>11767</v>
      </c>
      <c r="CL954" s="1699" t="s">
        <v>2685</v>
      </c>
      <c r="CM954" s="1699" t="s">
        <v>6795</v>
      </c>
      <c r="CN954" s="1699" t="s">
        <v>3106</v>
      </c>
      <c r="CO954" s="1699" t="s">
        <v>5239</v>
      </c>
      <c r="CP954" s="1699" t="s">
        <v>5620</v>
      </c>
    </row>
    <row r="955" spans="84:94" x14ac:dyDescent="0.2">
      <c r="CF955" s="1661" t="s">
        <v>10771</v>
      </c>
      <c r="CG955" s="1661" t="s">
        <v>11768</v>
      </c>
      <c r="CL955" s="1699" t="s">
        <v>2686</v>
      </c>
      <c r="CM955" s="1699" t="s">
        <v>6794</v>
      </c>
      <c r="CN955" s="1699" t="s">
        <v>3105</v>
      </c>
      <c r="CO955" s="1699" t="s">
        <v>5238</v>
      </c>
      <c r="CP955" s="1699" t="s">
        <v>5619</v>
      </c>
    </row>
    <row r="956" spans="84:94" x14ac:dyDescent="0.2">
      <c r="CF956" s="1661" t="s">
        <v>10772</v>
      </c>
      <c r="CG956" s="1661" t="s">
        <v>11769</v>
      </c>
      <c r="CL956" s="1699" t="s">
        <v>2687</v>
      </c>
      <c r="CM956" s="1699" t="s">
        <v>6793</v>
      </c>
      <c r="CN956" s="1699" t="s">
        <v>3104</v>
      </c>
      <c r="CO956" s="1699" t="s">
        <v>5237</v>
      </c>
      <c r="CP956" s="1699" t="s">
        <v>5618</v>
      </c>
    </row>
    <row r="957" spans="84:94" x14ac:dyDescent="0.2">
      <c r="CF957" s="1661" t="s">
        <v>10773</v>
      </c>
      <c r="CG957" s="1661" t="s">
        <v>11770</v>
      </c>
      <c r="CL957" s="1699" t="s">
        <v>2688</v>
      </c>
      <c r="CM957" s="1699" t="s">
        <v>6792</v>
      </c>
      <c r="CN957" s="1699" t="s">
        <v>3103</v>
      </c>
      <c r="CO957" s="1699" t="s">
        <v>5236</v>
      </c>
      <c r="CP957" s="1699" t="s">
        <v>5617</v>
      </c>
    </row>
    <row r="958" spans="84:94" x14ac:dyDescent="0.2">
      <c r="CF958" s="1661" t="s">
        <v>10774</v>
      </c>
      <c r="CG958" s="1661" t="s">
        <v>11771</v>
      </c>
      <c r="CL958" s="1699" t="s">
        <v>2689</v>
      </c>
      <c r="CM958" s="1699" t="s">
        <v>6627</v>
      </c>
      <c r="CN958" s="1699" t="s">
        <v>3102</v>
      </c>
      <c r="CO958" s="1699" t="s">
        <v>5235</v>
      </c>
      <c r="CP958" s="1699" t="s">
        <v>5616</v>
      </c>
    </row>
    <row r="959" spans="84:94" x14ac:dyDescent="0.2">
      <c r="CF959" s="1661" t="s">
        <v>10775</v>
      </c>
      <c r="CG959" s="1661" t="s">
        <v>11772</v>
      </c>
      <c r="CL959" s="1699" t="s">
        <v>2690</v>
      </c>
      <c r="CM959" s="1699" t="s">
        <v>6626</v>
      </c>
      <c r="CN959" s="1699" t="s">
        <v>3101</v>
      </c>
      <c r="CO959" s="1699" t="s">
        <v>5234</v>
      </c>
      <c r="CP959" s="1699" t="s">
        <v>5615</v>
      </c>
    </row>
    <row r="960" spans="84:94" x14ac:dyDescent="0.2">
      <c r="CF960" s="1661" t="s">
        <v>10776</v>
      </c>
      <c r="CG960" s="1661" t="s">
        <v>11773</v>
      </c>
      <c r="CL960" s="1699" t="s">
        <v>2691</v>
      </c>
      <c r="CM960" s="1699" t="s">
        <v>6625</v>
      </c>
      <c r="CN960" s="1699" t="s">
        <v>3100</v>
      </c>
      <c r="CO960" s="1699" t="s">
        <v>5233</v>
      </c>
      <c r="CP960" s="1699" t="s">
        <v>5614</v>
      </c>
    </row>
    <row r="961" spans="84:94" x14ac:dyDescent="0.2">
      <c r="CF961" s="1661" t="s">
        <v>10777</v>
      </c>
      <c r="CG961" s="1661" t="s">
        <v>11774</v>
      </c>
      <c r="CL961" s="1699" t="s">
        <v>2692</v>
      </c>
      <c r="CM961" s="1699" t="s">
        <v>6624</v>
      </c>
      <c r="CN961" s="1699" t="s">
        <v>3099</v>
      </c>
      <c r="CO961" s="1699" t="s">
        <v>5232</v>
      </c>
      <c r="CP961" s="1699" t="s">
        <v>5613</v>
      </c>
    </row>
    <row r="962" spans="84:94" x14ac:dyDescent="0.2">
      <c r="CF962" s="1661" t="s">
        <v>10778</v>
      </c>
      <c r="CG962" s="1661" t="s">
        <v>11775</v>
      </c>
      <c r="CL962" s="1699" t="s">
        <v>2693</v>
      </c>
      <c r="CM962" s="1699" t="s">
        <v>3054</v>
      </c>
      <c r="CN962" s="1699" t="s">
        <v>3098</v>
      </c>
      <c r="CO962" s="1699" t="s">
        <v>5231</v>
      </c>
      <c r="CP962" s="1699" t="s">
        <v>5612</v>
      </c>
    </row>
    <row r="963" spans="84:94" x14ac:dyDescent="0.2">
      <c r="CF963" s="1661" t="s">
        <v>10779</v>
      </c>
      <c r="CG963" s="1661" t="s">
        <v>11776</v>
      </c>
      <c r="CL963" s="1699" t="s">
        <v>2694</v>
      </c>
      <c r="CM963" s="1699" t="s">
        <v>3053</v>
      </c>
      <c r="CN963" s="1699" t="s">
        <v>3097</v>
      </c>
      <c r="CO963" s="1699" t="s">
        <v>5230</v>
      </c>
      <c r="CP963" s="1699" t="s">
        <v>5611</v>
      </c>
    </row>
    <row r="964" spans="84:94" x14ac:dyDescent="0.2">
      <c r="CF964" s="1661" t="s">
        <v>10780</v>
      </c>
      <c r="CG964" s="1661" t="s">
        <v>11777</v>
      </c>
      <c r="CL964" s="1699" t="s">
        <v>2695</v>
      </c>
      <c r="CM964" s="1699" t="s">
        <v>3052</v>
      </c>
      <c r="CN964" s="1699" t="s">
        <v>3096</v>
      </c>
      <c r="CO964" s="1699" t="s">
        <v>5229</v>
      </c>
      <c r="CP964" s="1699" t="s">
        <v>5610</v>
      </c>
    </row>
    <row r="965" spans="84:94" x14ac:dyDescent="0.2">
      <c r="CF965" s="1661" t="s">
        <v>10781</v>
      </c>
      <c r="CG965" s="1661" t="s">
        <v>11778</v>
      </c>
      <c r="CL965" s="1699" t="s">
        <v>2696</v>
      </c>
      <c r="CM965" s="1699" t="s">
        <v>3051</v>
      </c>
      <c r="CN965" s="1699" t="s">
        <v>3095</v>
      </c>
      <c r="CO965" s="1699" t="s">
        <v>5228</v>
      </c>
      <c r="CP965" s="1699" t="s">
        <v>5609</v>
      </c>
    </row>
    <row r="966" spans="84:94" x14ac:dyDescent="0.2">
      <c r="CF966" s="1661" t="s">
        <v>10782</v>
      </c>
      <c r="CG966" s="1661" t="s">
        <v>11779</v>
      </c>
      <c r="CL966" s="1699" t="s">
        <v>2697</v>
      </c>
      <c r="CM966" s="1699" t="s">
        <v>3050</v>
      </c>
      <c r="CN966" s="1699" t="s">
        <v>3094</v>
      </c>
      <c r="CO966" s="1699" t="s">
        <v>5227</v>
      </c>
      <c r="CP966" s="1699" t="s">
        <v>5608</v>
      </c>
    </row>
    <row r="967" spans="84:94" x14ac:dyDescent="0.2">
      <c r="CF967" s="1661" t="s">
        <v>10783</v>
      </c>
      <c r="CG967" s="1661" t="s">
        <v>11780</v>
      </c>
      <c r="CL967" s="1699" t="s">
        <v>2698</v>
      </c>
      <c r="CM967" s="1699" t="s">
        <v>3049</v>
      </c>
      <c r="CN967" s="1699" t="s">
        <v>3093</v>
      </c>
      <c r="CO967" s="1699" t="s">
        <v>5226</v>
      </c>
      <c r="CP967" s="1699" t="s">
        <v>5607</v>
      </c>
    </row>
    <row r="968" spans="84:94" x14ac:dyDescent="0.2">
      <c r="CF968" s="1661" t="s">
        <v>10784</v>
      </c>
      <c r="CG968" s="1661" t="s">
        <v>11781</v>
      </c>
      <c r="CL968" s="1699" t="s">
        <v>2699</v>
      </c>
      <c r="CM968" s="1699" t="s">
        <v>3048</v>
      </c>
      <c r="CN968" s="1699" t="s">
        <v>3092</v>
      </c>
      <c r="CO968" s="1699" t="s">
        <v>5225</v>
      </c>
      <c r="CP968" s="1699" t="s">
        <v>5606</v>
      </c>
    </row>
    <row r="969" spans="84:94" x14ac:dyDescent="0.2">
      <c r="CF969" s="1661" t="s">
        <v>10785</v>
      </c>
      <c r="CG969" s="1661" t="s">
        <v>11782</v>
      </c>
      <c r="CL969" s="1699" t="s">
        <v>2700</v>
      </c>
      <c r="CM969" s="1699" t="s">
        <v>3047</v>
      </c>
      <c r="CN969" s="1699" t="s">
        <v>3091</v>
      </c>
      <c r="CO969" s="1699" t="s">
        <v>5224</v>
      </c>
      <c r="CP969" s="1699" t="s">
        <v>5605</v>
      </c>
    </row>
    <row r="970" spans="84:94" x14ac:dyDescent="0.2">
      <c r="CF970" s="1661" t="s">
        <v>10786</v>
      </c>
      <c r="CG970" s="1661" t="s">
        <v>11783</v>
      </c>
      <c r="CL970" s="1699" t="s">
        <v>2701</v>
      </c>
      <c r="CM970" s="1699" t="s">
        <v>3046</v>
      </c>
      <c r="CN970" s="1699" t="s">
        <v>3090</v>
      </c>
      <c r="CO970" s="1699" t="s">
        <v>5223</v>
      </c>
      <c r="CP970" s="1699" t="s">
        <v>5604</v>
      </c>
    </row>
    <row r="971" spans="84:94" x14ac:dyDescent="0.2">
      <c r="CF971" s="1661" t="s">
        <v>10787</v>
      </c>
      <c r="CG971" s="1661" t="s">
        <v>11784</v>
      </c>
      <c r="CL971" s="1699" t="s">
        <v>2702</v>
      </c>
      <c r="CM971" s="1699" t="s">
        <v>3045</v>
      </c>
      <c r="CN971" s="1699" t="s">
        <v>3089</v>
      </c>
      <c r="CO971" s="1699" t="s">
        <v>5222</v>
      </c>
      <c r="CP971" s="1699" t="s">
        <v>5603</v>
      </c>
    </row>
    <row r="972" spans="84:94" x14ac:dyDescent="0.2">
      <c r="CF972" s="1661" t="s">
        <v>10788</v>
      </c>
      <c r="CG972" s="1661" t="s">
        <v>11785</v>
      </c>
      <c r="CL972" s="1699" t="s">
        <v>2703</v>
      </c>
      <c r="CM972" s="1699" t="s">
        <v>3044</v>
      </c>
      <c r="CN972" s="1699" t="s">
        <v>3088</v>
      </c>
      <c r="CO972" s="1699" t="s">
        <v>5221</v>
      </c>
      <c r="CP972" s="1699" t="s">
        <v>5602</v>
      </c>
    </row>
    <row r="973" spans="84:94" x14ac:dyDescent="0.2">
      <c r="CF973" s="1661" t="s">
        <v>10789</v>
      </c>
      <c r="CG973" s="1661" t="s">
        <v>11786</v>
      </c>
      <c r="CL973" s="1699" t="s">
        <v>2704</v>
      </c>
      <c r="CM973" s="1699" t="s">
        <v>3043</v>
      </c>
      <c r="CN973" s="1699" t="s">
        <v>3087</v>
      </c>
      <c r="CO973" s="1699" t="s">
        <v>5220</v>
      </c>
      <c r="CP973" s="1699" t="s">
        <v>6605</v>
      </c>
    </row>
    <row r="974" spans="84:94" x14ac:dyDescent="0.2">
      <c r="CF974" s="1661" t="s">
        <v>10790</v>
      </c>
      <c r="CG974" s="1661" t="s">
        <v>11787</v>
      </c>
      <c r="CL974" s="1699" t="s">
        <v>2705</v>
      </c>
      <c r="CM974" s="1699" t="s">
        <v>3042</v>
      </c>
      <c r="CN974" s="1699" t="s">
        <v>3086</v>
      </c>
      <c r="CO974" s="1699" t="s">
        <v>5219</v>
      </c>
      <c r="CP974" s="1699" t="s">
        <v>5601</v>
      </c>
    </row>
    <row r="975" spans="84:94" x14ac:dyDescent="0.2">
      <c r="CF975" s="1661" t="s">
        <v>10791</v>
      </c>
      <c r="CG975" s="1661" t="s">
        <v>11788</v>
      </c>
      <c r="CL975" s="1699" t="s">
        <v>2706</v>
      </c>
      <c r="CM975" s="1699" t="s">
        <v>3041</v>
      </c>
      <c r="CN975" s="1699" t="s">
        <v>3085</v>
      </c>
      <c r="CO975" s="1699" t="s">
        <v>5218</v>
      </c>
      <c r="CP975" s="1699" t="s">
        <v>5600</v>
      </c>
    </row>
    <row r="976" spans="84:94" x14ac:dyDescent="0.2">
      <c r="CF976" s="1661" t="s">
        <v>10792</v>
      </c>
      <c r="CG976" s="1661" t="s">
        <v>11789</v>
      </c>
      <c r="CL976" s="1699" t="s">
        <v>2707</v>
      </c>
      <c r="CM976" s="1699" t="s">
        <v>3040</v>
      </c>
      <c r="CN976" s="1699" t="s">
        <v>3084</v>
      </c>
      <c r="CO976" s="1699" t="s">
        <v>5217</v>
      </c>
      <c r="CP976" s="1699" t="s">
        <v>5599</v>
      </c>
    </row>
    <row r="977" spans="84:94" x14ac:dyDescent="0.2">
      <c r="CF977" s="1661" t="s">
        <v>10793</v>
      </c>
      <c r="CG977" s="1661" t="s">
        <v>11790</v>
      </c>
      <c r="CL977" s="1699" t="s">
        <v>2708</v>
      </c>
      <c r="CM977" s="1699" t="s">
        <v>3039</v>
      </c>
      <c r="CN977" s="1699" t="s">
        <v>3083</v>
      </c>
      <c r="CO977" s="1699" t="s">
        <v>5216</v>
      </c>
      <c r="CP977" s="1699" t="s">
        <v>5598</v>
      </c>
    </row>
    <row r="978" spans="84:94" x14ac:dyDescent="0.2">
      <c r="CF978" s="1661" t="s">
        <v>10794</v>
      </c>
      <c r="CG978" s="1661" t="s">
        <v>11791</v>
      </c>
      <c r="CL978" s="1699" t="s">
        <v>2709</v>
      </c>
      <c r="CM978" s="1699" t="s">
        <v>3038</v>
      </c>
      <c r="CN978" s="1699" t="s">
        <v>3082</v>
      </c>
      <c r="CO978" s="1699" t="s">
        <v>5215</v>
      </c>
      <c r="CP978" s="1699" t="s">
        <v>5597</v>
      </c>
    </row>
    <row r="979" spans="84:94" x14ac:dyDescent="0.2">
      <c r="CF979" s="1661" t="s">
        <v>10795</v>
      </c>
      <c r="CG979" s="1661" t="s">
        <v>11792</v>
      </c>
      <c r="CL979" s="1699" t="s">
        <v>2710</v>
      </c>
      <c r="CM979" s="1699" t="s">
        <v>3037</v>
      </c>
      <c r="CN979" s="1699" t="s">
        <v>3081</v>
      </c>
      <c r="CO979" s="1699" t="s">
        <v>5214</v>
      </c>
      <c r="CP979" s="1699" t="s">
        <v>5596</v>
      </c>
    </row>
    <row r="980" spans="84:94" x14ac:dyDescent="0.2">
      <c r="CF980" s="1661" t="s">
        <v>10796</v>
      </c>
      <c r="CG980" s="1661" t="s">
        <v>11793</v>
      </c>
      <c r="CL980" s="1699" t="s">
        <v>2711</v>
      </c>
      <c r="CM980" s="1699" t="s">
        <v>3036</v>
      </c>
      <c r="CN980" s="1699" t="s">
        <v>3080</v>
      </c>
      <c r="CO980" s="1699" t="s">
        <v>5213</v>
      </c>
      <c r="CP980" s="1699" t="s">
        <v>5595</v>
      </c>
    </row>
    <row r="981" spans="84:94" x14ac:dyDescent="0.2">
      <c r="CF981" s="1661" t="s">
        <v>10797</v>
      </c>
      <c r="CG981" s="1661" t="s">
        <v>11794</v>
      </c>
      <c r="CL981" s="1699" t="s">
        <v>2712</v>
      </c>
      <c r="CM981" s="1699" t="s">
        <v>3035</v>
      </c>
      <c r="CN981" s="1699" t="s">
        <v>3079</v>
      </c>
      <c r="CO981" s="1699" t="s">
        <v>5212</v>
      </c>
      <c r="CP981" s="1699" t="s">
        <v>5594</v>
      </c>
    </row>
    <row r="982" spans="84:94" x14ac:dyDescent="0.2">
      <c r="CF982" s="1661" t="s">
        <v>10798</v>
      </c>
      <c r="CG982" s="1661" t="s">
        <v>11795</v>
      </c>
      <c r="CL982" s="1699" t="s">
        <v>2713</v>
      </c>
      <c r="CM982" s="1699" t="s">
        <v>3034</v>
      </c>
      <c r="CN982" s="1699" t="s">
        <v>3078</v>
      </c>
      <c r="CO982" s="1699" t="s">
        <v>5211</v>
      </c>
      <c r="CP982" s="1699" t="s">
        <v>5593</v>
      </c>
    </row>
    <row r="983" spans="84:94" x14ac:dyDescent="0.2">
      <c r="CF983" s="1661" t="s">
        <v>10799</v>
      </c>
      <c r="CG983" s="1661" t="s">
        <v>11796</v>
      </c>
      <c r="CL983" s="1699" t="s">
        <v>2714</v>
      </c>
      <c r="CM983" s="1699" t="s">
        <v>3033</v>
      </c>
      <c r="CN983" s="1699" t="s">
        <v>3077</v>
      </c>
      <c r="CO983" s="1699" t="s">
        <v>5210</v>
      </c>
      <c r="CP983" s="1699" t="s">
        <v>5592</v>
      </c>
    </row>
    <row r="984" spans="84:94" x14ac:dyDescent="0.2">
      <c r="CF984" s="1661" t="s">
        <v>10800</v>
      </c>
      <c r="CG984" s="1661" t="s">
        <v>11797</v>
      </c>
      <c r="CL984" s="1699" t="s">
        <v>2715</v>
      </c>
      <c r="CM984" s="1699" t="s">
        <v>3032</v>
      </c>
      <c r="CN984" s="1699" t="s">
        <v>3076</v>
      </c>
      <c r="CO984" s="1699" t="s">
        <v>5209</v>
      </c>
      <c r="CP984" s="1699" t="s">
        <v>5591</v>
      </c>
    </row>
    <row r="985" spans="84:94" x14ac:dyDescent="0.2">
      <c r="CF985" s="1661" t="s">
        <v>10801</v>
      </c>
      <c r="CG985" s="1661" t="s">
        <v>11798</v>
      </c>
      <c r="CL985" s="1699" t="s">
        <v>2716</v>
      </c>
      <c r="CM985" s="1699" t="s">
        <v>3031</v>
      </c>
      <c r="CN985" s="1699" t="s">
        <v>3075</v>
      </c>
      <c r="CO985" s="1699" t="s">
        <v>5208</v>
      </c>
      <c r="CP985" s="1699" t="s">
        <v>5590</v>
      </c>
    </row>
    <row r="986" spans="84:94" x14ac:dyDescent="0.2">
      <c r="CF986" s="1661" t="s">
        <v>10802</v>
      </c>
      <c r="CG986" s="1661" t="s">
        <v>11799</v>
      </c>
      <c r="CL986" s="1699" t="s">
        <v>2717</v>
      </c>
      <c r="CM986" s="1699" t="s">
        <v>3030</v>
      </c>
      <c r="CN986" s="1699" t="s">
        <v>3074</v>
      </c>
      <c r="CO986" s="1699" t="s">
        <v>5207</v>
      </c>
      <c r="CP986" s="1699" t="s">
        <v>5589</v>
      </c>
    </row>
    <row r="987" spans="84:94" x14ac:dyDescent="0.2">
      <c r="CF987" s="1661" t="s">
        <v>10803</v>
      </c>
      <c r="CG987" s="1661" t="s">
        <v>11800</v>
      </c>
      <c r="CL987" s="1699" t="s">
        <v>2718</v>
      </c>
      <c r="CM987" s="1699" t="s">
        <v>3029</v>
      </c>
      <c r="CN987" s="1699" t="s">
        <v>3073</v>
      </c>
      <c r="CO987" s="1699" t="s">
        <v>5206</v>
      </c>
      <c r="CP987" s="1699" t="s">
        <v>5588</v>
      </c>
    </row>
    <row r="988" spans="84:94" x14ac:dyDescent="0.2">
      <c r="CF988" s="1661" t="s">
        <v>10804</v>
      </c>
      <c r="CG988" s="1661" t="s">
        <v>11801</v>
      </c>
      <c r="CL988" s="1699" t="s">
        <v>2719</v>
      </c>
      <c r="CM988" s="1699" t="s">
        <v>3028</v>
      </c>
      <c r="CN988" s="1699" t="s">
        <v>3072</v>
      </c>
      <c r="CO988" s="1699" t="s">
        <v>5205</v>
      </c>
      <c r="CP988" s="1699" t="s">
        <v>5587</v>
      </c>
    </row>
    <row r="989" spans="84:94" x14ac:dyDescent="0.2">
      <c r="CF989" s="1661" t="s">
        <v>10805</v>
      </c>
      <c r="CG989" s="1661" t="s">
        <v>11802</v>
      </c>
      <c r="CL989" s="1699" t="s">
        <v>2720</v>
      </c>
      <c r="CM989" s="1699" t="s">
        <v>3027</v>
      </c>
      <c r="CN989" s="1699" t="s">
        <v>3071</v>
      </c>
      <c r="CO989" s="1699" t="s">
        <v>5204</v>
      </c>
      <c r="CP989" s="1699" t="s">
        <v>5586</v>
      </c>
    </row>
    <row r="990" spans="84:94" x14ac:dyDescent="0.2">
      <c r="CF990" s="1661" t="s">
        <v>10806</v>
      </c>
      <c r="CG990" s="1661" t="s">
        <v>11803</v>
      </c>
      <c r="CL990" s="1699" t="s">
        <v>2721</v>
      </c>
      <c r="CM990" s="1699" t="s">
        <v>3026</v>
      </c>
      <c r="CN990" s="1699" t="s">
        <v>3070</v>
      </c>
      <c r="CO990" s="1699" t="s">
        <v>5203</v>
      </c>
      <c r="CP990" s="1699" t="s">
        <v>5585</v>
      </c>
    </row>
    <row r="991" spans="84:94" x14ac:dyDescent="0.2">
      <c r="CF991" s="1661" t="s">
        <v>10807</v>
      </c>
      <c r="CG991" s="1661" t="s">
        <v>11804</v>
      </c>
      <c r="CL991" s="1699" t="s">
        <v>2722</v>
      </c>
      <c r="CM991" s="1699" t="s">
        <v>3025</v>
      </c>
      <c r="CN991" s="1699" t="s">
        <v>3069</v>
      </c>
      <c r="CO991" s="1699" t="s">
        <v>5202</v>
      </c>
      <c r="CP991" s="1699" t="s">
        <v>8175</v>
      </c>
    </row>
    <row r="992" spans="84:94" x14ac:dyDescent="0.2">
      <c r="CF992" s="1661" t="s">
        <v>10808</v>
      </c>
      <c r="CG992" s="1661" t="s">
        <v>11805</v>
      </c>
      <c r="CL992" s="1699" t="s">
        <v>2723</v>
      </c>
      <c r="CM992" s="1699" t="s">
        <v>3024</v>
      </c>
      <c r="CN992" s="1699" t="s">
        <v>3068</v>
      </c>
      <c r="CO992" s="1699" t="s">
        <v>5201</v>
      </c>
      <c r="CP992" s="1699" t="s">
        <v>5584</v>
      </c>
    </row>
    <row r="993" spans="84:94" x14ac:dyDescent="0.2">
      <c r="CF993" s="1661" t="s">
        <v>10809</v>
      </c>
      <c r="CG993" s="1661" t="s">
        <v>11806</v>
      </c>
      <c r="CL993" s="1699" t="s">
        <v>2724</v>
      </c>
      <c r="CM993" s="1699" t="s">
        <v>3023</v>
      </c>
      <c r="CN993" s="1699" t="s">
        <v>3067</v>
      </c>
      <c r="CO993" s="1699" t="s">
        <v>5200</v>
      </c>
      <c r="CP993" s="1699" t="s">
        <v>5583</v>
      </c>
    </row>
    <row r="994" spans="84:94" x14ac:dyDescent="0.2">
      <c r="CF994" s="1661" t="s">
        <v>10810</v>
      </c>
      <c r="CG994" s="1661" t="s">
        <v>11807</v>
      </c>
      <c r="CL994" s="1699" t="s">
        <v>2725</v>
      </c>
      <c r="CM994" s="1699" t="s">
        <v>3022</v>
      </c>
      <c r="CN994" s="1699" t="s">
        <v>3066</v>
      </c>
      <c r="CO994" s="1699" t="s">
        <v>5199</v>
      </c>
      <c r="CP994" s="1699" t="s">
        <v>5582</v>
      </c>
    </row>
    <row r="995" spans="84:94" x14ac:dyDescent="0.2">
      <c r="CF995" s="1661" t="s">
        <v>10811</v>
      </c>
      <c r="CG995" s="1661" t="s">
        <v>11808</v>
      </c>
      <c r="CL995" s="1699" t="s">
        <v>2726</v>
      </c>
      <c r="CM995" s="1699" t="s">
        <v>3021</v>
      </c>
      <c r="CN995" s="1699" t="s">
        <v>3065</v>
      </c>
      <c r="CO995" s="1699" t="s">
        <v>5198</v>
      </c>
      <c r="CP995" s="1699" t="s">
        <v>5581</v>
      </c>
    </row>
    <row r="996" spans="84:94" x14ac:dyDescent="0.2">
      <c r="CF996" s="1661" t="s">
        <v>10812</v>
      </c>
      <c r="CG996" s="1661" t="s">
        <v>11809</v>
      </c>
      <c r="CL996" s="1699" t="s">
        <v>2727</v>
      </c>
      <c r="CM996" s="1699" t="s">
        <v>3020</v>
      </c>
      <c r="CN996" s="1699" t="s">
        <v>3064</v>
      </c>
      <c r="CO996" s="1699" t="s">
        <v>5197</v>
      </c>
      <c r="CP996" s="1699" t="s">
        <v>5580</v>
      </c>
    </row>
    <row r="997" spans="84:94" x14ac:dyDescent="0.2">
      <c r="CF997" s="1661" t="s">
        <v>10813</v>
      </c>
      <c r="CG997" s="1661" t="s">
        <v>11810</v>
      </c>
      <c r="CL997" s="1699" t="s">
        <v>2728</v>
      </c>
      <c r="CM997" s="1699" t="s">
        <v>3019</v>
      </c>
      <c r="CN997" s="1699" t="s">
        <v>3063</v>
      </c>
      <c r="CO997" s="1699" t="s">
        <v>5196</v>
      </c>
      <c r="CP997" s="1699" t="s">
        <v>5579</v>
      </c>
    </row>
    <row r="998" spans="84:94" x14ac:dyDescent="0.2">
      <c r="CF998" s="1661" t="s">
        <v>10814</v>
      </c>
      <c r="CG998" s="1661" t="s">
        <v>11811</v>
      </c>
      <c r="CL998" s="1699" t="s">
        <v>2729</v>
      </c>
      <c r="CM998" s="1699" t="s">
        <v>3018</v>
      </c>
      <c r="CN998" s="1699" t="s">
        <v>3062</v>
      </c>
      <c r="CO998" s="1699" t="s">
        <v>5195</v>
      </c>
      <c r="CP998" s="1699" t="s">
        <v>5578</v>
      </c>
    </row>
    <row r="999" spans="84:94" x14ac:dyDescent="0.2">
      <c r="CF999" s="1661" t="s">
        <v>10815</v>
      </c>
      <c r="CG999" s="1661" t="s">
        <v>11812</v>
      </c>
      <c r="CL999" s="1699" t="s">
        <v>2730</v>
      </c>
      <c r="CM999" s="1699" t="s">
        <v>3017</v>
      </c>
      <c r="CN999" s="1699" t="s">
        <v>3061</v>
      </c>
      <c r="CO999" s="1699" t="s">
        <v>5194</v>
      </c>
      <c r="CP999" s="1699" t="s">
        <v>5577</v>
      </c>
    </row>
    <row r="1000" spans="84:94" x14ac:dyDescent="0.2">
      <c r="CF1000" s="1661" t="s">
        <v>10816</v>
      </c>
      <c r="CG1000" s="1661" t="s">
        <v>11813</v>
      </c>
      <c r="CL1000" s="1699" t="s">
        <v>2731</v>
      </c>
      <c r="CM1000" s="1699" t="s">
        <v>3016</v>
      </c>
      <c r="CN1000" s="1699" t="s">
        <v>3060</v>
      </c>
      <c r="CO1000" s="1699" t="s">
        <v>5193</v>
      </c>
      <c r="CP1000" s="1699" t="s">
        <v>5576</v>
      </c>
    </row>
  </sheetData>
  <sheetProtection algorithmName="SHA-512" hashValue="SiestRfWMkL+g0GKdVTUmQwmJCCNTThF+Py7VH10bXliKTamxyqIAQ4WRG+MGlmtC6ensBSzu8fneUSLS1B3Pw==" saltValue="cqsFYfCZ08w9ZJB7lTg3Qw==" spinCount="100000" sheet="1" objects="1" scenarios="1"/>
  <mergeCells count="6">
    <mergeCell ref="CW1:CX1"/>
    <mergeCell ref="F1:G1"/>
    <mergeCell ref="BB1:BC1"/>
    <mergeCell ref="BD1:BE1"/>
    <mergeCell ref="BF1:BG1"/>
    <mergeCell ref="CF1:CG1"/>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IU77"/>
  <sheetViews>
    <sheetView showGridLines="0" showRowColHeaders="0" workbookViewId="0">
      <selection activeCell="E6" sqref="E6"/>
    </sheetView>
  </sheetViews>
  <sheetFormatPr defaultColWidth="0" defaultRowHeight="12.75" zeroHeight="1" x14ac:dyDescent="0.2"/>
  <cols>
    <col min="1" max="1" width="3.5703125" style="113" customWidth="1"/>
    <col min="2" max="2" width="43.28515625" style="113" customWidth="1"/>
    <col min="3" max="3" width="22.7109375" style="113" customWidth="1"/>
    <col min="4" max="4" width="24.140625" style="113" customWidth="1"/>
    <col min="5" max="5" width="22.140625" style="113" customWidth="1"/>
    <col min="6" max="6" width="33.42578125" style="113" hidden="1" customWidth="1"/>
    <col min="7" max="7" width="31.85546875" style="113" hidden="1" customWidth="1"/>
    <col min="8" max="255" width="9.140625" style="113" hidden="1" customWidth="1"/>
    <col min="256" max="16384" width="3.85546875" style="113" hidden="1"/>
  </cols>
  <sheetData>
    <row r="1" spans="2:4" ht="13.5" thickBot="1" x14ac:dyDescent="0.25"/>
    <row r="2" spans="2:4" ht="13.5" thickBot="1" x14ac:dyDescent="0.25">
      <c r="B2" s="4018" t="s">
        <v>8861</v>
      </c>
      <c r="C2" s="4019"/>
      <c r="D2" s="4020"/>
    </row>
    <row r="3" spans="2:4" ht="6" customHeight="1" x14ac:dyDescent="0.2">
      <c r="B3" s="1888"/>
      <c r="C3" s="1978"/>
      <c r="D3" s="2105"/>
    </row>
    <row r="4" spans="2:4" x14ac:dyDescent="0.2">
      <c r="B4" s="4017" t="s">
        <v>2057</v>
      </c>
      <c r="C4" s="4017"/>
      <c r="D4" s="4017"/>
    </row>
    <row r="5" spans="2:4" x14ac:dyDescent="0.2">
      <c r="B5" s="387" t="s">
        <v>2058</v>
      </c>
      <c r="C5" s="4017">
        <f>sheet9.AssesseeVerName</f>
        <v>0</v>
      </c>
      <c r="D5" s="4017"/>
    </row>
    <row r="6" spans="2:4" x14ac:dyDescent="0.2">
      <c r="B6" s="387" t="s">
        <v>2059</v>
      </c>
      <c r="C6" s="4017">
        <f>sheet9.FatherName</f>
        <v>0</v>
      </c>
      <c r="D6" s="4017"/>
    </row>
    <row r="7" spans="2:4" x14ac:dyDescent="0.2">
      <c r="B7" s="387" t="s">
        <v>8857</v>
      </c>
      <c r="C7" s="4017" t="str">
        <f ca="1">sheet9.Date</f>
        <v>02/09/2022</v>
      </c>
      <c r="D7" s="4017"/>
    </row>
    <row r="8" spans="2:4" x14ac:dyDescent="0.2">
      <c r="B8" s="387" t="s">
        <v>7</v>
      </c>
      <c r="C8" s="4017">
        <f>sheet1.PAN</f>
        <v>0</v>
      </c>
      <c r="D8" s="4017"/>
    </row>
    <row r="9" spans="2:4" x14ac:dyDescent="0.2">
      <c r="B9" s="387" t="s">
        <v>8856</v>
      </c>
      <c r="C9" s="4017">
        <f>sheet9.PAN</f>
        <v>0</v>
      </c>
      <c r="D9" s="4017"/>
    </row>
    <row r="10" spans="2:4" x14ac:dyDescent="0.2">
      <c r="B10" s="2106"/>
      <c r="C10" s="1984"/>
      <c r="D10" s="2107"/>
    </row>
    <row r="11" spans="2:4" hidden="1" x14ac:dyDescent="0.2">
      <c r="B11" s="4022" t="s">
        <v>8858</v>
      </c>
      <c r="C11" s="4023"/>
      <c r="D11" s="4024"/>
    </row>
    <row r="12" spans="2:4" x14ac:dyDescent="0.2">
      <c r="B12" s="2004" t="s">
        <v>2038</v>
      </c>
      <c r="C12" s="2065" t="s">
        <v>2039</v>
      </c>
      <c r="D12" s="2065" t="s">
        <v>415</v>
      </c>
    </row>
    <row r="13" spans="2:4" x14ac:dyDescent="0.2">
      <c r="B13" s="1979" t="s">
        <v>2040</v>
      </c>
      <c r="C13" s="1980">
        <f>COUNTIF(QDTradingConcern.SaleQty,"&gt;0")</f>
        <v>0</v>
      </c>
      <c r="D13" s="1981" t="s">
        <v>255</v>
      </c>
    </row>
    <row r="14" spans="2:4" x14ac:dyDescent="0.2">
      <c r="B14" s="1979" t="s">
        <v>2042</v>
      </c>
      <c r="C14" s="1980">
        <f>COUNTIF(QDRawMaterial.SaleQty,"&gt;0")</f>
        <v>0</v>
      </c>
      <c r="D14" s="1981" t="s">
        <v>255</v>
      </c>
    </row>
    <row r="15" spans="2:4" x14ac:dyDescent="0.2">
      <c r="B15" s="1979" t="s">
        <v>2044</v>
      </c>
      <c r="C15" s="1980">
        <f>COUNTIF(QDFinishrByProd.SaleQty,"&gt;0")</f>
        <v>0</v>
      </c>
      <c r="D15" s="1981" t="s">
        <v>255</v>
      </c>
    </row>
    <row r="16" spans="2:4" x14ac:dyDescent="0.2">
      <c r="B16" s="1979" t="s">
        <v>2046</v>
      </c>
      <c r="C16" s="1980">
        <v>0</v>
      </c>
      <c r="D16" s="1981" t="s">
        <v>255</v>
      </c>
    </row>
    <row r="17" spans="2:4" x14ac:dyDescent="0.2">
      <c r="B17" s="1979" t="s">
        <v>2048</v>
      </c>
      <c r="C17" s="1980">
        <v>0</v>
      </c>
      <c r="D17" s="1981" t="s">
        <v>255</v>
      </c>
    </row>
    <row r="18" spans="2:4" x14ac:dyDescent="0.2">
      <c r="B18" s="1979" t="s">
        <v>266</v>
      </c>
      <c r="C18" s="1980">
        <f>COUNTIF(SEZA10.DedFromUndertaking,"&gt;0")</f>
        <v>0</v>
      </c>
      <c r="D18" s="1981" t="s">
        <v>255</v>
      </c>
    </row>
    <row r="19" spans="2:4" x14ac:dyDescent="0.2">
      <c r="B19" s="1979" t="s">
        <v>267</v>
      </c>
      <c r="C19" s="1980">
        <f>COUNTIF(AA10.DedFromUndertaking,"&gt;0")</f>
        <v>0</v>
      </c>
      <c r="D19" s="1981" t="s">
        <v>255</v>
      </c>
    </row>
    <row r="20" spans="2:4" x14ac:dyDescent="0.2">
      <c r="B20" s="1979" t="s">
        <v>2050</v>
      </c>
      <c r="C20" s="1980">
        <f>COUNTIF(TDS1.TotalTDSSal,"&gt;0")</f>
        <v>0</v>
      </c>
      <c r="D20" s="1982">
        <f>SUM(TDS1.TotalTDSSal)</f>
        <v>0</v>
      </c>
    </row>
    <row r="21" spans="2:4" x14ac:dyDescent="0.2">
      <c r="B21" s="1979" t="s">
        <v>2051</v>
      </c>
      <c r="C21" s="1980">
        <f>COUNTIF(TDS2.ClaimedInOwnHands,"&gt;0")</f>
        <v>0</v>
      </c>
      <c r="D21" s="1982">
        <f>SUM(TDS2.ClaimedInOwnHands)</f>
        <v>0</v>
      </c>
    </row>
    <row r="22" spans="2:4" x14ac:dyDescent="0.2">
      <c r="B22" s="1979" t="s">
        <v>2060</v>
      </c>
      <c r="C22" s="1980">
        <f>COUNTIF(TDS3.ClaimedInOwnHands,"&gt;0")</f>
        <v>0</v>
      </c>
      <c r="D22" s="1982">
        <f>SUM(TDS3.ClaimedInOwnHands)</f>
        <v>0</v>
      </c>
    </row>
    <row r="23" spans="2:4" x14ac:dyDescent="0.2">
      <c r="B23" s="1979" t="s">
        <v>2041</v>
      </c>
      <c r="C23" s="1980">
        <f>COUNTIF(Per10080G.DonationAmt,"&gt;0")</f>
        <v>0</v>
      </c>
      <c r="D23" s="1981" t="s">
        <v>255</v>
      </c>
    </row>
    <row r="24" spans="2:4" x14ac:dyDescent="0.2">
      <c r="B24" s="1979" t="s">
        <v>2043</v>
      </c>
      <c r="C24" s="1980">
        <f>COUNTIF(PerNO5080G.DonationAmt,"&gt;0")</f>
        <v>0</v>
      </c>
      <c r="D24" s="1981" t="s">
        <v>255</v>
      </c>
    </row>
    <row r="25" spans="2:4" x14ac:dyDescent="0.2">
      <c r="B25" s="1979" t="s">
        <v>2045</v>
      </c>
      <c r="C25" s="1980">
        <f>COUNTIF(PerYES10080G.DonationAmt,"&gt;0")</f>
        <v>0</v>
      </c>
      <c r="D25" s="1981" t="s">
        <v>255</v>
      </c>
    </row>
    <row r="26" spans="2:4" x14ac:dyDescent="0.2">
      <c r="B26" s="1979" t="s">
        <v>2061</v>
      </c>
      <c r="C26" s="1980">
        <f>COUNTIF(Per5080G.DonationAmt,"&gt;0")</f>
        <v>0</v>
      </c>
      <c r="D26" s="1981" t="s">
        <v>255</v>
      </c>
    </row>
    <row r="27" spans="2:4" x14ac:dyDescent="0.2">
      <c r="B27" s="1979" t="s">
        <v>1198</v>
      </c>
      <c r="C27" s="1980">
        <f>COUNTIF(SI.SplRateIncCalc,"&gt;0")</f>
        <v>0</v>
      </c>
      <c r="D27" s="1981" t="s">
        <v>255</v>
      </c>
    </row>
    <row r="28" spans="2:4" x14ac:dyDescent="0.2">
      <c r="B28" s="1979" t="s">
        <v>2049</v>
      </c>
      <c r="C28" s="1980">
        <f>COUNTIF(IF.ProfitShareAmt,"&gt;0")</f>
        <v>0</v>
      </c>
      <c r="D28" s="1981" t="s">
        <v>255</v>
      </c>
    </row>
    <row r="29" spans="2:4" x14ac:dyDescent="0.2">
      <c r="B29" s="1979" t="s">
        <v>1933</v>
      </c>
      <c r="C29" s="1980">
        <f>COUNTIF(IT.Amt,"&gt;0")</f>
        <v>0</v>
      </c>
      <c r="D29" s="1982">
        <f>SUM(IT.Amt)</f>
        <v>0</v>
      </c>
    </row>
    <row r="30" spans="2:4" x14ac:dyDescent="0.2">
      <c r="B30" s="1979" t="s">
        <v>1697</v>
      </c>
      <c r="C30" s="1980">
        <f>COUNTIF(TCS.AmtTCSClaimedThisYear,"&gt;0")</f>
        <v>0</v>
      </c>
      <c r="D30" s="1982">
        <f>SUM(TCS.AmtTCSClaimedThisYear)</f>
        <v>0</v>
      </c>
    </row>
    <row r="31" spans="2:4" x14ac:dyDescent="0.2">
      <c r="B31" s="1979" t="s">
        <v>2047</v>
      </c>
      <c r="C31" s="1980">
        <f>COUNTIF(SPI.AmtIncluded,"&gt;0")</f>
        <v>0</v>
      </c>
      <c r="D31" s="1983" t="s">
        <v>255</v>
      </c>
    </row>
    <row r="32" spans="2:4" x14ac:dyDescent="0.2">
      <c r="B32" s="2106"/>
      <c r="C32" s="1984"/>
      <c r="D32" s="2107"/>
    </row>
    <row r="33" spans="1:9" ht="27.75" customHeight="1" x14ac:dyDescent="0.2">
      <c r="B33" s="4025" t="s">
        <v>2052</v>
      </c>
      <c r="C33" s="4026"/>
      <c r="D33" s="4027"/>
    </row>
    <row r="34" spans="1:9" x14ac:dyDescent="0.2">
      <c r="B34" s="2011" t="s">
        <v>281</v>
      </c>
      <c r="C34" s="4017" t="str">
        <f>IF(H34&gt;0,"Filled","Empty")</f>
        <v>Empty</v>
      </c>
      <c r="D34" s="4017"/>
      <c r="H34" s="113">
        <f>COUNTIFS(NOB.Code,"&lt;&gt;(SELECT)",NOB.Code,"&lt;&gt;")</f>
        <v>0</v>
      </c>
      <c r="I34" s="113">
        <f>SUM(COUNTIF(CFL_XML_Check1,"&gt;0"),COUNTIF(CFL_XML_Check2,"&gt;0"))</f>
        <v>0</v>
      </c>
    </row>
    <row r="35" spans="1:9" x14ac:dyDescent="0.2">
      <c r="B35" s="2011" t="s">
        <v>827</v>
      </c>
      <c r="C35" s="4017" t="str">
        <f>IF(H35&gt;0,"Filled","Empty")</f>
        <v>Empty</v>
      </c>
      <c r="D35" s="4017"/>
      <c r="H35" s="113">
        <f>SUM(COUNTIF(DPM_XML_Check1,"&gt;0"))</f>
        <v>0</v>
      </c>
      <c r="I35" s="113">
        <f>COUNTIF(IA80.TotSchedule80_IA,"&gt;0")</f>
        <v>0</v>
      </c>
    </row>
    <row r="36" spans="1:9" x14ac:dyDescent="0.2">
      <c r="B36" s="2011" t="s">
        <v>2054</v>
      </c>
      <c r="C36" s="4017" t="str">
        <f>IF(H36&gt;0,"Filled","Empty")</f>
        <v>Empty</v>
      </c>
      <c r="D36" s="4017"/>
      <c r="H36" s="113">
        <f>COUNTIF(DOA_XML_Check1,"&gt;0")</f>
        <v>0</v>
      </c>
      <c r="I36" s="113">
        <f>COUNTIF(IB80.TotSchedule80_IB,"&gt;0")</f>
        <v>0</v>
      </c>
    </row>
    <row r="37" spans="1:9" x14ac:dyDescent="0.2">
      <c r="B37" s="2011" t="s">
        <v>878</v>
      </c>
      <c r="C37" s="4017" t="str">
        <f>IF(H37&gt;0,"Filled","Empty")</f>
        <v>Empty</v>
      </c>
      <c r="D37" s="4017"/>
      <c r="H37" s="113">
        <f>COUNT(ESR_XML_Check,"&gt;0")</f>
        <v>0</v>
      </c>
      <c r="I37" s="113">
        <f>SUM(COUNTIF(IC80.TotDeductInNorthEast,"&gt;0"),COUNTIF(IC80.TotSchedule80_IC,"&gt;0"))</f>
        <v>0</v>
      </c>
    </row>
    <row r="38" spans="1:9" x14ac:dyDescent="0.2">
      <c r="B38" s="2011" t="s">
        <v>1086</v>
      </c>
      <c r="C38" s="4017" t="str">
        <f>IF(I34&gt;0,"Filled","Empty")</f>
        <v>Empty</v>
      </c>
      <c r="D38" s="4017"/>
      <c r="I38" s="113">
        <f>COUNTIF(EI_XML_Check1,"&gt;0")</f>
        <v>0</v>
      </c>
    </row>
    <row r="39" spans="1:9" x14ac:dyDescent="0.2">
      <c r="B39" s="2011" t="s">
        <v>2053</v>
      </c>
      <c r="C39" s="4017" t="str">
        <f>IF(I35&gt;0,"Filled","Empty")</f>
        <v>Empty</v>
      </c>
      <c r="D39" s="4017"/>
      <c r="F39" s="310"/>
      <c r="G39" s="310"/>
    </row>
    <row r="40" spans="1:9" x14ac:dyDescent="0.2">
      <c r="B40" s="2011" t="s">
        <v>2055</v>
      </c>
      <c r="C40" s="4017" t="str">
        <f>IF(I36&gt;0,"Filled","Empty")</f>
        <v>Empty</v>
      </c>
      <c r="D40" s="4017"/>
      <c r="F40" s="25"/>
      <c r="G40" s="799"/>
    </row>
    <row r="41" spans="1:9" x14ac:dyDescent="0.2">
      <c r="B41" s="2011" t="s">
        <v>2056</v>
      </c>
      <c r="C41" s="4017" t="str">
        <f>IF(I37&gt;0,"Filled","Empty")</f>
        <v>Empty</v>
      </c>
      <c r="D41" s="4017"/>
      <c r="F41" s="25"/>
      <c r="G41" s="25"/>
    </row>
    <row r="42" spans="1:9" x14ac:dyDescent="0.2">
      <c r="B42" s="2011" t="s">
        <v>1222</v>
      </c>
      <c r="C42" s="4017" t="str">
        <f>IF(I38&gt;0,"Filled","Empty")</f>
        <v>Empty</v>
      </c>
      <c r="D42" s="4017"/>
      <c r="F42" s="25"/>
      <c r="G42" s="25"/>
    </row>
    <row r="43" spans="1:9" x14ac:dyDescent="0.2">
      <c r="B43" s="2106"/>
      <c r="C43" s="1984"/>
      <c r="D43" s="2107"/>
      <c r="F43" s="25"/>
      <c r="G43" s="25"/>
    </row>
    <row r="44" spans="1:9" x14ac:dyDescent="0.2">
      <c r="B44" s="4022" t="s">
        <v>8859</v>
      </c>
      <c r="C44" s="4023"/>
      <c r="D44" s="4024"/>
      <c r="F44" s="3384"/>
      <c r="G44" s="25"/>
    </row>
    <row r="45" spans="1:9" ht="81" customHeight="1" x14ac:dyDescent="0.2">
      <c r="B45" s="4021" t="s">
        <v>8860</v>
      </c>
      <c r="C45" s="4021"/>
      <c r="D45" s="4021"/>
      <c r="F45" s="3384"/>
      <c r="G45" s="25"/>
    </row>
    <row r="46" spans="1:9" x14ac:dyDescent="0.2">
      <c r="B46" s="2106"/>
      <c r="C46" s="1984"/>
      <c r="D46" s="2107"/>
      <c r="F46" s="3384"/>
      <c r="G46" s="25"/>
    </row>
    <row r="47" spans="1:9" x14ac:dyDescent="0.2">
      <c r="B47" s="2106"/>
      <c r="C47" s="1984"/>
      <c r="D47" s="2107"/>
      <c r="F47" s="3384"/>
      <c r="G47" s="799"/>
    </row>
    <row r="48" spans="1:9" ht="12.75" customHeight="1" x14ac:dyDescent="0.2">
      <c r="A48" s="799"/>
      <c r="B48" s="2112"/>
      <c r="C48" s="2113"/>
      <c r="D48" s="2114"/>
      <c r="E48" s="310"/>
      <c r="F48" s="310"/>
    </row>
    <row r="49" spans="1:6" hidden="1" x14ac:dyDescent="0.2">
      <c r="A49" s="25"/>
      <c r="B49" s="2106"/>
      <c r="C49" s="1984"/>
      <c r="D49" s="2107"/>
      <c r="E49" s="310"/>
      <c r="F49" s="310"/>
    </row>
    <row r="50" spans="1:6" hidden="1" x14ac:dyDescent="0.2">
      <c r="A50" s="25"/>
      <c r="B50" s="2106"/>
      <c r="C50" s="1984"/>
      <c r="D50" s="2107"/>
      <c r="E50" s="310"/>
      <c r="F50" s="310"/>
    </row>
    <row r="51" spans="1:6" hidden="1" x14ac:dyDescent="0.2">
      <c r="A51" s="25"/>
      <c r="B51" s="2106"/>
      <c r="C51" s="1984"/>
      <c r="D51" s="2107"/>
      <c r="E51" s="310"/>
      <c r="F51" s="310"/>
    </row>
    <row r="52" spans="1:6" hidden="1" x14ac:dyDescent="0.2">
      <c r="A52" s="25"/>
      <c r="B52" s="2106"/>
      <c r="C52" s="1984"/>
      <c r="D52" s="2107"/>
      <c r="E52" s="310"/>
      <c r="F52" s="310"/>
    </row>
    <row r="53" spans="1:6" ht="12.75" hidden="1" customHeight="1" x14ac:dyDescent="0.2">
      <c r="A53" s="25"/>
      <c r="B53" s="2106"/>
      <c r="C53" s="1984"/>
      <c r="D53" s="2107"/>
      <c r="E53" s="310"/>
      <c r="F53" s="310"/>
    </row>
    <row r="54" spans="1:6" hidden="1" x14ac:dyDescent="0.2">
      <c r="A54" s="25"/>
      <c r="B54" s="2106"/>
      <c r="C54" s="1984"/>
      <c r="D54" s="2107"/>
      <c r="E54" s="310"/>
      <c r="F54" s="310"/>
    </row>
    <row r="55" spans="1:6" ht="12.75" hidden="1" customHeight="1" x14ac:dyDescent="0.2">
      <c r="A55" s="25"/>
      <c r="B55" s="2106"/>
      <c r="C55" s="1984"/>
      <c r="D55" s="2107"/>
      <c r="E55" s="310"/>
      <c r="F55" s="310"/>
    </row>
    <row r="56" spans="1:6" hidden="1" x14ac:dyDescent="0.2">
      <c r="A56" s="25"/>
      <c r="B56" s="2106"/>
      <c r="C56" s="1984"/>
      <c r="D56" s="2107"/>
      <c r="E56" s="310"/>
      <c r="F56" s="310"/>
    </row>
    <row r="57" spans="1:6" hidden="1" x14ac:dyDescent="0.2">
      <c r="A57" s="25"/>
      <c r="B57" s="2106"/>
      <c r="C57" s="1984"/>
      <c r="D57" s="2107"/>
      <c r="E57" s="310"/>
      <c r="F57" s="310"/>
    </row>
    <row r="58" spans="1:6" hidden="1" x14ac:dyDescent="0.2">
      <c r="A58" s="25"/>
      <c r="B58" s="2106"/>
      <c r="C58" s="1984"/>
      <c r="D58" s="2107"/>
      <c r="E58" s="310"/>
      <c r="F58" s="310"/>
    </row>
    <row r="59" spans="1:6" hidden="1" x14ac:dyDescent="0.2">
      <c r="A59" s="25"/>
      <c r="B59" s="2106"/>
      <c r="C59" s="1984"/>
      <c r="D59" s="2107"/>
      <c r="E59" s="310"/>
      <c r="F59" s="310"/>
    </row>
    <row r="60" spans="1:6" hidden="1" x14ac:dyDescent="0.2">
      <c r="A60" s="25"/>
      <c r="B60" s="2106"/>
      <c r="C60" s="1984"/>
      <c r="D60" s="2107"/>
      <c r="E60" s="310"/>
      <c r="F60" s="310"/>
    </row>
    <row r="61" spans="1:6" hidden="1" x14ac:dyDescent="0.2">
      <c r="A61" s="25"/>
      <c r="B61" s="2106"/>
      <c r="C61" s="1984"/>
      <c r="D61" s="2107"/>
      <c r="E61" s="310"/>
      <c r="F61" s="310"/>
    </row>
    <row r="62" spans="1:6" hidden="1" x14ac:dyDescent="0.2">
      <c r="A62" s="25"/>
      <c r="B62" s="2106"/>
      <c r="C62" s="1984"/>
      <c r="D62" s="2107"/>
      <c r="E62" s="310"/>
      <c r="F62" s="310"/>
    </row>
    <row r="63" spans="1:6" ht="12.75" hidden="1" customHeight="1" x14ac:dyDescent="0.2">
      <c r="A63" s="25"/>
      <c r="B63" s="2106"/>
      <c r="C63" s="1984"/>
      <c r="D63" s="2107"/>
      <c r="E63" s="310"/>
      <c r="F63" s="310"/>
    </row>
    <row r="64" spans="1:6" hidden="1" x14ac:dyDescent="0.2">
      <c r="A64" s="25"/>
      <c r="B64" s="2106"/>
      <c r="C64" s="1984"/>
      <c r="D64" s="2107"/>
      <c r="E64" s="310"/>
      <c r="F64" s="310"/>
    </row>
    <row r="65" spans="1:7" hidden="1" x14ac:dyDescent="0.2">
      <c r="A65" s="25"/>
      <c r="B65" s="2106"/>
      <c r="C65" s="1984"/>
      <c r="D65" s="2107"/>
      <c r="E65" s="310"/>
      <c r="F65" s="310"/>
    </row>
    <row r="66" spans="1:7" hidden="1" x14ac:dyDescent="0.2">
      <c r="A66" s="25"/>
      <c r="B66" s="2106"/>
      <c r="C66" s="1984"/>
      <c r="D66" s="2107"/>
      <c r="E66" s="310"/>
      <c r="F66" s="310"/>
    </row>
    <row r="67" spans="1:7" hidden="1" x14ac:dyDescent="0.2">
      <c r="A67" s="25"/>
      <c r="B67" s="2106"/>
      <c r="C67" s="1984"/>
      <c r="D67" s="2107"/>
      <c r="E67" s="310"/>
      <c r="F67" s="310"/>
    </row>
    <row r="68" spans="1:7" ht="48.75" hidden="1" customHeight="1" x14ac:dyDescent="0.2">
      <c r="A68" s="25"/>
      <c r="B68" s="1887"/>
      <c r="C68" s="714"/>
      <c r="D68" s="2108"/>
      <c r="E68" s="310"/>
      <c r="F68" s="310"/>
    </row>
    <row r="69" spans="1:7" ht="45" hidden="1" customHeight="1" x14ac:dyDescent="0.2">
      <c r="B69" s="1887"/>
      <c r="C69" s="799"/>
      <c r="D69" s="237"/>
      <c r="E69" s="21"/>
      <c r="F69" s="21"/>
      <c r="G69" s="21"/>
    </row>
    <row r="70" spans="1:7" hidden="1" x14ac:dyDescent="0.2">
      <c r="B70" s="1887"/>
      <c r="C70" s="799"/>
      <c r="D70" s="237"/>
      <c r="E70" s="21"/>
      <c r="F70" s="21"/>
      <c r="G70" s="21"/>
    </row>
    <row r="71" spans="1:7" hidden="1" x14ac:dyDescent="0.2">
      <c r="B71" s="1887"/>
      <c r="C71" s="799"/>
      <c r="D71" s="237"/>
      <c r="E71" s="21"/>
      <c r="F71" s="21"/>
      <c r="G71" s="21"/>
    </row>
    <row r="72" spans="1:7" hidden="1" x14ac:dyDescent="0.2">
      <c r="B72" s="1887"/>
      <c r="C72" s="714"/>
      <c r="D72" s="237"/>
      <c r="E72" s="21"/>
      <c r="F72" s="21"/>
      <c r="G72" s="21"/>
    </row>
    <row r="73" spans="1:7" hidden="1" x14ac:dyDescent="0.2">
      <c r="B73" s="1887"/>
      <c r="C73" s="714"/>
      <c r="D73" s="2108"/>
      <c r="F73" s="21"/>
      <c r="G73" s="21"/>
    </row>
    <row r="74" spans="1:7" hidden="1" x14ac:dyDescent="0.2">
      <c r="B74" s="1887"/>
      <c r="C74" s="714"/>
      <c r="D74" s="2108"/>
      <c r="F74" s="21"/>
      <c r="G74" s="21"/>
    </row>
    <row r="75" spans="1:7" hidden="1" x14ac:dyDescent="0.2">
      <c r="B75" s="2109"/>
      <c r="C75" s="2110"/>
      <c r="D75" s="2111"/>
      <c r="F75" s="21"/>
      <c r="G75" s="21"/>
    </row>
    <row r="77" spans="1:7" x14ac:dyDescent="0.2"/>
  </sheetData>
  <sheetProtection algorithmName="SHA-512" hashValue="5LqgeLvJROE26imHaqptL4ZhBLeF/6jNUl+LEMAjS931ELpW0n33yAduw4J7Suk5buNho3gleibInAL6nW3ODA==" saltValue="zu+1YYQaOKXE586/MbHZoQ==" spinCount="100000" sheet="1" objects="1" scenarios="1"/>
  <mergeCells count="21">
    <mergeCell ref="B45:D45"/>
    <mergeCell ref="C9:D9"/>
    <mergeCell ref="C35:D35"/>
    <mergeCell ref="C36:D36"/>
    <mergeCell ref="F44:F47"/>
    <mergeCell ref="C38:D38"/>
    <mergeCell ref="C40:D40"/>
    <mergeCell ref="C41:D41"/>
    <mergeCell ref="C42:D42"/>
    <mergeCell ref="B44:D44"/>
    <mergeCell ref="C39:D39"/>
    <mergeCell ref="C37:D37"/>
    <mergeCell ref="B11:D11"/>
    <mergeCell ref="B33:D33"/>
    <mergeCell ref="C8:D8"/>
    <mergeCell ref="C34:D34"/>
    <mergeCell ref="B2:D2"/>
    <mergeCell ref="B4:D4"/>
    <mergeCell ref="C5:D5"/>
    <mergeCell ref="C6:D6"/>
    <mergeCell ref="C7:D7"/>
  </mergeCells>
  <hyperlinks>
    <hyperlink ref="B13" location="QD_A" display="QUANTITATIVE_DETAILS-a"/>
    <hyperlink ref="B14" location="QD_B" display="QUANTITATIVE_DETAILS-b"/>
    <hyperlink ref="B15" location="QD_C" display="QUANTITATIVE_DETAILS-c"/>
    <hyperlink ref="B16" location="SCH_S" display="SCHEDULE S"/>
    <hyperlink ref="B17" location="SCH_HP" display="HOUSE_PROPERTY"/>
    <hyperlink ref="B18" location="'10A'!A1" display="10A-1"/>
    <hyperlink ref="B19" location="'10A'!A1" display="10A-2"/>
    <hyperlink ref="B23" location="SCH_80A" display="80G-A"/>
    <hyperlink ref="B24" location="SCH_80B" display="80G-B"/>
    <hyperlink ref="B25" location="SCH_80C" display="80G-C"/>
    <hyperlink ref="B27" location="SCH_SI" display="SI"/>
    <hyperlink ref="B28" location="SCH_IF" display="IF"/>
    <hyperlink ref="B29" location="SCH_IT" display="IT"/>
    <hyperlink ref="B20" location="SCH_TDS1" display="TDS1"/>
    <hyperlink ref="B21" location="SCH_TDS2" display="TDS2"/>
    <hyperlink ref="B22" location="SCH_TDS3" display="TDS3"/>
    <hyperlink ref="B30" location="SCH_TCS" display="TCS"/>
    <hyperlink ref="B26" location="SCH_80D" display="80G-D"/>
    <hyperlink ref="B31" location="SCH_SPI" display="SPI"/>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Button 1">
              <controlPr defaultSize="0" print="0" autoFill="0" autoPict="0" macro="[0]!SaveJSON">
                <anchor moveWithCells="1" sizeWithCells="1">
                  <from>
                    <xdr:col>4</xdr:col>
                    <xdr:colOff>247650</xdr:colOff>
                    <xdr:row>2</xdr:row>
                    <xdr:rowOff>57150</xdr:rowOff>
                  </from>
                  <to>
                    <xdr:col>4</xdr:col>
                    <xdr:colOff>1352550</xdr:colOff>
                    <xdr:row>5</xdr:row>
                    <xdr:rowOff>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IU12"/>
  <sheetViews>
    <sheetView workbookViewId="0">
      <selection activeCell="D6" sqref="D6:D8"/>
    </sheetView>
  </sheetViews>
  <sheetFormatPr defaultColWidth="0" defaultRowHeight="12.75" zeroHeight="1" x14ac:dyDescent="0.2"/>
  <cols>
    <col min="1" max="1" width="5" style="113" customWidth="1"/>
    <col min="2" max="2" width="16.85546875" style="113" customWidth="1"/>
    <col min="3" max="3" width="18.5703125" style="113" customWidth="1"/>
    <col min="4" max="4" width="18.28515625" style="113" customWidth="1"/>
    <col min="5" max="5" width="18.42578125" style="113" customWidth="1"/>
    <col min="6" max="6" width="14.28515625" style="113" customWidth="1"/>
    <col min="7" max="7" width="20.7109375" style="113" customWidth="1"/>
    <col min="8" max="8" width="18.85546875" style="189" customWidth="1"/>
    <col min="9" max="255" width="9.140625" style="113" hidden="1" customWidth="1"/>
    <col min="256" max="16384" width="1.5703125" style="113" hidden="1"/>
  </cols>
  <sheetData>
    <row r="1" spans="1:8" ht="26.25" customHeight="1" x14ac:dyDescent="0.25">
      <c r="A1" s="3384" t="s">
        <v>6804</v>
      </c>
      <c r="B1" s="3384"/>
      <c r="C1" s="3384"/>
      <c r="D1" s="3384" t="s">
        <v>6805</v>
      </c>
      <c r="E1" s="3384"/>
      <c r="F1" s="3384"/>
      <c r="G1" s="3384"/>
      <c r="H1" s="680"/>
    </row>
    <row r="2" spans="1:8" ht="15" x14ac:dyDescent="0.25">
      <c r="A2" s="3384" t="s">
        <v>6806</v>
      </c>
      <c r="B2" s="3384"/>
      <c r="C2" s="3384"/>
      <c r="D2" s="3384"/>
      <c r="E2" s="3384"/>
      <c r="F2" s="3384"/>
      <c r="G2" s="75"/>
    </row>
    <row r="3" spans="1:8" x14ac:dyDescent="0.2">
      <c r="A3" s="70"/>
      <c r="B3" s="49"/>
      <c r="C3" s="49"/>
      <c r="D3" s="49"/>
      <c r="E3" s="49"/>
      <c r="F3" s="49"/>
      <c r="G3" s="403"/>
    </row>
    <row r="4" spans="1:8" ht="41.25" x14ac:dyDescent="0.2">
      <c r="A4" s="31" t="s">
        <v>6798</v>
      </c>
      <c r="B4" s="388" t="s">
        <v>733</v>
      </c>
      <c r="C4" s="388" t="s">
        <v>1533</v>
      </c>
      <c r="D4" s="387" t="s">
        <v>6807</v>
      </c>
      <c r="E4" s="388" t="s">
        <v>1534</v>
      </c>
      <c r="F4" s="72" t="s">
        <v>6977</v>
      </c>
      <c r="G4" s="983" t="s">
        <v>8230</v>
      </c>
    </row>
    <row r="5" spans="1:8" ht="89.25" x14ac:dyDescent="0.2">
      <c r="A5" s="31"/>
      <c r="B5" s="73" t="s">
        <v>6978</v>
      </c>
      <c r="C5" s="979" t="s">
        <v>6979</v>
      </c>
      <c r="D5" s="74" t="s">
        <v>6980</v>
      </c>
      <c r="E5" s="979" t="s">
        <v>6981</v>
      </c>
      <c r="F5" s="979"/>
      <c r="G5" s="980" t="s">
        <v>6982</v>
      </c>
    </row>
    <row r="6" spans="1:8" x14ac:dyDescent="0.2">
      <c r="A6" s="708">
        <v>1</v>
      </c>
      <c r="B6" s="13" t="s">
        <v>23</v>
      </c>
      <c r="C6" s="981"/>
      <c r="D6" s="13" t="s">
        <v>23</v>
      </c>
      <c r="E6" s="13" t="s">
        <v>23</v>
      </c>
      <c r="F6" s="13" t="s">
        <v>12</v>
      </c>
      <c r="G6" s="4"/>
    </row>
    <row r="7" spans="1:8" x14ac:dyDescent="0.2">
      <c r="A7" s="708">
        <f>A6+1</f>
        <v>2</v>
      </c>
      <c r="B7" s="13" t="s">
        <v>23</v>
      </c>
      <c r="C7" s="981"/>
      <c r="D7" s="13" t="s">
        <v>23</v>
      </c>
      <c r="E7" s="13" t="s">
        <v>23</v>
      </c>
      <c r="F7" s="13" t="s">
        <v>12</v>
      </c>
      <c r="G7" s="4"/>
    </row>
    <row r="8" spans="1:8" x14ac:dyDescent="0.2">
      <c r="A8" s="708">
        <f>A7+1</f>
        <v>3</v>
      </c>
      <c r="B8" s="13"/>
      <c r="C8" s="981"/>
      <c r="D8" s="13"/>
      <c r="E8" s="13"/>
      <c r="F8" s="13" t="s">
        <v>12</v>
      </c>
      <c r="G8" s="4"/>
    </row>
    <row r="9" spans="1:8" ht="12" customHeight="1" x14ac:dyDescent="0.25">
      <c r="A9" s="3384" t="s">
        <v>6808</v>
      </c>
      <c r="B9" s="3384"/>
      <c r="C9" s="3384"/>
      <c r="D9" s="982" t="s">
        <v>6809</v>
      </c>
      <c r="E9" s="256"/>
      <c r="F9" s="256"/>
      <c r="G9" s="403"/>
    </row>
    <row r="10" spans="1:8" x14ac:dyDescent="0.2">
      <c r="A10" s="117"/>
      <c r="B10" s="117"/>
      <c r="C10" s="117"/>
      <c r="D10" s="117"/>
      <c r="E10" s="117"/>
      <c r="F10" s="117"/>
      <c r="G10" s="754"/>
    </row>
    <row r="11" spans="1:8" x14ac:dyDescent="0.2">
      <c r="A11" s="3277"/>
      <c r="B11" s="3277"/>
      <c r="C11" s="117"/>
      <c r="D11" s="117"/>
      <c r="E11" s="117"/>
      <c r="F11" s="117"/>
      <c r="G11" s="354"/>
    </row>
    <row r="12" spans="1:8" x14ac:dyDescent="0.2">
      <c r="A12" s="3277"/>
      <c r="B12" s="3277"/>
      <c r="C12" s="117"/>
      <c r="D12" s="117"/>
      <c r="E12" s="117"/>
      <c r="F12" s="117"/>
      <c r="G12" s="354"/>
    </row>
  </sheetData>
  <sheetProtection password="8441" sheet="1" objects="1" scenarios="1"/>
  <mergeCells count="5">
    <mergeCell ref="A1:C1"/>
    <mergeCell ref="A2:F2"/>
    <mergeCell ref="A9:C9"/>
    <mergeCell ref="A11:B12"/>
    <mergeCell ref="D1:G1"/>
  </mergeCells>
  <dataValidations count="7">
    <dataValidation type="whole" allowBlank="1" showInputMessage="1" showErrorMessage="1" errorTitle="Number of bank accounts held" error="Number of bank accounts held by you at any time during the PY should be between 1 to 99999" sqref="G2">
      <formula1>1</formula1>
      <formula2>9999</formula2>
    </dataValidation>
    <dataValidation type="list" allowBlank="1" showInputMessage="1" showErrorMessage="1" errorTitle="Account Status" error="Please select from list" sqref="F6:F8">
      <formula1>"(Select),Closed,Existing"</formula1>
    </dataValidation>
    <dataValidation type="textLength" allowBlank="1" showInputMessage="1" showErrorMessage="1" errorTitle="Account Number" error="Enter Valid Bank Account Number" sqref="E6:E8">
      <formula1>1</formula1>
      <formula2>20</formula2>
    </dataValidation>
    <dataValidation type="textLength" operator="lessThanOrEqual" allowBlank="1" showInputMessage="1" showErrorMessage="1" errorTitle="Name of Joint Bank Acnt Holder" error="Name of Joint Bank Account Holder  cannot exceed 125 characters" sqref="D6:D8">
      <formula1>125</formula1>
    </dataValidation>
    <dataValidation type="textLength" operator="equal" allowBlank="1" showInputMessage="1" showErrorMessage="1" errorTitle="IFS Code" error="IFS Code should be exactly 11 in length with 1st 4 alphabets, followed by Zero and remaining 6 should be alphanumeric." sqref="B6:B8">
      <formula1>11</formula1>
    </dataValidation>
    <dataValidation type="whole" allowBlank="1" showInputMessage="1" showErrorMessage="1" errorTitle="Account Balance" error="Account Balance should be Numeric, Non decimal  and cannot exceed 14 digits" sqref="G6:G8">
      <formula1>-99999999999999</formula1>
      <formula2>99999999999999</formula2>
    </dataValidation>
    <dataValidation type="textLength" operator="lessThan" allowBlank="1" showInputMessage="1" showErrorMessage="1" sqref="C6 C7 C8">
      <formula1>125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AddRows_BA">
                <anchor moveWithCells="1" sizeWithCells="1">
                  <from>
                    <xdr:col>0</xdr:col>
                    <xdr:colOff>19050</xdr:colOff>
                    <xdr:row>10</xdr:row>
                    <xdr:rowOff>19050</xdr:rowOff>
                  </from>
                  <to>
                    <xdr:col>1</xdr:col>
                    <xdr:colOff>704850</xdr:colOff>
                    <xdr:row>11</xdr:row>
                    <xdr:rowOff>133350</xdr:rowOff>
                  </to>
                </anchor>
              </controlPr>
            </control>
          </mc:Choice>
        </mc:AlternateContent>
        <mc:AlternateContent xmlns:mc="http://schemas.openxmlformats.org/markup-compatibility/2006">
          <mc:Choice Requires="x14">
            <control shapeId="105483" r:id="rId5" name="Button 11">
              <controlPr defaultSize="0" print="0" autoFill="0" autoPict="0" macro="[0]!Sheet38.Img_Home_Click">
                <anchor>
                  <from>
                    <xdr:col>7</xdr:col>
                    <xdr:colOff>57150</xdr:colOff>
                    <xdr:row>0</xdr:row>
                    <xdr:rowOff>57150</xdr:rowOff>
                  </from>
                  <to>
                    <xdr:col>7</xdr:col>
                    <xdr:colOff>981075</xdr:colOff>
                    <xdr:row>0</xdr:row>
                    <xdr:rowOff>304800</xdr:rowOff>
                  </to>
                </anchor>
              </controlPr>
            </control>
          </mc:Choice>
        </mc:AlternateContent>
        <mc:AlternateContent xmlns:mc="http://schemas.openxmlformats.org/markup-compatibility/2006">
          <mc:Choice Requires="x14">
            <control shapeId="105484" r:id="rId6" name="Button 12">
              <controlPr defaultSize="0" print="0" autoFill="0" autoPict="0" macro="[0]!Sheet38.index_Click">
                <anchor>
                  <from>
                    <xdr:col>7</xdr:col>
                    <xdr:colOff>57150</xdr:colOff>
                    <xdr:row>0</xdr:row>
                    <xdr:rowOff>323850</xdr:rowOff>
                  </from>
                  <to>
                    <xdr:col>7</xdr:col>
                    <xdr:colOff>981075</xdr:colOff>
                    <xdr:row>2</xdr:row>
                    <xdr:rowOff>66675</xdr:rowOff>
                  </to>
                </anchor>
              </controlPr>
            </control>
          </mc:Choice>
        </mc:AlternateContent>
        <mc:AlternateContent xmlns:mc="http://schemas.openxmlformats.org/markup-compatibility/2006">
          <mc:Choice Requires="x14">
            <control shapeId="105485" r:id="rId7" name="Button 13">
              <controlPr defaultSize="0" print="0" autoFill="0" autoPict="0" macro="[0]!Next_Sheet">
                <anchor>
                  <from>
                    <xdr:col>7</xdr:col>
                    <xdr:colOff>57150</xdr:colOff>
                    <xdr:row>2</xdr:row>
                    <xdr:rowOff>76200</xdr:rowOff>
                  </from>
                  <to>
                    <xdr:col>7</xdr:col>
                    <xdr:colOff>981075</xdr:colOff>
                    <xdr:row>3</xdr:row>
                    <xdr:rowOff>171450</xdr:rowOff>
                  </to>
                </anchor>
              </controlPr>
            </control>
          </mc:Choice>
        </mc:AlternateContent>
        <mc:AlternateContent xmlns:mc="http://schemas.openxmlformats.org/markup-compatibility/2006">
          <mc:Choice Requires="x14">
            <control shapeId="105486" r:id="rId8" name="Button 14">
              <controlPr defaultSize="0" print="0" autoFill="0" autoPict="0" macro="[0]!Prev_Sheet">
                <anchor>
                  <from>
                    <xdr:col>7</xdr:col>
                    <xdr:colOff>57150</xdr:colOff>
                    <xdr:row>3</xdr:row>
                    <xdr:rowOff>171450</xdr:rowOff>
                  </from>
                  <to>
                    <xdr:col>7</xdr:col>
                    <xdr:colOff>981075</xdr:colOff>
                    <xdr:row>3</xdr:row>
                    <xdr:rowOff>419100</xdr:rowOff>
                  </to>
                </anchor>
              </controlPr>
            </control>
          </mc:Choice>
        </mc:AlternateContent>
        <mc:AlternateContent xmlns:mc="http://schemas.openxmlformats.org/markup-compatibility/2006">
          <mc:Choice Requires="x14">
            <control shapeId="105487" r:id="rId9" name="Button 15">
              <controlPr defaultSize="0" print="0" autoFill="0" autoPict="0" macro="[0]!ValidateSheetBA">
                <anchor>
                  <from>
                    <xdr:col>7</xdr:col>
                    <xdr:colOff>57150</xdr:colOff>
                    <xdr:row>3</xdr:row>
                    <xdr:rowOff>438150</xdr:rowOff>
                  </from>
                  <to>
                    <xdr:col>7</xdr:col>
                    <xdr:colOff>981075</xdr:colOff>
                    <xdr:row>4</xdr:row>
                    <xdr:rowOff>133350</xdr:rowOff>
                  </to>
                </anchor>
              </controlPr>
            </control>
          </mc:Choice>
        </mc:AlternateContent>
        <mc:AlternateContent xmlns:mc="http://schemas.openxmlformats.org/markup-compatibility/2006">
          <mc:Choice Requires="x14">
            <control shapeId="105488" r:id="rId10" name="Button 16">
              <controlPr defaultSize="0" print="0" autoFill="0" autoPict="0" macro="[0]!WorksheetsPrint">
                <anchor>
                  <from>
                    <xdr:col>7</xdr:col>
                    <xdr:colOff>57150</xdr:colOff>
                    <xdr:row>4</xdr:row>
                    <xdr:rowOff>142875</xdr:rowOff>
                  </from>
                  <to>
                    <xdr:col>7</xdr:col>
                    <xdr:colOff>981075</xdr:colOff>
                    <xdr:row>4</xdr:row>
                    <xdr:rowOff>361950</xdr:rowOff>
                  </to>
                </anchor>
              </controlPr>
            </control>
          </mc:Choice>
        </mc:AlternateContent>
        <mc:AlternateContent xmlns:mc="http://schemas.openxmlformats.org/markup-compatibility/2006">
          <mc:Choice Requires="x14">
            <control shapeId="105489" r:id="rId11" name="Button 17">
              <controlPr defaultSize="0" print="0" autoFill="0" autoPict="0" macro="[0]!ValidateAll_XML">
                <anchor>
                  <from>
                    <xdr:col>7</xdr:col>
                    <xdr:colOff>57150</xdr:colOff>
                    <xdr:row>4</xdr:row>
                    <xdr:rowOff>371475</xdr:rowOff>
                  </from>
                  <to>
                    <xdr:col>7</xdr:col>
                    <xdr:colOff>981075</xdr:colOff>
                    <xdr:row>4</xdr:row>
                    <xdr:rowOff>590550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U128"/>
  <sheetViews>
    <sheetView showRowColHeaders="0" topLeftCell="J1" zoomScale="85" zoomScaleNormal="85" workbookViewId="0">
      <selection activeCell="L17" sqref="L17"/>
    </sheetView>
  </sheetViews>
  <sheetFormatPr defaultColWidth="0" defaultRowHeight="12.75" zeroHeight="1" x14ac:dyDescent="0.2"/>
  <cols>
    <col min="1" max="1" width="9.140625" style="117" hidden="1" customWidth="1"/>
    <col min="2" max="2" width="41.7109375" style="117" hidden="1" customWidth="1"/>
    <col min="3" max="9" width="9.140625" style="117" hidden="1" customWidth="1"/>
    <col min="10" max="10" width="5.28515625" style="117" customWidth="1"/>
    <col min="11" max="11" width="43.85546875" style="117" customWidth="1"/>
    <col min="12" max="12" width="105.85546875" style="117" customWidth="1"/>
    <col min="13" max="13" width="9.140625" style="117" customWidth="1"/>
    <col min="14" max="255" width="9.140625" style="117" hidden="1" customWidth="1"/>
    <col min="256" max="16384" width="7.5703125" style="117" hidden="1"/>
  </cols>
  <sheetData>
    <row r="1" spans="1:12" ht="15" customHeight="1" x14ac:dyDescent="0.2">
      <c r="J1" s="4028" t="s">
        <v>7284</v>
      </c>
      <c r="K1" s="4029"/>
      <c r="L1" s="4030"/>
    </row>
    <row r="2" spans="1:12" s="57" customFormat="1" ht="15" customHeight="1" x14ac:dyDescent="0.25">
      <c r="A2" s="3384" t="s">
        <v>1945</v>
      </c>
      <c r="B2" s="3384"/>
      <c r="C2" s="61"/>
      <c r="J2" s="2115" t="s">
        <v>287</v>
      </c>
      <c r="K2" s="3670" t="s">
        <v>1946</v>
      </c>
      <c r="L2" s="3670"/>
    </row>
    <row r="3" spans="1:12" s="57" customFormat="1" ht="15" x14ac:dyDescent="0.25">
      <c r="A3" s="46" t="s">
        <v>287</v>
      </c>
      <c r="B3" s="65" t="s">
        <v>1946</v>
      </c>
      <c r="G3" s="54"/>
      <c r="J3" s="2115" t="s">
        <v>290</v>
      </c>
      <c r="K3" s="3670" t="s">
        <v>1947</v>
      </c>
      <c r="L3" s="3670"/>
    </row>
    <row r="4" spans="1:12" s="57" customFormat="1" ht="15" x14ac:dyDescent="0.25">
      <c r="A4" s="46" t="s">
        <v>290</v>
      </c>
      <c r="B4" s="65" t="s">
        <v>1947</v>
      </c>
      <c r="J4" s="2115" t="s">
        <v>293</v>
      </c>
      <c r="K4" s="3670" t="s">
        <v>7285</v>
      </c>
      <c r="L4" s="3670"/>
    </row>
    <row r="5" spans="1:12" s="57" customFormat="1" ht="15" x14ac:dyDescent="0.25">
      <c r="A5" s="46" t="s">
        <v>293</v>
      </c>
      <c r="B5" s="65" t="s">
        <v>1948</v>
      </c>
      <c r="J5" s="2115" t="s">
        <v>296</v>
      </c>
      <c r="K5" s="3670" t="s">
        <v>7286</v>
      </c>
      <c r="L5" s="3670"/>
    </row>
    <row r="6" spans="1:12" s="57" customFormat="1" ht="15" x14ac:dyDescent="0.25">
      <c r="A6" s="46" t="s">
        <v>296</v>
      </c>
      <c r="B6" s="65" t="s">
        <v>1949</v>
      </c>
      <c r="J6" s="2115" t="s">
        <v>299</v>
      </c>
      <c r="K6" s="3670" t="s">
        <v>1951</v>
      </c>
      <c r="L6" s="3670"/>
    </row>
    <row r="7" spans="1:12" s="57" customFormat="1" ht="15" x14ac:dyDescent="0.25">
      <c r="A7" s="46" t="s">
        <v>299</v>
      </c>
      <c r="B7" s="65" t="s">
        <v>1950</v>
      </c>
      <c r="J7" s="2115" t="s">
        <v>430</v>
      </c>
      <c r="K7" s="3670" t="s">
        <v>7287</v>
      </c>
      <c r="L7" s="3670"/>
    </row>
    <row r="8" spans="1:12" s="57" customFormat="1" ht="15" x14ac:dyDescent="0.25">
      <c r="A8" s="46" t="s">
        <v>430</v>
      </c>
      <c r="B8" s="65" t="s">
        <v>1951</v>
      </c>
      <c r="J8" s="2115" t="s">
        <v>432</v>
      </c>
      <c r="K8" s="3670" t="s">
        <v>7288</v>
      </c>
      <c r="L8" s="3670"/>
    </row>
    <row r="9" spans="1:12" s="57" customFormat="1" ht="15" x14ac:dyDescent="0.25">
      <c r="A9" s="46" t="s">
        <v>432</v>
      </c>
      <c r="B9" s="65" t="s">
        <v>12801</v>
      </c>
      <c r="J9" s="2115" t="s">
        <v>434</v>
      </c>
      <c r="K9" s="3670" t="s">
        <v>12801</v>
      </c>
      <c r="L9" s="3670"/>
    </row>
    <row r="10" spans="1:12" s="57" customFormat="1" ht="15" x14ac:dyDescent="0.25">
      <c r="A10" s="46" t="s">
        <v>434</v>
      </c>
      <c r="B10" s="65" t="s">
        <v>1952</v>
      </c>
      <c r="E10" s="56"/>
      <c r="J10" s="2115" t="s">
        <v>435</v>
      </c>
      <c r="K10" s="3670" t="s">
        <v>1952</v>
      </c>
      <c r="L10" s="3670"/>
    </row>
    <row r="11" spans="1:12" s="57" customFormat="1" ht="15" x14ac:dyDescent="0.25">
      <c r="A11" s="46" t="s">
        <v>435</v>
      </c>
      <c r="B11" s="65" t="s">
        <v>1953</v>
      </c>
      <c r="F11" s="62"/>
      <c r="J11" s="2115" t="s">
        <v>437</v>
      </c>
      <c r="K11" s="3670" t="s">
        <v>1953</v>
      </c>
      <c r="L11" s="3670"/>
    </row>
    <row r="12" spans="1:12" s="57" customFormat="1" ht="15" x14ac:dyDescent="0.25">
      <c r="J12" s="2115" t="s">
        <v>439</v>
      </c>
      <c r="K12" s="3670" t="s">
        <v>7289</v>
      </c>
      <c r="L12" s="3670"/>
    </row>
    <row r="13" spans="1:12" s="57" customFormat="1" ht="18" customHeight="1" x14ac:dyDescent="0.25">
      <c r="B13" s="47" t="s">
        <v>1954</v>
      </c>
      <c r="J13" s="2120"/>
      <c r="K13" s="3670"/>
      <c r="L13" s="3670"/>
    </row>
    <row r="14" spans="1:12" s="57" customFormat="1" ht="15" customHeight="1" x14ac:dyDescent="0.25">
      <c r="B14" s="47" t="s">
        <v>1955</v>
      </c>
      <c r="J14" s="2120" t="s">
        <v>287</v>
      </c>
      <c r="K14" s="3669" t="s">
        <v>7290</v>
      </c>
      <c r="L14" s="3670"/>
    </row>
    <row r="15" spans="1:12" s="57" customFormat="1" ht="19.5" customHeight="1" x14ac:dyDescent="0.2">
      <c r="B15" s="47" t="s">
        <v>1956</v>
      </c>
      <c r="J15" s="2124"/>
      <c r="K15" s="2125" t="s">
        <v>1955</v>
      </c>
      <c r="L15" s="2116" t="s">
        <v>7291</v>
      </c>
    </row>
    <row r="16" spans="1:12" s="57" customFormat="1" ht="16.5" customHeight="1" x14ac:dyDescent="0.2">
      <c r="B16" s="47" t="s">
        <v>12802</v>
      </c>
      <c r="J16" s="2124"/>
      <c r="K16" s="2125" t="s">
        <v>1956</v>
      </c>
      <c r="L16" s="2116" t="s">
        <v>7292</v>
      </c>
    </row>
    <row r="17" spans="1:12" s="57" customFormat="1" ht="28.5" x14ac:dyDescent="0.2">
      <c r="B17" s="47" t="s">
        <v>1957</v>
      </c>
      <c r="J17" s="2124"/>
      <c r="K17" s="2125" t="s">
        <v>7293</v>
      </c>
      <c r="L17" s="2116" t="s">
        <v>12805</v>
      </c>
    </row>
    <row r="18" spans="1:12" s="57" customFormat="1" ht="28.5" x14ac:dyDescent="0.2">
      <c r="B18" s="47" t="s">
        <v>12804</v>
      </c>
      <c r="J18" s="2124"/>
      <c r="K18" s="2125" t="s">
        <v>12802</v>
      </c>
      <c r="L18" s="2116" t="s">
        <v>12806</v>
      </c>
    </row>
    <row r="19" spans="1:12" s="57" customFormat="1" ht="14.25" x14ac:dyDescent="0.2">
      <c r="J19" s="2124"/>
      <c r="K19" s="2125" t="s">
        <v>12803</v>
      </c>
      <c r="L19" s="2116" t="s">
        <v>12807</v>
      </c>
    </row>
    <row r="20" spans="1:12" s="57" customFormat="1" ht="22.5" customHeight="1" x14ac:dyDescent="0.2">
      <c r="J20" s="2123"/>
      <c r="K20" s="2125" t="s">
        <v>12804</v>
      </c>
      <c r="L20" s="2116" t="s">
        <v>12808</v>
      </c>
    </row>
    <row r="21" spans="1:12" s="57" customFormat="1" ht="15" x14ac:dyDescent="0.25">
      <c r="J21" s="2124"/>
      <c r="K21" s="3670"/>
      <c r="L21" s="3670"/>
    </row>
    <row r="22" spans="1:12" s="57" customFormat="1" ht="15" x14ac:dyDescent="0.25">
      <c r="J22" s="2120" t="s">
        <v>290</v>
      </c>
      <c r="K22" s="3669" t="s">
        <v>7294</v>
      </c>
      <c r="L22" s="3670"/>
    </row>
    <row r="23" spans="1:12" s="57" customFormat="1" ht="15" x14ac:dyDescent="0.25">
      <c r="J23" s="2124"/>
      <c r="K23" s="3669" t="s">
        <v>7295</v>
      </c>
      <c r="L23" s="3670"/>
    </row>
    <row r="24" spans="1:12" s="57" customFormat="1" ht="15" x14ac:dyDescent="0.25">
      <c r="J24" s="2123"/>
      <c r="K24" s="3669" t="s">
        <v>7296</v>
      </c>
      <c r="L24" s="3670"/>
    </row>
    <row r="25" spans="1:12" s="57" customFormat="1" ht="15" x14ac:dyDescent="0.25">
      <c r="A25" s="55" t="s">
        <v>287</v>
      </c>
      <c r="B25" s="54" t="s">
        <v>1946</v>
      </c>
      <c r="C25" s="63"/>
      <c r="J25" s="2124"/>
      <c r="K25" s="3670"/>
      <c r="L25" s="3670"/>
    </row>
    <row r="26" spans="1:12" s="57" customFormat="1" ht="15" x14ac:dyDescent="0.25">
      <c r="B26" s="51" t="s">
        <v>12809</v>
      </c>
      <c r="C26" s="53"/>
      <c r="D26" s="53"/>
      <c r="E26" s="53"/>
      <c r="F26" s="53"/>
      <c r="G26" s="53"/>
      <c r="H26" s="52"/>
      <c r="J26" s="2120" t="s">
        <v>293</v>
      </c>
      <c r="K26" s="3669" t="s">
        <v>7297</v>
      </c>
      <c r="L26" s="3670"/>
    </row>
    <row r="27" spans="1:12" s="57" customFormat="1" ht="15.75" customHeight="1" x14ac:dyDescent="0.25">
      <c r="B27" s="3384" t="s">
        <v>1958</v>
      </c>
      <c r="C27" s="3384"/>
      <c r="D27" s="3384"/>
      <c r="E27" s="3384"/>
      <c r="F27" s="3384"/>
      <c r="G27" s="3384"/>
      <c r="H27" s="3384"/>
      <c r="J27" s="2124"/>
      <c r="K27" s="3669" t="s">
        <v>7298</v>
      </c>
      <c r="L27" s="3670"/>
    </row>
    <row r="28" spans="1:12" s="57" customFormat="1" ht="26.25" customHeight="1" x14ac:dyDescent="0.25">
      <c r="B28" s="3384" t="s">
        <v>12810</v>
      </c>
      <c r="C28" s="3384"/>
      <c r="D28" s="3384"/>
      <c r="E28" s="3384"/>
      <c r="F28" s="3384"/>
      <c r="G28" s="3384"/>
      <c r="H28" s="3384"/>
      <c r="J28" s="2123"/>
      <c r="K28" s="3669" t="s">
        <v>1971</v>
      </c>
      <c r="L28" s="3670"/>
    </row>
    <row r="29" spans="1:12" s="57" customFormat="1" ht="27" customHeight="1" x14ac:dyDescent="0.25">
      <c r="B29" s="3384" t="s">
        <v>12811</v>
      </c>
      <c r="C29" s="3384"/>
      <c r="D29" s="3384"/>
      <c r="E29" s="3384"/>
      <c r="F29" s="3384"/>
      <c r="G29" s="3384"/>
      <c r="H29" s="3384"/>
      <c r="J29" s="2124"/>
      <c r="K29" s="3670"/>
      <c r="L29" s="3670"/>
    </row>
    <row r="30" spans="1:12" s="57" customFormat="1" ht="13.5" customHeight="1" x14ac:dyDescent="0.25">
      <c r="B30" s="3384" t="s">
        <v>12812</v>
      </c>
      <c r="C30" s="3384"/>
      <c r="D30" s="3384"/>
      <c r="E30" s="3384"/>
      <c r="F30" s="3384"/>
      <c r="G30" s="3384"/>
      <c r="H30" s="3384"/>
      <c r="J30" s="2120" t="s">
        <v>296</v>
      </c>
      <c r="K30" s="3669" t="s">
        <v>7299</v>
      </c>
      <c r="L30" s="3670"/>
    </row>
    <row r="31" spans="1:12" s="57" customFormat="1" ht="15" x14ac:dyDescent="0.25">
      <c r="J31" s="2124"/>
      <c r="K31" s="3669" t="s">
        <v>7300</v>
      </c>
      <c r="L31" s="3670"/>
    </row>
    <row r="32" spans="1:12" s="57" customFormat="1" ht="28.5" customHeight="1" x14ac:dyDescent="0.25">
      <c r="A32" s="55" t="s">
        <v>290</v>
      </c>
      <c r="B32" s="48" t="s">
        <v>1947</v>
      </c>
      <c r="C32" s="53"/>
      <c r="D32" s="53"/>
      <c r="E32" s="64"/>
      <c r="F32" s="53"/>
      <c r="G32" s="53"/>
      <c r="H32" s="52"/>
      <c r="J32" s="2124"/>
      <c r="K32" s="3669" t="s">
        <v>7301</v>
      </c>
      <c r="L32" s="3670"/>
    </row>
    <row r="33" spans="1:12" s="57" customFormat="1" ht="15" customHeight="1" x14ac:dyDescent="0.25">
      <c r="B33" s="51" t="s">
        <v>1959</v>
      </c>
      <c r="C33" s="53"/>
      <c r="D33" s="53"/>
      <c r="E33" s="53"/>
      <c r="F33" s="53"/>
      <c r="G33" s="53"/>
      <c r="H33" s="52"/>
      <c r="J33" s="2124"/>
      <c r="K33" s="3669" t="s">
        <v>7302</v>
      </c>
      <c r="L33" s="3670"/>
    </row>
    <row r="34" spans="1:12" s="57" customFormat="1" ht="15" x14ac:dyDescent="0.25">
      <c r="B34" s="3384" t="s">
        <v>1960</v>
      </c>
      <c r="C34" s="3384"/>
      <c r="D34" s="3384"/>
      <c r="E34" s="3384"/>
      <c r="F34" s="3384"/>
      <c r="G34" s="3384"/>
      <c r="H34" s="3384"/>
      <c r="J34" s="2124"/>
      <c r="K34" s="3671" t="s">
        <v>7303</v>
      </c>
      <c r="L34" s="3672"/>
    </row>
    <row r="35" spans="1:12" s="57" customFormat="1" ht="15" x14ac:dyDescent="0.25">
      <c r="B35" s="51" t="s">
        <v>1961</v>
      </c>
      <c r="C35" s="53"/>
      <c r="D35" s="53"/>
      <c r="E35" s="53"/>
      <c r="F35" s="53"/>
      <c r="G35" s="53"/>
      <c r="H35" s="52"/>
      <c r="J35" s="2124"/>
      <c r="K35" s="3669" t="s">
        <v>7304</v>
      </c>
      <c r="L35" s="3670"/>
    </row>
    <row r="36" spans="1:12" s="57" customFormat="1" ht="15" x14ac:dyDescent="0.25">
      <c r="B36" s="51" t="s">
        <v>1962</v>
      </c>
      <c r="C36" s="53"/>
      <c r="D36" s="53"/>
      <c r="E36" s="53"/>
      <c r="F36" s="53"/>
      <c r="G36" s="53"/>
      <c r="H36" s="52"/>
      <c r="J36" s="2124"/>
      <c r="K36" s="3669" t="s">
        <v>7305</v>
      </c>
      <c r="L36" s="3670"/>
    </row>
    <row r="37" spans="1:12" s="57" customFormat="1" ht="15" x14ac:dyDescent="0.25">
      <c r="B37" s="51" t="s">
        <v>1963</v>
      </c>
      <c r="C37" s="53"/>
      <c r="D37" s="53"/>
      <c r="E37" s="53"/>
      <c r="F37" s="53"/>
      <c r="G37" s="53"/>
      <c r="H37" s="52"/>
      <c r="J37" s="2124"/>
      <c r="K37" s="3669" t="s">
        <v>7306</v>
      </c>
      <c r="L37" s="3670"/>
    </row>
    <row r="38" spans="1:12" s="57" customFormat="1" ht="15" x14ac:dyDescent="0.25">
      <c r="B38" s="51" t="s">
        <v>1964</v>
      </c>
      <c r="C38" s="53"/>
      <c r="D38" s="53"/>
      <c r="E38" s="53"/>
      <c r="F38" s="53"/>
      <c r="G38" s="53"/>
      <c r="H38" s="52"/>
      <c r="J38" s="2123"/>
      <c r="K38" s="3669" t="s">
        <v>12828</v>
      </c>
      <c r="L38" s="3670"/>
    </row>
    <row r="39" spans="1:12" s="57" customFormat="1" ht="15" x14ac:dyDescent="0.25">
      <c r="B39" s="3384" t="s">
        <v>12829</v>
      </c>
      <c r="C39" s="3384"/>
      <c r="D39" s="3384"/>
      <c r="E39" s="3384"/>
      <c r="F39" s="3384"/>
      <c r="G39" s="3384"/>
      <c r="H39" s="3384"/>
      <c r="J39" s="2124"/>
      <c r="K39" s="3670"/>
      <c r="L39" s="3670"/>
    </row>
    <row r="40" spans="1:12" s="57" customFormat="1" ht="15" x14ac:dyDescent="0.25">
      <c r="B40" s="51" t="s">
        <v>1965</v>
      </c>
      <c r="C40" s="53"/>
      <c r="D40" s="53"/>
      <c r="E40" s="53"/>
      <c r="F40" s="53"/>
      <c r="G40" s="53"/>
      <c r="H40" s="52"/>
      <c r="J40" s="2120" t="s">
        <v>299</v>
      </c>
      <c r="K40" s="3669" t="s">
        <v>1995</v>
      </c>
      <c r="L40" s="3670"/>
    </row>
    <row r="41" spans="1:12" s="57" customFormat="1" ht="15" x14ac:dyDescent="0.25">
      <c r="J41" s="2123"/>
      <c r="K41" s="3669" t="s">
        <v>7307</v>
      </c>
      <c r="L41" s="3670"/>
    </row>
    <row r="42" spans="1:12" s="57" customFormat="1" ht="15" x14ac:dyDescent="0.25">
      <c r="B42" s="51" t="s">
        <v>1966</v>
      </c>
      <c r="C42" s="53"/>
      <c r="D42" s="53"/>
      <c r="E42" s="53"/>
      <c r="F42" s="53"/>
      <c r="G42" s="53"/>
      <c r="H42" s="52"/>
      <c r="J42" s="2124"/>
      <c r="K42" s="3670"/>
      <c r="L42" s="3670"/>
    </row>
    <row r="43" spans="1:12" s="57" customFormat="1" ht="15" x14ac:dyDescent="0.25">
      <c r="J43" s="2120" t="s">
        <v>430</v>
      </c>
      <c r="K43" s="3669" t="s">
        <v>12742</v>
      </c>
      <c r="L43" s="3670"/>
    </row>
    <row r="44" spans="1:12" s="57" customFormat="1" ht="15" x14ac:dyDescent="0.25">
      <c r="A44" s="55" t="s">
        <v>293</v>
      </c>
      <c r="B44" s="3384" t="s">
        <v>1967</v>
      </c>
      <c r="C44" s="3384"/>
      <c r="D44" s="3384"/>
      <c r="E44" s="3384"/>
      <c r="F44" s="3384"/>
      <c r="G44" s="3384"/>
      <c r="H44" s="3384"/>
      <c r="J44" s="2123"/>
      <c r="K44" s="3669" t="s">
        <v>7308</v>
      </c>
      <c r="L44" s="3670"/>
    </row>
    <row r="45" spans="1:12" s="57" customFormat="1" ht="15" x14ac:dyDescent="0.25">
      <c r="B45" s="3384" t="s">
        <v>1968</v>
      </c>
      <c r="C45" s="3384"/>
      <c r="D45" s="3384"/>
      <c r="E45" s="3384"/>
      <c r="F45" s="3384"/>
      <c r="G45" s="3384"/>
      <c r="H45" s="3384"/>
      <c r="J45" s="2124"/>
      <c r="K45" s="3670"/>
      <c r="L45" s="3670"/>
    </row>
    <row r="46" spans="1:12" s="57" customFormat="1" ht="15" x14ac:dyDescent="0.25">
      <c r="B46" s="3384" t="s">
        <v>1969</v>
      </c>
      <c r="C46" s="3384"/>
      <c r="D46" s="3384"/>
      <c r="E46" s="3384"/>
      <c r="F46" s="3384"/>
      <c r="G46" s="3384"/>
      <c r="H46" s="3384"/>
      <c r="J46" s="2120" t="s">
        <v>432</v>
      </c>
      <c r="K46" s="3669" t="s">
        <v>12743</v>
      </c>
      <c r="L46" s="3670"/>
    </row>
    <row r="47" spans="1:12" s="57" customFormat="1" ht="15" x14ac:dyDescent="0.25">
      <c r="B47" s="3384" t="s">
        <v>1970</v>
      </c>
      <c r="C47" s="3384"/>
      <c r="D47" s="3384"/>
      <c r="E47" s="3384"/>
      <c r="F47" s="3384"/>
      <c r="G47" s="3384"/>
      <c r="H47" s="3384"/>
      <c r="J47" s="2123"/>
      <c r="K47" s="3669" t="s">
        <v>7309</v>
      </c>
      <c r="L47" s="3670"/>
    </row>
    <row r="48" spans="1:12" s="57" customFormat="1" ht="15" x14ac:dyDescent="0.25">
      <c r="B48" s="3384" t="s">
        <v>1971</v>
      </c>
      <c r="C48" s="3384"/>
      <c r="D48" s="3384"/>
      <c r="E48" s="3384"/>
      <c r="F48" s="3384"/>
      <c r="G48" s="3384"/>
      <c r="H48" s="3384"/>
      <c r="J48" s="2124"/>
      <c r="K48" s="3670"/>
      <c r="L48" s="3670"/>
    </row>
    <row r="49" spans="1:12" s="57" customFormat="1" ht="15" x14ac:dyDescent="0.25">
      <c r="B49" s="3384" t="s">
        <v>1972</v>
      </c>
      <c r="C49" s="3384"/>
      <c r="D49" s="3384"/>
      <c r="E49" s="3384"/>
      <c r="F49" s="3384"/>
      <c r="G49" s="3384"/>
      <c r="H49" s="3384"/>
      <c r="J49" s="2120" t="s">
        <v>434</v>
      </c>
      <c r="K49" s="3669" t="s">
        <v>12813</v>
      </c>
      <c r="L49" s="3670"/>
    </row>
    <row r="50" spans="1:12" s="57" customFormat="1" ht="15" x14ac:dyDescent="0.25">
      <c r="J50" s="2124"/>
      <c r="K50" s="3669" t="s">
        <v>7310</v>
      </c>
      <c r="L50" s="3670"/>
    </row>
    <row r="51" spans="1:12" s="57" customFormat="1" ht="15" x14ac:dyDescent="0.25">
      <c r="A51" s="55" t="s">
        <v>296</v>
      </c>
      <c r="B51" s="47" t="s">
        <v>1973</v>
      </c>
      <c r="C51" s="62"/>
      <c r="D51" s="62"/>
      <c r="E51" s="65"/>
      <c r="F51" s="62"/>
      <c r="G51" s="62"/>
      <c r="H51" s="62"/>
      <c r="J51" s="2124"/>
      <c r="K51" s="3669" t="s">
        <v>12814</v>
      </c>
      <c r="L51" s="3670"/>
    </row>
    <row r="52" spans="1:12" s="57" customFormat="1" ht="15" x14ac:dyDescent="0.25">
      <c r="B52" s="3384" t="s">
        <v>1974</v>
      </c>
      <c r="C52" s="3384"/>
      <c r="D52" s="3384"/>
      <c r="E52" s="3384"/>
      <c r="F52" s="3384"/>
      <c r="G52" s="3384"/>
      <c r="H52" s="3384"/>
      <c r="J52" s="2124"/>
      <c r="K52" s="3669" t="s">
        <v>12830</v>
      </c>
      <c r="L52" s="3670"/>
    </row>
    <row r="53" spans="1:12" s="57" customFormat="1" ht="15" x14ac:dyDescent="0.25">
      <c r="B53" s="3384" t="s">
        <v>1975</v>
      </c>
      <c r="C53" s="3384"/>
      <c r="D53" s="3384"/>
      <c r="E53" s="3384"/>
      <c r="F53" s="3384"/>
      <c r="G53" s="3384"/>
      <c r="H53" s="62"/>
      <c r="J53" s="2124"/>
      <c r="K53" s="3669" t="s">
        <v>12815</v>
      </c>
      <c r="L53" s="3670"/>
    </row>
    <row r="54" spans="1:12" s="57" customFormat="1" ht="15" x14ac:dyDescent="0.25">
      <c r="B54" s="3384" t="s">
        <v>1976</v>
      </c>
      <c r="C54" s="3384"/>
      <c r="D54" s="3384"/>
      <c r="E54" s="3384"/>
      <c r="F54" s="3384"/>
      <c r="G54" s="3384"/>
      <c r="H54" s="3384"/>
      <c r="J54" s="2123"/>
      <c r="K54" s="3669" t="s">
        <v>12816</v>
      </c>
      <c r="L54" s="3670"/>
    </row>
    <row r="55" spans="1:12" s="57" customFormat="1" ht="15" x14ac:dyDescent="0.25">
      <c r="B55" s="3384" t="s">
        <v>1977</v>
      </c>
      <c r="C55" s="3384"/>
      <c r="D55" s="3384"/>
      <c r="E55" s="3384"/>
      <c r="F55" s="3384"/>
      <c r="G55" s="3384"/>
      <c r="H55" s="3384"/>
      <c r="J55" s="2124"/>
      <c r="K55" s="3670"/>
      <c r="L55" s="3670"/>
    </row>
    <row r="56" spans="1:12" s="57" customFormat="1" ht="15" x14ac:dyDescent="0.25">
      <c r="B56" s="3384" t="s">
        <v>1978</v>
      </c>
      <c r="C56" s="3384"/>
      <c r="D56" s="3384"/>
      <c r="E56" s="3384"/>
      <c r="F56" s="3384"/>
      <c r="G56" s="3384"/>
      <c r="H56" s="3384"/>
      <c r="J56" s="2120" t="s">
        <v>435</v>
      </c>
      <c r="K56" s="3669" t="s">
        <v>7311</v>
      </c>
      <c r="L56" s="3670"/>
    </row>
    <row r="57" spans="1:12" s="57" customFormat="1" ht="15" x14ac:dyDescent="0.25">
      <c r="A57" s="55" t="s">
        <v>299</v>
      </c>
      <c r="J57" s="2123"/>
      <c r="K57" s="3669" t="s">
        <v>7312</v>
      </c>
      <c r="L57" s="3670"/>
    </row>
    <row r="58" spans="1:12" s="57" customFormat="1" ht="15" x14ac:dyDescent="0.25">
      <c r="B58" s="47" t="s">
        <v>1979</v>
      </c>
      <c r="C58" s="62"/>
      <c r="D58" s="62"/>
      <c r="E58" s="65"/>
      <c r="F58" s="62"/>
      <c r="G58" s="62"/>
      <c r="H58" s="62"/>
      <c r="J58" s="2124"/>
      <c r="K58" s="3670"/>
      <c r="L58" s="3670"/>
    </row>
    <row r="59" spans="1:12" s="57" customFormat="1" ht="15" x14ac:dyDescent="0.25">
      <c r="B59" s="62" t="s">
        <v>1980</v>
      </c>
      <c r="C59" s="62"/>
      <c r="D59" s="62"/>
      <c r="E59" s="62"/>
      <c r="F59" s="62"/>
      <c r="G59" s="62"/>
      <c r="H59" s="62"/>
      <c r="J59" s="2120" t="s">
        <v>437</v>
      </c>
      <c r="K59" s="3669" t="s">
        <v>7313</v>
      </c>
      <c r="L59" s="3670"/>
    </row>
    <row r="60" spans="1:12" s="57" customFormat="1" ht="15" x14ac:dyDescent="0.25">
      <c r="B60" s="62" t="s">
        <v>1981</v>
      </c>
      <c r="C60" s="62"/>
      <c r="D60" s="62"/>
      <c r="E60" s="62"/>
      <c r="F60" s="62"/>
      <c r="G60" s="62"/>
      <c r="H60" s="62"/>
      <c r="J60" s="2124"/>
      <c r="K60" s="3669" t="s">
        <v>7314</v>
      </c>
      <c r="L60" s="3670"/>
    </row>
    <row r="61" spans="1:12" s="57" customFormat="1" ht="24.75" customHeight="1" x14ac:dyDescent="0.25">
      <c r="B61" s="3384" t="s">
        <v>1982</v>
      </c>
      <c r="C61" s="3384"/>
      <c r="D61" s="3384"/>
      <c r="E61" s="3384"/>
      <c r="F61" s="3384"/>
      <c r="G61" s="3384"/>
      <c r="H61" s="62"/>
      <c r="J61" s="2124"/>
      <c r="K61" s="3669" t="s">
        <v>7315</v>
      </c>
      <c r="L61" s="3670"/>
    </row>
    <row r="62" spans="1:12" s="57" customFormat="1" ht="15" x14ac:dyDescent="0.25">
      <c r="B62" s="3384" t="s">
        <v>1983</v>
      </c>
      <c r="C62" s="3384"/>
      <c r="D62" s="3384"/>
      <c r="E62" s="3384"/>
      <c r="F62" s="3384"/>
      <c r="G62" s="3384"/>
      <c r="H62" s="62"/>
      <c r="J62" s="2124"/>
      <c r="K62" s="3669" t="s">
        <v>7316</v>
      </c>
      <c r="L62" s="3670"/>
    </row>
    <row r="63" spans="1:12" s="66" customFormat="1" ht="15" x14ac:dyDescent="0.25">
      <c r="B63" s="3384" t="s">
        <v>1984</v>
      </c>
      <c r="C63" s="3384"/>
      <c r="D63" s="3384"/>
      <c r="E63" s="3384"/>
      <c r="F63" s="3384"/>
      <c r="G63" s="3384"/>
      <c r="H63" s="67"/>
      <c r="J63" s="2124"/>
      <c r="K63" s="3669" t="s">
        <v>7317</v>
      </c>
      <c r="L63" s="3670"/>
    </row>
    <row r="64" spans="1:12" s="57" customFormat="1" ht="15" x14ac:dyDescent="0.25">
      <c r="B64" s="47" t="s">
        <v>1985</v>
      </c>
      <c r="C64" s="47"/>
      <c r="D64" s="47"/>
      <c r="E64" s="47"/>
      <c r="F64" s="47"/>
      <c r="G64" s="47"/>
      <c r="H64" s="62"/>
      <c r="J64" s="2124"/>
      <c r="K64" s="3669" t="s">
        <v>7318</v>
      </c>
      <c r="L64" s="3670"/>
    </row>
    <row r="65" spans="1:12" s="57" customFormat="1" ht="15" x14ac:dyDescent="0.25">
      <c r="B65" s="3384" t="s">
        <v>1986</v>
      </c>
      <c r="C65" s="3384"/>
      <c r="D65" s="3384"/>
      <c r="E65" s="3384"/>
      <c r="F65" s="3384"/>
      <c r="G65" s="3384"/>
      <c r="H65" s="62"/>
      <c r="J65" s="2124"/>
      <c r="K65" s="3669" t="s">
        <v>12817</v>
      </c>
      <c r="L65" s="3670"/>
    </row>
    <row r="66" spans="1:12" s="57" customFormat="1" ht="16.5" customHeight="1" x14ac:dyDescent="0.25">
      <c r="B66" s="3384" t="s">
        <v>1987</v>
      </c>
      <c r="C66" s="3384"/>
      <c r="D66" s="3384"/>
      <c r="E66" s="3384"/>
      <c r="F66" s="3384"/>
      <c r="G66" s="3384"/>
      <c r="H66" s="62"/>
      <c r="J66" s="2123"/>
      <c r="K66" s="3669" t="s">
        <v>12818</v>
      </c>
      <c r="L66" s="3670"/>
    </row>
    <row r="67" spans="1:12" s="57" customFormat="1" ht="15" x14ac:dyDescent="0.25">
      <c r="B67" s="3384" t="s">
        <v>1988</v>
      </c>
      <c r="C67" s="3384"/>
      <c r="D67" s="3384"/>
      <c r="E67" s="3384"/>
      <c r="F67" s="3384"/>
      <c r="G67" s="3384"/>
      <c r="H67" s="62"/>
      <c r="J67" s="2123"/>
      <c r="K67" s="2117"/>
      <c r="L67" s="2118"/>
    </row>
    <row r="68" spans="1:12" s="57" customFormat="1" ht="15" hidden="1" x14ac:dyDescent="0.25">
      <c r="B68" s="3384" t="s">
        <v>1989</v>
      </c>
      <c r="C68" s="3384"/>
      <c r="D68" s="3384"/>
      <c r="E68" s="3384"/>
      <c r="F68" s="3384"/>
      <c r="G68" s="3384"/>
      <c r="H68" s="62"/>
      <c r="J68" s="2120"/>
      <c r="K68" s="2117"/>
      <c r="L68" s="2117"/>
    </row>
    <row r="69" spans="1:12" s="57" customFormat="1" ht="15" x14ac:dyDescent="0.25">
      <c r="B69" s="3384" t="s">
        <v>1990</v>
      </c>
      <c r="C69" s="3384"/>
      <c r="D69" s="3384"/>
      <c r="E69" s="3384"/>
      <c r="F69" s="3384"/>
      <c r="G69" s="3384"/>
      <c r="H69" s="62"/>
      <c r="J69" s="2120" t="s">
        <v>439</v>
      </c>
      <c r="K69" s="3669" t="s">
        <v>7289</v>
      </c>
      <c r="L69" s="3670"/>
    </row>
    <row r="70" spans="1:12" s="57" customFormat="1" ht="15" x14ac:dyDescent="0.25">
      <c r="B70" s="47" t="s">
        <v>1991</v>
      </c>
      <c r="C70" s="62"/>
      <c r="D70" s="62"/>
      <c r="E70" s="62"/>
      <c r="F70" s="62"/>
      <c r="G70" s="62"/>
      <c r="H70" s="62"/>
      <c r="J70" s="2122"/>
      <c r="K70" s="3669" t="s">
        <v>7319</v>
      </c>
      <c r="L70" s="3670"/>
    </row>
    <row r="71" spans="1:12" s="57" customFormat="1" ht="15" x14ac:dyDescent="0.25">
      <c r="B71" s="62" t="s">
        <v>1992</v>
      </c>
      <c r="C71" s="62"/>
      <c r="D71" s="62"/>
      <c r="E71" s="62"/>
      <c r="F71" s="62"/>
      <c r="G71" s="62"/>
      <c r="H71" s="62"/>
      <c r="J71" s="2122"/>
      <c r="K71" s="3669" t="s">
        <v>12819</v>
      </c>
      <c r="L71" s="3670"/>
    </row>
    <row r="72" spans="1:12" s="57" customFormat="1" ht="15" x14ac:dyDescent="0.25">
      <c r="B72" s="3384" t="s">
        <v>1993</v>
      </c>
      <c r="C72" s="3384"/>
      <c r="D72" s="3384"/>
      <c r="E72" s="3384"/>
      <c r="F72" s="3384"/>
      <c r="G72" s="3384"/>
      <c r="H72" s="3384"/>
      <c r="J72" s="2122"/>
      <c r="K72" s="3669" t="s">
        <v>7320</v>
      </c>
      <c r="L72" s="3670"/>
    </row>
    <row r="73" spans="1:12" s="57" customFormat="1" ht="15" x14ac:dyDescent="0.25">
      <c r="B73" s="3384" t="s">
        <v>12820</v>
      </c>
      <c r="C73" s="3384"/>
      <c r="D73" s="3384"/>
      <c r="E73" s="3384"/>
      <c r="F73" s="3384"/>
      <c r="G73" s="3384"/>
      <c r="H73" s="3384"/>
      <c r="J73" s="2122"/>
      <c r="K73" s="3669" t="s">
        <v>12821</v>
      </c>
      <c r="L73" s="3670"/>
    </row>
    <row r="74" spans="1:12" s="57" customFormat="1" ht="15" x14ac:dyDescent="0.25">
      <c r="B74" s="3384" t="s">
        <v>1994</v>
      </c>
      <c r="C74" s="3384"/>
      <c r="D74" s="3384"/>
      <c r="E74" s="3384"/>
      <c r="F74" s="3384"/>
      <c r="G74" s="3384"/>
      <c r="H74" s="3384"/>
      <c r="J74" s="2122"/>
      <c r="K74" s="3669" t="s">
        <v>7321</v>
      </c>
      <c r="L74" s="3670"/>
    </row>
    <row r="75" spans="1:12" s="57" customFormat="1" ht="15" x14ac:dyDescent="0.25">
      <c r="B75" s="3384" t="s">
        <v>12822</v>
      </c>
      <c r="C75" s="3384"/>
      <c r="D75" s="3384"/>
      <c r="E75" s="3384"/>
      <c r="F75" s="3384"/>
      <c r="G75" s="3384"/>
      <c r="H75" s="3384"/>
      <c r="J75" s="2122"/>
      <c r="K75" s="3669" t="s">
        <v>7322</v>
      </c>
      <c r="L75" s="3670"/>
    </row>
    <row r="76" spans="1:12" s="57" customFormat="1" ht="15" x14ac:dyDescent="0.25">
      <c r="B76" s="3384" t="s">
        <v>12823</v>
      </c>
      <c r="C76" s="3384"/>
      <c r="D76" s="3384"/>
      <c r="E76" s="3384"/>
      <c r="F76" s="3384"/>
      <c r="G76" s="3384"/>
      <c r="H76" s="3384"/>
      <c r="J76" s="2121"/>
      <c r="K76" s="3669" t="s">
        <v>7323</v>
      </c>
      <c r="L76" s="3670"/>
    </row>
    <row r="77" spans="1:12" s="57" customFormat="1" ht="15" hidden="1" x14ac:dyDescent="0.25">
      <c r="J77" s="2121"/>
      <c r="K77" s="3670"/>
      <c r="L77" s="3670"/>
    </row>
    <row r="78" spans="1:12" s="57" customFormat="1" ht="15" hidden="1" x14ac:dyDescent="0.25">
      <c r="A78" s="55" t="s">
        <v>430</v>
      </c>
      <c r="B78" s="48" t="s">
        <v>1995</v>
      </c>
      <c r="C78" s="53"/>
      <c r="D78" s="53"/>
      <c r="E78" s="64"/>
      <c r="F78" s="53"/>
      <c r="G78" s="53"/>
      <c r="H78" s="52"/>
      <c r="J78" s="2119"/>
      <c r="K78" s="3670" t="s">
        <v>7324</v>
      </c>
      <c r="L78" s="3670"/>
    </row>
    <row r="79" spans="1:12" s="57" customFormat="1" ht="15" hidden="1" x14ac:dyDescent="0.25">
      <c r="B79" s="3384" t="s">
        <v>1996</v>
      </c>
      <c r="C79" s="3384"/>
      <c r="D79" s="3384"/>
      <c r="E79" s="3384"/>
      <c r="F79" s="3384"/>
      <c r="G79" s="3384"/>
      <c r="H79" s="3384"/>
      <c r="J79" s="2119"/>
      <c r="K79" s="3670" t="s">
        <v>7325</v>
      </c>
      <c r="L79" s="3670"/>
    </row>
    <row r="80" spans="1:12" s="57" customFormat="1" ht="30" hidden="1" customHeight="1" x14ac:dyDescent="0.25">
      <c r="J80" s="2119"/>
      <c r="K80" s="3670" t="s">
        <v>7326</v>
      </c>
      <c r="L80" s="3670"/>
    </row>
    <row r="81" spans="1:12" s="57" customFormat="1" ht="95.25" customHeight="1" x14ac:dyDescent="0.25">
      <c r="A81" s="55" t="s">
        <v>432</v>
      </c>
      <c r="B81" s="48" t="s">
        <v>12824</v>
      </c>
      <c r="C81" s="53"/>
      <c r="D81" s="53"/>
      <c r="E81" s="64"/>
      <c r="F81" s="53"/>
      <c r="G81" s="53"/>
      <c r="H81" s="52"/>
      <c r="J81" s="2119"/>
      <c r="K81" s="3670" t="s">
        <v>12744</v>
      </c>
      <c r="L81" s="3670"/>
    </row>
    <row r="82" spans="1:12" s="57" customFormat="1" ht="39.75" customHeight="1" x14ac:dyDescent="0.25">
      <c r="B82" s="3384" t="s">
        <v>12825</v>
      </c>
      <c r="C82" s="3384"/>
      <c r="D82" s="3384"/>
      <c r="E82" s="3384"/>
      <c r="F82" s="3384"/>
      <c r="G82" s="3384"/>
      <c r="H82" s="3384"/>
    </row>
    <row r="83" spans="1:12" s="57" customFormat="1" ht="25.5" hidden="1" customHeight="1" x14ac:dyDescent="0.25">
      <c r="B83" s="3384" t="s">
        <v>12826</v>
      </c>
      <c r="C83" s="3384"/>
      <c r="D83" s="3384"/>
      <c r="E83" s="3384"/>
      <c r="F83" s="3384"/>
      <c r="G83" s="3384"/>
      <c r="H83" s="3384"/>
    </row>
    <row r="84" spans="1:12" s="57" customFormat="1" hidden="1" x14ac:dyDescent="0.2">
      <c r="B84" s="62" t="s">
        <v>1997</v>
      </c>
      <c r="C84" s="53"/>
      <c r="D84" s="53"/>
      <c r="E84" s="53"/>
      <c r="F84" s="53"/>
      <c r="G84" s="53"/>
      <c r="H84" s="52"/>
    </row>
    <row r="85" spans="1:12" s="57" customFormat="1" hidden="1" x14ac:dyDescent="0.2"/>
    <row r="86" spans="1:12" s="57" customFormat="1" hidden="1" x14ac:dyDescent="0.2">
      <c r="A86" s="55" t="s">
        <v>434</v>
      </c>
      <c r="B86" s="48" t="s">
        <v>1998</v>
      </c>
      <c r="C86" s="53"/>
      <c r="D86" s="53"/>
      <c r="E86" s="64"/>
      <c r="F86" s="53"/>
      <c r="G86" s="53"/>
      <c r="H86" s="52"/>
    </row>
    <row r="87" spans="1:12" s="57" customFormat="1" ht="29.25" hidden="1" customHeight="1" x14ac:dyDescent="0.25">
      <c r="B87" s="3384" t="s">
        <v>1999</v>
      </c>
      <c r="C87" s="3384"/>
      <c r="D87" s="3384"/>
      <c r="E87" s="3384"/>
      <c r="F87" s="3384"/>
      <c r="G87" s="3384"/>
      <c r="H87" s="3384"/>
    </row>
    <row r="88" spans="1:12" s="57" customFormat="1" hidden="1" x14ac:dyDescent="0.2">
      <c r="B88" s="51" t="s">
        <v>2000</v>
      </c>
      <c r="C88" s="53"/>
      <c r="D88" s="53"/>
      <c r="E88" s="53"/>
      <c r="F88" s="53"/>
      <c r="G88" s="53"/>
      <c r="H88" s="52"/>
    </row>
    <row r="89" spans="1:12" s="57" customFormat="1" hidden="1" x14ac:dyDescent="0.2"/>
    <row r="90" spans="1:12" s="57" customFormat="1" hidden="1" x14ac:dyDescent="0.2">
      <c r="A90" s="55" t="s">
        <v>435</v>
      </c>
      <c r="B90" s="68" t="s">
        <v>1953</v>
      </c>
    </row>
    <row r="91" spans="1:12" s="57" customFormat="1" ht="29.25" hidden="1" customHeight="1" x14ac:dyDescent="0.25">
      <c r="B91" s="3384" t="s">
        <v>2001</v>
      </c>
      <c r="C91" s="3384"/>
      <c r="D91" s="3384"/>
      <c r="E91" s="3384"/>
      <c r="F91" s="3384"/>
      <c r="G91" s="3384"/>
      <c r="H91" s="3384"/>
    </row>
    <row r="92" spans="1:12" s="57" customFormat="1" ht="30.75" hidden="1" customHeight="1" x14ac:dyDescent="0.25">
      <c r="B92" s="3384" t="s">
        <v>2002</v>
      </c>
      <c r="C92" s="3384"/>
      <c r="D92" s="3384"/>
      <c r="E92" s="3384"/>
      <c r="F92" s="3384"/>
      <c r="G92" s="3384"/>
      <c r="H92" s="3384"/>
    </row>
    <row r="93" spans="1:12" s="57" customFormat="1" ht="29.25" hidden="1" customHeight="1" x14ac:dyDescent="0.25">
      <c r="B93" s="3384" t="s">
        <v>2003</v>
      </c>
      <c r="C93" s="3384"/>
      <c r="D93" s="3384"/>
      <c r="E93" s="3384"/>
      <c r="F93" s="3384"/>
      <c r="G93" s="3384"/>
      <c r="H93" s="3384"/>
    </row>
    <row r="94" spans="1:12" s="57" customFormat="1" hidden="1" x14ac:dyDescent="0.2">
      <c r="B94" s="51" t="s">
        <v>2004</v>
      </c>
      <c r="C94" s="53"/>
      <c r="D94" s="53"/>
      <c r="E94" s="53"/>
      <c r="F94" s="53"/>
      <c r="G94" s="53"/>
      <c r="H94" s="52"/>
    </row>
    <row r="95" spans="1:12" s="57" customFormat="1" hidden="1" x14ac:dyDescent="0.2"/>
    <row r="96" spans="1:12" s="57" customFormat="1" hidden="1" x14ac:dyDescent="0.2"/>
    <row r="97" spans="1:4" s="57" customFormat="1" hidden="1" x14ac:dyDescent="0.2"/>
    <row r="98" spans="1:4" s="57" customFormat="1" ht="15" hidden="1" x14ac:dyDescent="0.25">
      <c r="A98" s="3384" t="s">
        <v>2005</v>
      </c>
      <c r="B98" s="3384"/>
    </row>
    <row r="99" spans="1:4" s="57" customFormat="1" hidden="1" x14ac:dyDescent="0.2">
      <c r="A99" s="57" t="s">
        <v>2006</v>
      </c>
    </row>
    <row r="100" spans="1:4" s="57" customFormat="1" ht="51" hidden="1" x14ac:dyDescent="0.2">
      <c r="A100" s="985" t="s">
        <v>2007</v>
      </c>
      <c r="B100" s="985" t="s">
        <v>42</v>
      </c>
      <c r="C100" s="985" t="s">
        <v>2008</v>
      </c>
      <c r="D100" s="986" t="s">
        <v>12827</v>
      </c>
    </row>
    <row r="101" spans="1:4" s="57" customFormat="1" hidden="1" x14ac:dyDescent="0.2">
      <c r="A101" s="987">
        <v>1</v>
      </c>
      <c r="B101" s="988" t="s">
        <v>2009</v>
      </c>
      <c r="C101" s="989">
        <v>0.15</v>
      </c>
      <c r="D101" s="987" t="s">
        <v>1914</v>
      </c>
    </row>
    <row r="102" spans="1:4" s="57" customFormat="1" ht="25.5" hidden="1" x14ac:dyDescent="0.2">
      <c r="A102" s="987">
        <f t="shared" ref="A102:A107" si="0">A101+1</f>
        <v>2</v>
      </c>
      <c r="B102" s="988" t="s">
        <v>2010</v>
      </c>
      <c r="C102" s="989">
        <v>0.1</v>
      </c>
      <c r="D102" s="987">
        <v>22</v>
      </c>
    </row>
    <row r="103" spans="1:4" s="57" customFormat="1" ht="25.5" hidden="1" x14ac:dyDescent="0.2">
      <c r="A103" s="987">
        <f t="shared" si="0"/>
        <v>3</v>
      </c>
      <c r="B103" s="988" t="s">
        <v>2011</v>
      </c>
      <c r="C103" s="989">
        <v>0.1</v>
      </c>
      <c r="D103" s="987" t="s">
        <v>1916</v>
      </c>
    </row>
    <row r="104" spans="1:4" s="57" customFormat="1" hidden="1" x14ac:dyDescent="0.2">
      <c r="A104" s="987">
        <f t="shared" si="0"/>
        <v>4</v>
      </c>
      <c r="B104" s="988" t="s">
        <v>2012</v>
      </c>
      <c r="C104" s="989">
        <v>0.2</v>
      </c>
      <c r="D104" s="987">
        <v>21</v>
      </c>
    </row>
    <row r="105" spans="1:4" s="57" customFormat="1" ht="25.5" hidden="1" x14ac:dyDescent="0.2">
      <c r="A105" s="987">
        <f t="shared" si="0"/>
        <v>5</v>
      </c>
      <c r="B105" s="988" t="s">
        <v>2013</v>
      </c>
      <c r="C105" s="989">
        <v>0.3</v>
      </c>
      <c r="D105" s="987" t="s">
        <v>1193</v>
      </c>
    </row>
    <row r="106" spans="1:4" s="57" customFormat="1" ht="25.5" hidden="1" x14ac:dyDescent="0.2">
      <c r="A106" s="987">
        <f t="shared" si="0"/>
        <v>6</v>
      </c>
      <c r="B106" s="988" t="s">
        <v>1897</v>
      </c>
      <c r="C106" s="990" t="s">
        <v>2014</v>
      </c>
      <c r="D106" s="991" t="s">
        <v>1913</v>
      </c>
    </row>
    <row r="107" spans="1:4" s="57" customFormat="1" hidden="1" x14ac:dyDescent="0.2">
      <c r="A107" s="987">
        <f t="shared" si="0"/>
        <v>7</v>
      </c>
      <c r="B107" s="988" t="s">
        <v>1630</v>
      </c>
      <c r="C107" s="990">
        <v>0.1</v>
      </c>
      <c r="D107" s="991">
        <v>1</v>
      </c>
    </row>
    <row r="108" spans="1:4" s="57" customFormat="1" hidden="1" x14ac:dyDescent="0.2">
      <c r="A108" s="987">
        <v>8</v>
      </c>
      <c r="B108" s="988" t="s">
        <v>2015</v>
      </c>
      <c r="C108" s="990"/>
      <c r="D108" s="991"/>
    </row>
    <row r="109" spans="1:4" s="57" customFormat="1" ht="25.5" hidden="1" x14ac:dyDescent="0.2">
      <c r="A109" s="991"/>
      <c r="B109" s="988" t="s">
        <v>2016</v>
      </c>
      <c r="C109" s="990">
        <v>0.2</v>
      </c>
      <c r="D109" s="991" t="s">
        <v>1181</v>
      </c>
    </row>
    <row r="110" spans="1:4" s="57" customFormat="1" ht="25.5" hidden="1" x14ac:dyDescent="0.2">
      <c r="A110" s="987"/>
      <c r="B110" s="988" t="s">
        <v>1637</v>
      </c>
      <c r="C110" s="992">
        <v>0.2</v>
      </c>
      <c r="D110" s="991" t="s">
        <v>1182</v>
      </c>
    </row>
    <row r="111" spans="1:4" s="57" customFormat="1" ht="38.25" hidden="1" x14ac:dyDescent="0.2">
      <c r="A111" s="987"/>
      <c r="B111" s="988" t="s">
        <v>1642</v>
      </c>
      <c r="C111" s="990">
        <v>0.5</v>
      </c>
      <c r="D111" s="987" t="s">
        <v>1187</v>
      </c>
    </row>
    <row r="112" spans="1:4" s="57" customFormat="1" ht="25.5" hidden="1" x14ac:dyDescent="0.2">
      <c r="A112" s="987"/>
      <c r="B112" s="988" t="s">
        <v>2017</v>
      </c>
      <c r="C112" s="990">
        <v>0.05</v>
      </c>
      <c r="D112" s="987" t="s">
        <v>1183</v>
      </c>
    </row>
    <row r="113" spans="1:4" s="57" customFormat="1" hidden="1" x14ac:dyDescent="0.2">
      <c r="A113" s="987"/>
      <c r="B113" s="988" t="s">
        <v>2018</v>
      </c>
      <c r="C113" s="990">
        <v>0.05</v>
      </c>
      <c r="D113" s="987" t="s">
        <v>1184</v>
      </c>
    </row>
    <row r="114" spans="1:4" s="57" customFormat="1" ht="25.5" hidden="1" x14ac:dyDescent="0.2">
      <c r="A114" s="987"/>
      <c r="B114" s="988" t="s">
        <v>1641</v>
      </c>
      <c r="C114" s="990">
        <v>0.2</v>
      </c>
      <c r="D114" s="987" t="s">
        <v>1186</v>
      </c>
    </row>
    <row r="115" spans="1:4" s="57" customFormat="1" ht="25.5" hidden="1" x14ac:dyDescent="0.2">
      <c r="A115" s="987"/>
      <c r="B115" s="988" t="s">
        <v>2019</v>
      </c>
      <c r="C115" s="990">
        <v>0.3</v>
      </c>
      <c r="D115" s="993" t="s">
        <v>2020</v>
      </c>
    </row>
    <row r="116" spans="1:4" s="57" customFormat="1" ht="25.5" hidden="1" x14ac:dyDescent="0.2">
      <c r="A116" s="987"/>
      <c r="B116" s="988" t="s">
        <v>2021</v>
      </c>
      <c r="C116" s="990">
        <v>0.2</v>
      </c>
      <c r="D116" s="993" t="s">
        <v>2022</v>
      </c>
    </row>
    <row r="117" spans="1:4" s="57" customFormat="1" ht="25.5" hidden="1" x14ac:dyDescent="0.2">
      <c r="A117" s="987"/>
      <c r="B117" s="988" t="s">
        <v>2023</v>
      </c>
      <c r="C117" s="990">
        <v>0.1</v>
      </c>
      <c r="D117" s="993" t="s">
        <v>2024</v>
      </c>
    </row>
    <row r="118" spans="1:4" s="57" customFormat="1" ht="25.5" hidden="1" x14ac:dyDescent="0.2">
      <c r="A118" s="987"/>
      <c r="B118" s="988" t="s">
        <v>2025</v>
      </c>
      <c r="C118" s="990">
        <v>0.1</v>
      </c>
      <c r="D118" s="993" t="s">
        <v>2026</v>
      </c>
    </row>
    <row r="119" spans="1:4" s="57" customFormat="1" hidden="1" x14ac:dyDescent="0.2">
      <c r="A119" s="987"/>
      <c r="B119" s="988" t="s">
        <v>2027</v>
      </c>
      <c r="C119" s="990">
        <v>0.1</v>
      </c>
      <c r="D119" s="993" t="s">
        <v>2028</v>
      </c>
    </row>
    <row r="120" spans="1:4" s="57" customFormat="1" ht="25.5" hidden="1" x14ac:dyDescent="0.2">
      <c r="A120" s="987"/>
      <c r="B120" s="988" t="s">
        <v>2029</v>
      </c>
      <c r="C120" s="990">
        <v>0.1</v>
      </c>
      <c r="D120" s="993" t="s">
        <v>2030</v>
      </c>
    </row>
    <row r="121" spans="1:4" s="57" customFormat="1" ht="25.5" hidden="1" x14ac:dyDescent="0.2">
      <c r="A121" s="987"/>
      <c r="B121" s="988" t="s">
        <v>2031</v>
      </c>
      <c r="C121" s="990">
        <v>0.1</v>
      </c>
      <c r="D121" s="993" t="s">
        <v>2032</v>
      </c>
    </row>
    <row r="122" spans="1:4" s="57" customFormat="1" hidden="1" x14ac:dyDescent="0.2">
      <c r="A122" s="987"/>
      <c r="B122" s="988" t="s">
        <v>2033</v>
      </c>
      <c r="C122" s="994">
        <v>0.125</v>
      </c>
      <c r="D122" s="987" t="s">
        <v>2034</v>
      </c>
    </row>
    <row r="123" spans="1:4" s="57" customFormat="1" ht="25.5" hidden="1" x14ac:dyDescent="0.2">
      <c r="A123" s="987"/>
      <c r="B123" s="988" t="s">
        <v>1650</v>
      </c>
      <c r="C123" s="990">
        <v>0.2</v>
      </c>
      <c r="D123" s="987" t="s">
        <v>1194</v>
      </c>
    </row>
    <row r="124" spans="1:4" s="57" customFormat="1" hidden="1" x14ac:dyDescent="0.2">
      <c r="A124" s="987"/>
      <c r="B124" s="988" t="s">
        <v>2035</v>
      </c>
      <c r="C124" s="990">
        <v>0.1</v>
      </c>
      <c r="D124" s="987" t="s">
        <v>2036</v>
      </c>
    </row>
    <row r="125" spans="1:4" s="57" customFormat="1" hidden="1" x14ac:dyDescent="0.2">
      <c r="A125" s="987"/>
      <c r="B125" s="988" t="s">
        <v>1651</v>
      </c>
      <c r="C125" s="990">
        <v>0.3</v>
      </c>
      <c r="D125" s="987" t="s">
        <v>1195</v>
      </c>
    </row>
    <row r="126" spans="1:4" s="57" customFormat="1" ht="25.5" hidden="1" x14ac:dyDescent="0.2">
      <c r="A126" s="987"/>
      <c r="B126" s="988" t="s">
        <v>2037</v>
      </c>
      <c r="C126" s="990">
        <v>0.3</v>
      </c>
      <c r="D126" s="995" t="s">
        <v>1196</v>
      </c>
    </row>
    <row r="127" spans="1:4" s="57" customFormat="1" hidden="1" x14ac:dyDescent="0.2">
      <c r="A127" s="987"/>
      <c r="B127" s="988" t="s">
        <v>1652</v>
      </c>
      <c r="C127" s="990">
        <v>0.2</v>
      </c>
      <c r="D127" s="987" t="s">
        <v>1197</v>
      </c>
    </row>
    <row r="128" spans="1:4" s="57" customFormat="1" hidden="1" x14ac:dyDescent="0.2">
      <c r="A128" s="987"/>
      <c r="B128" s="988" t="s">
        <v>1654</v>
      </c>
      <c r="C128" s="990">
        <v>0.1</v>
      </c>
      <c r="D128" s="987" t="s">
        <v>1922</v>
      </c>
    </row>
  </sheetData>
  <sheetProtection algorithmName="SHA-512" hashValue="UNyYsdBk1ogOmxivd00K8UHjjAh1N7f1JlhbFGhLRAjeEFEv/9a9hHlK04vyrOgtMlh/v4cF7GP84qXoPf4Wrw==" saltValue="k+tId5E7ElNFSUGwehVW+Q==" spinCount="100000" sheet="1" objects="1" scenarios="1"/>
  <mergeCells count="112">
    <mergeCell ref="K48:L48"/>
    <mergeCell ref="K54:L54"/>
    <mergeCell ref="A2:B2"/>
    <mergeCell ref="B49:H49"/>
    <mergeCell ref="B55:H55"/>
    <mergeCell ref="B56:H56"/>
    <mergeCell ref="B63:G63"/>
    <mergeCell ref="J1:L1"/>
    <mergeCell ref="B54:H54"/>
    <mergeCell ref="B48:H48"/>
    <mergeCell ref="B44:H44"/>
    <mergeCell ref="B45:H45"/>
    <mergeCell ref="B46:H46"/>
    <mergeCell ref="B47:H47"/>
    <mergeCell ref="B52:H52"/>
    <mergeCell ref="B53:G53"/>
    <mergeCell ref="B39:H39"/>
    <mergeCell ref="K57:L57"/>
    <mergeCell ref="K58:L58"/>
    <mergeCell ref="K14:L14"/>
    <mergeCell ref="K21:L21"/>
    <mergeCell ref="K22:L22"/>
    <mergeCell ref="K23:L23"/>
    <mergeCell ref="B29:H29"/>
    <mergeCell ref="A98:B98"/>
    <mergeCell ref="B93:H93"/>
    <mergeCell ref="B79:H79"/>
    <mergeCell ref="B82:H82"/>
    <mergeCell ref="B83:H83"/>
    <mergeCell ref="B68:G68"/>
    <mergeCell ref="B91:H91"/>
    <mergeCell ref="B92:H92"/>
    <mergeCell ref="B76:H76"/>
    <mergeCell ref="B69:G69"/>
    <mergeCell ref="B87:H87"/>
    <mergeCell ref="B72:H72"/>
    <mergeCell ref="B73:H73"/>
    <mergeCell ref="B74:H74"/>
    <mergeCell ref="B75:H75"/>
    <mergeCell ref="K70:L70"/>
    <mergeCell ref="K64:L64"/>
    <mergeCell ref="K61:L61"/>
    <mergeCell ref="K62:L62"/>
    <mergeCell ref="B66:G66"/>
    <mergeCell ref="B67:G67"/>
    <mergeCell ref="B62:G62"/>
    <mergeCell ref="B61:G61"/>
    <mergeCell ref="B65:G65"/>
    <mergeCell ref="B34:H34"/>
    <mergeCell ref="B27:H27"/>
    <mergeCell ref="B28:H28"/>
    <mergeCell ref="K8:L8"/>
    <mergeCell ref="K9:L9"/>
    <mergeCell ref="K10:L10"/>
    <mergeCell ref="K11:L11"/>
    <mergeCell ref="K12:L12"/>
    <mergeCell ref="K25:L25"/>
    <mergeCell ref="K13:L13"/>
    <mergeCell ref="B30:H30"/>
    <mergeCell ref="K30:L30"/>
    <mergeCell ref="K31:L31"/>
    <mergeCell ref="K32:L32"/>
    <mergeCell ref="K33:L33"/>
    <mergeCell ref="K34:L34"/>
    <mergeCell ref="K2:L2"/>
    <mergeCell ref="K3:L3"/>
    <mergeCell ref="K4:L4"/>
    <mergeCell ref="K5:L5"/>
    <mergeCell ref="K6:L6"/>
    <mergeCell ref="K7:L7"/>
    <mergeCell ref="K79:L79"/>
    <mergeCell ref="K72:L72"/>
    <mergeCell ref="K73:L73"/>
    <mergeCell ref="K74:L74"/>
    <mergeCell ref="K66:L66"/>
    <mergeCell ref="K69:L69"/>
    <mergeCell ref="K44:L44"/>
    <mergeCell ref="K45:L45"/>
    <mergeCell ref="K47:L47"/>
    <mergeCell ref="K55:L55"/>
    <mergeCell ref="K26:L26"/>
    <mergeCell ref="K27:L27"/>
    <mergeCell ref="K28:L28"/>
    <mergeCell ref="K29:L29"/>
    <mergeCell ref="K38:L38"/>
    <mergeCell ref="K43:L43"/>
    <mergeCell ref="K37:L37"/>
    <mergeCell ref="K36:L36"/>
    <mergeCell ref="K81:L81"/>
    <mergeCell ref="K75:L75"/>
    <mergeCell ref="K76:L76"/>
    <mergeCell ref="K77:L77"/>
    <mergeCell ref="K78:L78"/>
    <mergeCell ref="K80:L80"/>
    <mergeCell ref="K46:L46"/>
    <mergeCell ref="K24:L24"/>
    <mergeCell ref="K71:L71"/>
    <mergeCell ref="K52:L52"/>
    <mergeCell ref="K53:L53"/>
    <mergeCell ref="K59:L59"/>
    <mergeCell ref="K60:L60"/>
    <mergeCell ref="K65:L65"/>
    <mergeCell ref="K49:L49"/>
    <mergeCell ref="K50:L50"/>
    <mergeCell ref="K51:L51"/>
    <mergeCell ref="K56:L56"/>
    <mergeCell ref="K35:L35"/>
    <mergeCell ref="K40:L40"/>
    <mergeCell ref="K41:L41"/>
    <mergeCell ref="K42:L42"/>
    <mergeCell ref="K39:L39"/>
    <mergeCell ref="K63:L63"/>
  </mergeCells>
  <hyperlinks>
    <hyperlink ref="B3" location="xls_1" display="Overview"/>
    <hyperlink ref="B4" location="xls_2" display="Before you begin"/>
    <hyperlink ref="B5" location="xls_3" display="Structure of the utility for ITR4"/>
    <hyperlink ref="B6" location="xls_4" display="Customisation of the utility"/>
    <hyperlink ref="B7" location="xls_5" display="Filling up the sections of the form using the utility"/>
    <hyperlink ref="B8" location="xls_6" display="Validating the sheets"/>
    <hyperlink ref="B9" location="xls_7" display="Generating the XML"/>
    <hyperlink ref="B10" location="xls_8" display="Printing"/>
    <hyperlink ref="B11" location="xls_9" display="Importing"/>
    <hyperlink ref="A98" location="'SPI - SI - IF'!A1" display="Click here to go back to Sch SI"/>
    <hyperlink ref="A98:B98" location="'SPI - SI - FI'!A1" display="Click here to go back to Sch SI"/>
    <hyperlink ref="K2" location="_Ins1" display="Overview"/>
    <hyperlink ref="K3" location="_Ins2" display="Before you begin"/>
    <hyperlink ref="K4" location="_Ins3" display="Structure of the ITR utility"/>
    <hyperlink ref="K5" location="_Ins4" display="Filing and Using the Excel utility "/>
    <hyperlink ref="K6" location="_Ins5" display="Validating the sheets"/>
    <hyperlink ref="K7" location="_Ins6" display="Navigation"/>
    <hyperlink ref="K10" location="_Ins9" display="Printing"/>
    <hyperlink ref="K8" location="_Ins7" display="Calculate Tax"/>
    <hyperlink ref="K9" location="_Ins8" display="Generating the XML"/>
    <hyperlink ref="K11" location="_Ins10" display="Importing"/>
    <hyperlink ref="K12" location="_Ins11" display="How to submit an ITR using Excel utility?"/>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4340</vt:i4>
      </vt:variant>
    </vt:vector>
  </HeadingPairs>
  <TitlesOfParts>
    <vt:vector size="4393" baseType="lpstr">
      <vt:lpstr>Home</vt:lpstr>
      <vt:lpstr>PART A - General</vt:lpstr>
      <vt:lpstr>Nature Of Business</vt:lpstr>
      <vt:lpstr>Part A - BS</vt:lpstr>
      <vt:lpstr>Manufacturing Account</vt:lpstr>
      <vt:lpstr>Trading Account</vt:lpstr>
      <vt:lpstr>Profit and Loss</vt:lpstr>
      <vt:lpstr>Part A - OI</vt:lpstr>
      <vt:lpstr>Quantitative Details</vt:lpstr>
      <vt:lpstr>Schedule S</vt:lpstr>
      <vt:lpstr>House Property</vt:lpstr>
      <vt:lpstr>BP</vt:lpstr>
      <vt:lpstr>DPM - DOA</vt:lpstr>
      <vt:lpstr>DEP_DCG</vt:lpstr>
      <vt:lpstr>ESR</vt:lpstr>
      <vt:lpstr>CG</vt:lpstr>
      <vt:lpstr>Schedule 112A</vt:lpstr>
      <vt:lpstr>HelpCSV</vt:lpstr>
      <vt:lpstr>Schedule 115AD(1)(iii) proviso</vt:lpstr>
      <vt:lpstr>OS</vt:lpstr>
      <vt:lpstr>CYLA - BFLA</vt:lpstr>
      <vt:lpstr>CFL</vt:lpstr>
      <vt:lpstr>Unabsorbed Depreciation</vt:lpstr>
      <vt:lpstr>ICDS</vt:lpstr>
      <vt:lpstr>10AA</vt:lpstr>
      <vt:lpstr>80G</vt:lpstr>
      <vt:lpstr>80D</vt:lpstr>
      <vt:lpstr>RA</vt:lpstr>
      <vt:lpstr>80GGA</vt:lpstr>
      <vt:lpstr>80</vt:lpstr>
      <vt:lpstr>VI-A</vt:lpstr>
      <vt:lpstr>SPI - SI - IF</vt:lpstr>
      <vt:lpstr>AMT</vt:lpstr>
      <vt:lpstr>AMTC</vt:lpstr>
      <vt:lpstr>EI</vt:lpstr>
      <vt:lpstr>PTI</vt:lpstr>
      <vt:lpstr>TPSA</vt:lpstr>
      <vt:lpstr>FSI</vt:lpstr>
      <vt:lpstr>TR_FA</vt:lpstr>
      <vt:lpstr>Sch 5A</vt:lpstr>
      <vt:lpstr>AL</vt:lpstr>
      <vt:lpstr>GST</vt:lpstr>
      <vt:lpstr>Tax Calculated</vt:lpstr>
      <vt:lpstr>IT</vt:lpstr>
      <vt:lpstr>ESOP</vt:lpstr>
      <vt:lpstr>TDS</vt:lpstr>
      <vt:lpstr>Part B - TI TTI</vt:lpstr>
      <vt:lpstr>Verification</vt:lpstr>
      <vt:lpstr>Temporary Values</vt:lpstr>
      <vt:lpstr>DropDownValues</vt:lpstr>
      <vt:lpstr>SUMMARY</vt:lpstr>
      <vt:lpstr>BA</vt:lpstr>
      <vt:lpstr>Instructions</vt:lpstr>
      <vt:lpstr>HelpCSV!_Ins1</vt:lpstr>
      <vt:lpstr>_Ins1</vt:lpstr>
      <vt:lpstr>HelpCSV!_Ins10</vt:lpstr>
      <vt:lpstr>_Ins10</vt:lpstr>
      <vt:lpstr>HelpCSV!_Ins11</vt:lpstr>
      <vt:lpstr>_Ins11</vt:lpstr>
      <vt:lpstr>HelpCSV!_Ins2</vt:lpstr>
      <vt:lpstr>_Ins2</vt:lpstr>
      <vt:lpstr>HelpCSV!_Ins3</vt:lpstr>
      <vt:lpstr>_Ins3</vt:lpstr>
      <vt:lpstr>HelpCSV!_Ins4</vt:lpstr>
      <vt:lpstr>_Ins4</vt:lpstr>
      <vt:lpstr>HelpCSV!_Ins5</vt:lpstr>
      <vt:lpstr>_Ins5</vt:lpstr>
      <vt:lpstr>HelpCSV!_Ins6</vt:lpstr>
      <vt:lpstr>_Ins6</vt:lpstr>
      <vt:lpstr>HelpCSV!_Ins7</vt:lpstr>
      <vt:lpstr>_Ins7</vt:lpstr>
      <vt:lpstr>HelpCSV!_Ins8</vt:lpstr>
      <vt:lpstr>_Ins8</vt:lpstr>
      <vt:lpstr>HelpCSV!_Ins9</vt:lpstr>
      <vt:lpstr>_Ins9</vt:lpstr>
      <vt:lpstr>AA10.AssmtYrUnit</vt:lpstr>
      <vt:lpstr>AA10.DedFromUndertaking</vt:lpstr>
      <vt:lpstr>AA10.TotalDedUs10Sub</vt:lpstr>
      <vt:lpstr>AA10_undertaking</vt:lpstr>
      <vt:lpstr>Aadhar_TDS3</vt:lpstr>
      <vt:lpstr>Aadhar1</vt:lpstr>
      <vt:lpstr>AccLTCG.Up16Of12To15Of3</vt:lpstr>
      <vt:lpstr>AccLTCG.Up16Of3To31Of3</vt:lpstr>
      <vt:lpstr>AccLTCG.Up16Of9To15Of12</vt:lpstr>
      <vt:lpstr>AccLTCG.Upto15Of6</vt:lpstr>
      <vt:lpstr>AccLTCG.Upto15Of9</vt:lpstr>
      <vt:lpstr>AccLTCGDTAA.Up16Of12To15Of3</vt:lpstr>
      <vt:lpstr>AccLTCGDTAA.Up16Of3To31Of3</vt:lpstr>
      <vt:lpstr>AccLTCGDTAA.Up16Of9To15Of12</vt:lpstr>
      <vt:lpstr>AccLTCGDTAA.Upto15Of6</vt:lpstr>
      <vt:lpstr>AccLTCGDTAA.Upto15Of9</vt:lpstr>
      <vt:lpstr>AccLTCGNP.Up16Of12To15Of3</vt:lpstr>
      <vt:lpstr>AccLTCGNP.Up16Of3To31Of3</vt:lpstr>
      <vt:lpstr>AccLTCGNP.Up16Of9To15Of12</vt:lpstr>
      <vt:lpstr>AccLTCGNP.Upto15Of6</vt:lpstr>
      <vt:lpstr>AccLTCGNP.Upto15Of9</vt:lpstr>
      <vt:lpstr>AccSTCG.Up16Of12To15Of3</vt:lpstr>
      <vt:lpstr>AccSTCG.Up16Of3To31Of3</vt:lpstr>
      <vt:lpstr>AccSTCG.Up16Of9To15Of12</vt:lpstr>
      <vt:lpstr>AccSTCG.Upto15Of6</vt:lpstr>
      <vt:lpstr>AccSTCG.Upto15Of9</vt:lpstr>
      <vt:lpstr>ACCSTCG30.Up16Of12To15Of3</vt:lpstr>
      <vt:lpstr>ACCSTCG30.Up16Of3To31Of3</vt:lpstr>
      <vt:lpstr>ACCSTCG30.Up16Of9To15Of12</vt:lpstr>
      <vt:lpstr>AccSTCG30.Upto15Of6</vt:lpstr>
      <vt:lpstr>AccSTCG30.Upto15Of9</vt:lpstr>
      <vt:lpstr>AccSTCGDTAA.Up16Of12To15Of3</vt:lpstr>
      <vt:lpstr>AccSTCGDTAA.Up16Of3To31Of3</vt:lpstr>
      <vt:lpstr>AccSTCGDTAA.Up16Of9To15Of12</vt:lpstr>
      <vt:lpstr>AccSTCGDTAA.Upto15Of6</vt:lpstr>
      <vt:lpstr>AccSTCGDTAA.Upto15Of9</vt:lpstr>
      <vt:lpstr>AccSTCGOTH.Up16Of12To15Of3</vt:lpstr>
      <vt:lpstr>AccSTCGOTH.Up16Of3To31Of3</vt:lpstr>
      <vt:lpstr>AccSTCGOTH.Up16Of9To15Of12</vt:lpstr>
      <vt:lpstr>AccSTCGOTH.Upto15Of6</vt:lpstr>
      <vt:lpstr>AccSTCGOTH.Upto15Of9</vt:lpstr>
      <vt:lpstr>acknowledgmentnumber</vt:lpstr>
      <vt:lpstr>Address_80GGA</vt:lpstr>
      <vt:lpstr>Address_80GGANew</vt:lpstr>
      <vt:lpstr>adjstGTI</vt:lpstr>
      <vt:lpstr>adjtotloss.BusLossOthThanSpecLossCF9</vt:lpstr>
      <vt:lpstr>adjtotloss.HPLossCF9</vt:lpstr>
      <vt:lpstr>adjtotloss.LossFrmSpecBusCF9</vt:lpstr>
      <vt:lpstr>adjtotloss.LossFrmSpecifiedBusCF9</vt:lpstr>
      <vt:lpstr>adjtotloss.LTCGLossCF9</vt:lpstr>
      <vt:lpstr>adjtotloss.OthSrcLossRaceHorseCF9</vt:lpstr>
      <vt:lpstr>adjtotloss.STCGLossCF9</vt:lpstr>
      <vt:lpstr>age</vt:lpstr>
      <vt:lpstr>Age_TX</vt:lpstr>
      <vt:lpstr>AL.ArchCollDrawPaintSulpArt</vt:lpstr>
      <vt:lpstr>AL.CashInHand</vt:lpstr>
      <vt:lpstr>AL.DepositsInBank</vt:lpstr>
      <vt:lpstr>AL.ImmovableAssetBuilding</vt:lpstr>
      <vt:lpstr>AL.ImmovableAssetLand</vt:lpstr>
      <vt:lpstr>AL.InsurancePolicies</vt:lpstr>
      <vt:lpstr>AL.JewelleryBullionEtc</vt:lpstr>
      <vt:lpstr>AL.LiabilityInRelatAssets</vt:lpstr>
      <vt:lpstr>AL.LoansAndAdvancesGiven</vt:lpstr>
      <vt:lpstr>AL.SharesAndSecurities</vt:lpstr>
      <vt:lpstr>al.TotalImmovablMovablAssets</vt:lpstr>
      <vt:lpstr>AL.VehiclYachtsBoatsAircrafts</vt:lpstr>
      <vt:lpstr>AllBS.names</vt:lpstr>
      <vt:lpstr>ALLMA_NAMES</vt:lpstr>
      <vt:lpstr>Allow3ai</vt:lpstr>
      <vt:lpstr>ALLPL_NAMES1</vt:lpstr>
      <vt:lpstr>ALLPL_NAMES2</vt:lpstr>
      <vt:lpstr>ALLPL_NAMES3</vt:lpstr>
      <vt:lpstr>AllTA_Names</vt:lpstr>
      <vt:lpstr>AMT.AdjustedUnderSec115JC</vt:lpstr>
      <vt:lpstr>AMT.AdjustedUnderSec115JC3a</vt:lpstr>
      <vt:lpstr>AMT.AdjustedUnderSec115JC3a2_1cr</vt:lpstr>
      <vt:lpstr>AMT.AdjustedUnderSec115JC3a2_2cr</vt:lpstr>
      <vt:lpstr>AMT.AdjustedUnderSec115JC3a2_50L</vt:lpstr>
      <vt:lpstr>AMT.AdjustedUnderSec115JC3a2_5cr</vt:lpstr>
      <vt:lpstr>AMT.AdjustedUnderSec115JC3a2New_1cr</vt:lpstr>
      <vt:lpstr>AMT.AdjustedUnderSec115JC3a2New_2cr</vt:lpstr>
      <vt:lpstr>AMT.AdjustedUnderSec115JC3a2New_50L</vt:lpstr>
      <vt:lpstr>AMT.AdjustedUnderSec115JC3a2New_5cr</vt:lpstr>
      <vt:lpstr>AMT.AdjustedUnderSec115JC3aNew</vt:lpstr>
      <vt:lpstr>AMT.AdjustedUnderSec115JC3b</vt:lpstr>
      <vt:lpstr>AMT.AdjustedUnderSec115JC3b2_1cr</vt:lpstr>
      <vt:lpstr>AMT.AdjustedUnderSec115JC3b2_2cr</vt:lpstr>
      <vt:lpstr>AMT.AdjustedUnderSec115JC3b2_50L</vt:lpstr>
      <vt:lpstr>AMT.AdjustedUnderSec115JC3b2_5cr</vt:lpstr>
      <vt:lpstr>AMT.AdjustedUnderSec115JC3b2New_1cr</vt:lpstr>
      <vt:lpstr>AMT.AdjustedUnderSec115JC3b2New_2cr</vt:lpstr>
      <vt:lpstr>AMT.AdjustedUnderSec115JC3b2New_50L</vt:lpstr>
      <vt:lpstr>AMT.AdjustedUnderSec115JC3b2New_5cr</vt:lpstr>
      <vt:lpstr>AMT.AdjustedUnderSec115JC3bNew</vt:lpstr>
      <vt:lpstr>AMT.BTax_1cr</vt:lpstr>
      <vt:lpstr>AMT.BTax_2cr</vt:lpstr>
      <vt:lpstr>AMT.BTax_50L</vt:lpstr>
      <vt:lpstr>AMT.BTax_5cr</vt:lpstr>
      <vt:lpstr>AMT.DeductClaimSec10AA</vt:lpstr>
      <vt:lpstr>AMT.DeductClaimSec35AD</vt:lpstr>
      <vt:lpstr>AMT.DeductClaimSec6A</vt:lpstr>
      <vt:lpstr>AMT.TaxPayableUnderSec115JC</vt:lpstr>
      <vt:lpstr>AMT.Total</vt:lpstr>
      <vt:lpstr>AMT.TotalIncItem11</vt:lpstr>
      <vt:lpstr>Amt_1</vt:lpstr>
      <vt:lpstr>Amt_Condn</vt:lpstr>
      <vt:lpstr>AMTC.AmtCreditBalBroughtFwd</vt:lpstr>
      <vt:lpstr>AMTC.AmtCreditBalBroughtFwd_Total</vt:lpstr>
      <vt:lpstr>AMTC.AmtCreditBalBroughtFwd0</vt:lpstr>
      <vt:lpstr>AMTC.AmtCreditBalBroughtFwd1</vt:lpstr>
      <vt:lpstr>AMTC.AmtCreditBalBroughtFwd2</vt:lpstr>
      <vt:lpstr>AMTC.AmtCreditBalBroughtFwd3</vt:lpstr>
      <vt:lpstr>AMTC.AmtCreditBalBroughtFwd4</vt:lpstr>
      <vt:lpstr>AMTC.AmtCreditBalBroughtFwd5</vt:lpstr>
      <vt:lpstr>AMTC.AmtCreditBalBroughtFwd6</vt:lpstr>
      <vt:lpstr>AMTC.AmtCreditBalBroughtFwd7</vt:lpstr>
      <vt:lpstr>AMTC.AmtCreditBalBroughtFwd8</vt:lpstr>
      <vt:lpstr>AMTC.AmtCreditFwd</vt:lpstr>
      <vt:lpstr>AMTC.AmtCreditFwd_Total</vt:lpstr>
      <vt:lpstr>AMTC.AmtCreditFwd0</vt:lpstr>
      <vt:lpstr>AMTC.AmtCreditFwd1</vt:lpstr>
      <vt:lpstr>AMTC.AmtCreditFwd2</vt:lpstr>
      <vt:lpstr>AMTC.AmtCreditFwd3</vt:lpstr>
      <vt:lpstr>AMTC.AmtCreditFwd4</vt:lpstr>
      <vt:lpstr>AMTC.AmtCreditFwd5</vt:lpstr>
      <vt:lpstr>AMTC.AmtCreditFwd6</vt:lpstr>
      <vt:lpstr>AMTC.AmtCreditFwd7</vt:lpstr>
      <vt:lpstr>AMTC.AmtCreditFwd8</vt:lpstr>
      <vt:lpstr>AMTC.AmtCreditSetOfEy</vt:lpstr>
      <vt:lpstr>AMTC.AmtCreditSetOfEy_Total</vt:lpstr>
      <vt:lpstr>AMTC.AmtCreditSetOfEy0</vt:lpstr>
      <vt:lpstr>AMTC.AmtCreditSetOfEy1</vt:lpstr>
      <vt:lpstr>AMTC.AmtCreditSetOfEy2</vt:lpstr>
      <vt:lpstr>AMTC.AmtCreditSetOfEy3</vt:lpstr>
      <vt:lpstr>AMTC.AmtCreditSetOfEy4</vt:lpstr>
      <vt:lpstr>AMTC.AmtCreditSetOfEy5</vt:lpstr>
      <vt:lpstr>AMTC.AmtCreditSetOfEy6</vt:lpstr>
      <vt:lpstr>AMTC.AmtCreditSetOfEy7</vt:lpstr>
      <vt:lpstr>AMTC.AmtCreditSetOfEy8</vt:lpstr>
      <vt:lpstr>AMTC.AmtCreditUtilized</vt:lpstr>
      <vt:lpstr>AMTC.AmtCreditUtilized_Total</vt:lpstr>
      <vt:lpstr>AMTC.AmtCreditUtilized0</vt:lpstr>
      <vt:lpstr>AMTC.AmtCreditUtilized1</vt:lpstr>
      <vt:lpstr>AMTC.AmtCreditUtilized2</vt:lpstr>
      <vt:lpstr>AMTC.AmtCreditUtilized3</vt:lpstr>
      <vt:lpstr>AMTC.AmtCreditUtilized4</vt:lpstr>
      <vt:lpstr>AMTC.AmtCreditUtilized5</vt:lpstr>
      <vt:lpstr>AMTC.AmtCreditUtilized6</vt:lpstr>
      <vt:lpstr>AMTC.AmtCreditUtilized7</vt:lpstr>
      <vt:lpstr>AMTC.AmtCreditUtilized8</vt:lpstr>
      <vt:lpstr>AMTC.AmtLiabilityAvailable</vt:lpstr>
      <vt:lpstr>AMTC.AmtTaxCreditAvailable</vt:lpstr>
      <vt:lpstr>AMTC.AssYr13_14</vt:lpstr>
      <vt:lpstr>AMTC.AssYr13_140</vt:lpstr>
      <vt:lpstr>AMTC.AssYr13_142</vt:lpstr>
      <vt:lpstr>AMTC.AssYr13_143</vt:lpstr>
      <vt:lpstr>AMTC.AssYr13_144</vt:lpstr>
      <vt:lpstr>AMTC.AssYr14_15</vt:lpstr>
      <vt:lpstr>AMTC.AssYr17_18</vt:lpstr>
      <vt:lpstr>AMTC.AssYr20_21</vt:lpstr>
      <vt:lpstr>AMTC.BalAmtCreditCarryFwd</vt:lpstr>
      <vt:lpstr>AMTC.BalAmtCreditCarryFwd_Total</vt:lpstr>
      <vt:lpstr>AMTC.BalAmtCreditCarryFwd0</vt:lpstr>
      <vt:lpstr>AMTC.BalAmtCreditCarryFwd1</vt:lpstr>
      <vt:lpstr>AMTC.BalAmtCreditCarryFwd2</vt:lpstr>
      <vt:lpstr>AMTC.BalAmtCreditCarryFwd3</vt:lpstr>
      <vt:lpstr>AMTC.BalAmtCreditCarryFwd4</vt:lpstr>
      <vt:lpstr>AMTC.BalAmtCreditCarryFwd5</vt:lpstr>
      <vt:lpstr>AMTC.BalAmtCreditCarryFwd6</vt:lpstr>
      <vt:lpstr>AMTC.BalAmtCreditCarryFwd7</vt:lpstr>
      <vt:lpstr>AMTC.BalAmtCreditCarryFwd8</vt:lpstr>
      <vt:lpstr>AMTC.TaxOthProvisions</vt:lpstr>
      <vt:lpstr>AMTC.TaxSection115JC</vt:lpstr>
      <vt:lpstr>AMTC.TaxSection115JD</vt:lpstr>
      <vt:lpstr>AMTCmove</vt:lpstr>
      <vt:lpstr>AOIFlag_1</vt:lpstr>
      <vt:lpstr>AssesseAge</vt:lpstr>
      <vt:lpstr>AssessedTax</vt:lpstr>
      <vt:lpstr>AssYearUnit</vt:lpstr>
      <vt:lpstr>Audit.Act</vt:lpstr>
      <vt:lpstr>Audit.ACTYN</vt:lpstr>
      <vt:lpstr>Audit.Date</vt:lpstr>
      <vt:lpstr>Audit.Others</vt:lpstr>
      <vt:lpstr>Audit.Sections</vt:lpstr>
      <vt:lpstr>AuditcheckinIF</vt:lpstr>
      <vt:lpstr>AuditDropDown</vt:lpstr>
      <vt:lpstr>B5_DeductionTotal</vt:lpstr>
      <vt:lpstr>BA.Button1</vt:lpstr>
      <vt:lpstr>bacValue</vt:lpstr>
      <vt:lpstr>BacValueDropdown</vt:lpstr>
      <vt:lpstr>BacValueList</vt:lpstr>
      <vt:lpstr>Balance_112A</vt:lpstr>
      <vt:lpstr>Balance_115AD</vt:lpstr>
      <vt:lpstr>BalTaxPay44AD</vt:lpstr>
      <vt:lpstr>BankCode</vt:lpstr>
      <vt:lpstr>BankNameList</vt:lpstr>
      <vt:lpstr>BankNameWithCode</vt:lpstr>
      <vt:lpstr>BBDA.Up16Of12To15Of3</vt:lpstr>
      <vt:lpstr>BBDA.Up16Of3To31Of3</vt:lpstr>
      <vt:lpstr>BBDA.Up16Of9To15Of12</vt:lpstr>
      <vt:lpstr>BBDA.Upto15Of6</vt:lpstr>
      <vt:lpstr>BBDA.Upto15Of9</vt:lpstr>
      <vt:lpstr>BFLAtemp10Sec1121c2</vt:lpstr>
      <vt:lpstr>BFLAtemp10Sec112A</vt:lpstr>
      <vt:lpstr>BFLAtemp10Sec115AC1</vt:lpstr>
      <vt:lpstr>BFLAtemp10Sec115ACA1</vt:lpstr>
      <vt:lpstr>BFLAtemp10Sec115AD3</vt:lpstr>
      <vt:lpstr>BFLAtemp10Sec115AD3_Proviso</vt:lpstr>
      <vt:lpstr>BFLAtemp10Sec115Eb</vt:lpstr>
      <vt:lpstr>BFLAtemp10SecPro</vt:lpstr>
      <vt:lpstr>BFLAtemp115AD30</vt:lpstr>
      <vt:lpstr>BFLAtemp15Sec111a</vt:lpstr>
      <vt:lpstr>BFLAtemp15Sec115ad1bii</vt:lpstr>
      <vt:lpstr>BFLAtemp20Sec112</vt:lpstr>
      <vt:lpstr>BFLAtemp20Sec11EA</vt:lpstr>
      <vt:lpstr>BFLAtempAR</vt:lpstr>
      <vt:lpstr>BFLAtempPTI10</vt:lpstr>
      <vt:lpstr>BFLAtempPTI10_112</vt:lpstr>
      <vt:lpstr>BFLAtempPTI15</vt:lpstr>
      <vt:lpstr>BFLAtempPTI20</vt:lpstr>
      <vt:lpstr>BFLAtempPTI30</vt:lpstr>
      <vt:lpstr>BFLAtempPTIAR</vt:lpstr>
      <vt:lpstr>BFlossPrevYrUndSameHeadSetoff3a</vt:lpstr>
      <vt:lpstr>BooksSpouse44ABFlg</vt:lpstr>
      <vt:lpstr>BooksSpouse92EFlg</vt:lpstr>
      <vt:lpstr>BP.Bonus</vt:lpstr>
      <vt:lpstr>BP.Commission</vt:lpstr>
      <vt:lpstr>BP.DecPIncL</vt:lpstr>
      <vt:lpstr>BP.IncDecProfit</vt:lpstr>
      <vt:lpstr>BP.Interest</vt:lpstr>
      <vt:lpstr>BP.OtherExempt</vt:lpstr>
      <vt:lpstr>BP.Others</vt:lpstr>
      <vt:lpstr>BP.Salary</vt:lpstr>
      <vt:lpstr>BP_4_44AD</vt:lpstr>
      <vt:lpstr>BP_4_44ADA</vt:lpstr>
      <vt:lpstr>BP_4_44AE</vt:lpstr>
      <vt:lpstr>BP_4_44B</vt:lpstr>
      <vt:lpstr>BP_4_44BB</vt:lpstr>
      <vt:lpstr>BP_4_44BBA</vt:lpstr>
      <vt:lpstr>BP_4_44DA</vt:lpstr>
      <vt:lpstr>BP_4b_ProfitRule7</vt:lpstr>
      <vt:lpstr>BP_4b_ProfitRule7A</vt:lpstr>
      <vt:lpstr>BP_4b_ProfitRule7B1</vt:lpstr>
      <vt:lpstr>BP_4b_ProfitRule7B2</vt:lpstr>
      <vt:lpstr>BP_4b_ProfitRule8</vt:lpstr>
      <vt:lpstr>BP_4b_TotalProfitFromActivates</vt:lpstr>
      <vt:lpstr>BP_80GGA</vt:lpstr>
      <vt:lpstr>BP_BalanceOfIncome39</vt:lpstr>
      <vt:lpstr>BP_Chargeable_rule7</vt:lpstr>
      <vt:lpstr>BP_Chargeable_rule7A</vt:lpstr>
      <vt:lpstr>BP_Chargeable_rule7B1</vt:lpstr>
      <vt:lpstr>BP_Chargeable_rule7B1A</vt:lpstr>
      <vt:lpstr>BP_Chargeable_rule8</vt:lpstr>
      <vt:lpstr>BP_Chargeable_ruleOther</vt:lpstr>
      <vt:lpstr>BP_Drp</vt:lpstr>
      <vt:lpstr>bpnsincome.bf</vt:lpstr>
      <vt:lpstr>bpnsincome.bp</vt:lpstr>
      <vt:lpstr>bpnsincome.hp</vt:lpstr>
      <vt:lpstr>bpnsincome.ih</vt:lpstr>
      <vt:lpstr>bpnsincome.os</vt:lpstr>
      <vt:lpstr>bpnsloss.bf</vt:lpstr>
      <vt:lpstr>bpnsloss.bfadj</vt:lpstr>
      <vt:lpstr>bpnsloss.bp</vt:lpstr>
      <vt:lpstr>bpnsloss.hp</vt:lpstr>
      <vt:lpstr>bpnsloss.ih</vt:lpstr>
      <vt:lpstr>bpnsloss.os</vt:lpstr>
      <vt:lpstr>bpnstobps.cfl</vt:lpstr>
      <vt:lpstr>bpsincome</vt:lpstr>
      <vt:lpstr>bpsincome.bf</vt:lpstr>
      <vt:lpstr>bpsloss.bfadj</vt:lpstr>
      <vt:lpstr>bpspincome</vt:lpstr>
      <vt:lpstr>bpsploss.bfadj</vt:lpstr>
      <vt:lpstr>busipofincl.BFAllUs35Cl4Setoff2</vt:lpstr>
      <vt:lpstr>busipofincl.BFlossPrevYrUndSameHeadSetoff2</vt:lpstr>
      <vt:lpstr>busipofincl.BFUnabsorbedDeprSetoff2</vt:lpstr>
      <vt:lpstr>busipofincl.IncOfCurYrAfterSetOffBFLosses2</vt:lpstr>
      <vt:lpstr>busipofincl.IncOfCurYrUndHeadFromCYLA2</vt:lpstr>
      <vt:lpstr>busipofinclspec.BFAllUs35Cl4Setoff2a</vt:lpstr>
      <vt:lpstr>busipofinclspec.BFlossPrevYrUndSameHeadSetoff2a</vt:lpstr>
      <vt:lpstr>busipofinclspec.BFUnabsorbedDeprSetoff2a</vt:lpstr>
      <vt:lpstr>busipofinclspec.IncOfCurYrAfterSetOffBFLosses2a</vt:lpstr>
      <vt:lpstr>busipofinclspec.IncOfCurYrUndHeadFromCYLA2a</vt:lpstr>
      <vt:lpstr>busipofinclspecified.BFAllUs35Cl4Setoff2b</vt:lpstr>
      <vt:lpstr>busipofinclspecified.BFlossPrevYrUndSameHeadSetoff2b</vt:lpstr>
      <vt:lpstr>busipofinclspecified.BFUnabsorbedDeprSetoff2b</vt:lpstr>
      <vt:lpstr>busipofinclspecified.IncOfCurYrAfterSetOffBFLosses2b</vt:lpstr>
      <vt:lpstr>busipofinclspecified.IncOfCurYrUndHeadFromCYLA2b</vt:lpstr>
      <vt:lpstr>busprof.HPlossCurYrSetoff</vt:lpstr>
      <vt:lpstr>busprof.IncOfCurYrAfterSetOff</vt:lpstr>
      <vt:lpstr>busprof.IncOfCurYrUnderThatHead</vt:lpstr>
      <vt:lpstr>busprof.OthSrcLossNoRaceHorseSetoff</vt:lpstr>
      <vt:lpstr>busprof0b.HPlossCurYrSetoff0b</vt:lpstr>
      <vt:lpstr>busprofspec.HPlossCurYrSetoff0a</vt:lpstr>
      <vt:lpstr>busprofspec.IncOfCurYrAfterSetOff0a</vt:lpstr>
      <vt:lpstr>busprofspec.IncOfCurYrUnderThatHead0a</vt:lpstr>
      <vt:lpstr>busprofspec.OthSrcLossNoRaceHorseSetoff0a</vt:lpstr>
      <vt:lpstr>busprofspecified.IncOfCurYrAfterSetOff0b</vt:lpstr>
      <vt:lpstr>busprofspecified.IncOfCurYrUnderThatHead0b</vt:lpstr>
      <vt:lpstr>busprofspecified.OthSrcLossNoRaceHorseSetoff0b</vt:lpstr>
      <vt:lpstr>Button_10AA</vt:lpstr>
      <vt:lpstr>BUTTON_160_LTCG10</vt:lpstr>
      <vt:lpstr>Button_40</vt:lpstr>
      <vt:lpstr>Button_80G1</vt:lpstr>
      <vt:lpstr>Button_80G2</vt:lpstr>
      <vt:lpstr>Button_80G3</vt:lpstr>
      <vt:lpstr>Button_80G4</vt:lpstr>
      <vt:lpstr>Button_80IAa</vt:lpstr>
      <vt:lpstr>Button_80IAb</vt:lpstr>
      <vt:lpstr>Button_80IAc</vt:lpstr>
      <vt:lpstr>Button_80IAd</vt:lpstr>
      <vt:lpstr>Button_80IBa</vt:lpstr>
      <vt:lpstr>Button_CG</vt:lpstr>
      <vt:lpstr>Button_CGA1</vt:lpstr>
      <vt:lpstr>Button_CGB1</vt:lpstr>
      <vt:lpstr>Button_Ded115F</vt:lpstr>
      <vt:lpstr>Button_Ded54</vt:lpstr>
      <vt:lpstr>Button_Ded54B</vt:lpstr>
      <vt:lpstr>Button_Ded54D</vt:lpstr>
      <vt:lpstr>Button_Ded54EC</vt:lpstr>
      <vt:lpstr>Button_Ded54EE</vt:lpstr>
      <vt:lpstr>Button_Ded54F</vt:lpstr>
      <vt:lpstr>Button_Ded54G</vt:lpstr>
      <vt:lpstr>Button_Ded54GA</vt:lpstr>
      <vt:lpstr>Button_DirectorTable</vt:lpstr>
      <vt:lpstr>Button_FA2</vt:lpstr>
      <vt:lpstr>Button_FA3</vt:lpstr>
      <vt:lpstr>Button_FA4</vt:lpstr>
      <vt:lpstr>Button_FA5</vt:lpstr>
      <vt:lpstr>Button_FA6</vt:lpstr>
      <vt:lpstr>Button_FA7</vt:lpstr>
      <vt:lpstr>Button_FAA1</vt:lpstr>
      <vt:lpstr>Button_FAA2</vt:lpstr>
      <vt:lpstr>Button_FAA3</vt:lpstr>
      <vt:lpstr>Button_FAA4</vt:lpstr>
      <vt:lpstr>Button_FirmTable</vt:lpstr>
      <vt:lpstr>Button_FSI</vt:lpstr>
      <vt:lpstr>Button_FSI_1</vt:lpstr>
      <vt:lpstr>Button_GST</vt:lpstr>
      <vt:lpstr>Button_HP</vt:lpstr>
      <vt:lpstr>Button_HP2</vt:lpstr>
      <vt:lpstr>Button_IBb</vt:lpstr>
      <vt:lpstr>Button_IBc</vt:lpstr>
      <vt:lpstr>Button_IBd</vt:lpstr>
      <vt:lpstr>Button_IBe</vt:lpstr>
      <vt:lpstr>Button_IBf</vt:lpstr>
      <vt:lpstr>Button_IBg</vt:lpstr>
      <vt:lpstr>Button_IBh</vt:lpstr>
      <vt:lpstr>BUtton_IBi</vt:lpstr>
      <vt:lpstr>Button_IBj</vt:lpstr>
      <vt:lpstr>Button_IBk</vt:lpstr>
      <vt:lpstr>Button_IBl</vt:lpstr>
      <vt:lpstr>Button_ICa</vt:lpstr>
      <vt:lpstr>Button_ICb</vt:lpstr>
      <vt:lpstr>Button_ICc</vt:lpstr>
      <vt:lpstr>Button_ICca</vt:lpstr>
      <vt:lpstr>Button_ICcb</vt:lpstr>
      <vt:lpstr>Button_ICcc</vt:lpstr>
      <vt:lpstr>Button_ICcd</vt:lpstr>
      <vt:lpstr>Button_ICce</vt:lpstr>
      <vt:lpstr>Button_ICcf</vt:lpstr>
      <vt:lpstr>Button_ICcg</vt:lpstr>
      <vt:lpstr>Button_IF</vt:lpstr>
      <vt:lpstr>Button_IT</vt:lpstr>
      <vt:lpstr>Button_LTCG</vt:lpstr>
      <vt:lpstr>Button_LTCG_DTAA</vt:lpstr>
      <vt:lpstr>Button_OS</vt:lpstr>
      <vt:lpstr>Button_OS_e</vt:lpstr>
      <vt:lpstr>Button_OS1</vt:lpstr>
      <vt:lpstr>Button_OS2</vt:lpstr>
      <vt:lpstr>Button_SPI</vt:lpstr>
      <vt:lpstr>Button_STCG</vt:lpstr>
      <vt:lpstr>Button_STCG_A8_DTAA</vt:lpstr>
      <vt:lpstr>Button_STCG_DTAA</vt:lpstr>
      <vt:lpstr>Button_TCS</vt:lpstr>
      <vt:lpstr>Button_TDS1</vt:lpstr>
      <vt:lpstr>Button_TDS2</vt:lpstr>
      <vt:lpstr>Button_TDS3</vt:lpstr>
      <vt:lpstr>Button1_PL</vt:lpstr>
      <vt:lpstr>Button44AE</vt:lpstr>
      <vt:lpstr>Button80GGA_1</vt:lpstr>
      <vt:lpstr>C_Eligible</vt:lpstr>
      <vt:lpstr>CalculatedValue234A</vt:lpstr>
      <vt:lpstr>CalculatedValue234B</vt:lpstr>
      <vt:lpstr>CalculatedValue234C</vt:lpstr>
      <vt:lpstr>CD_EligibleAmount</vt:lpstr>
      <vt:lpstr>CDE_EligibleAmount</vt:lpstr>
      <vt:lpstr>CFL.bpLoss</vt:lpstr>
      <vt:lpstr>CFL.filingDate</vt:lpstr>
      <vt:lpstr>CFL.HP2018</vt:lpstr>
      <vt:lpstr>CFL.hpLoss</vt:lpstr>
      <vt:lpstr>CFL.LB2018</vt:lpstr>
      <vt:lpstr>CFL.LSB2018</vt:lpstr>
      <vt:lpstr>CFL.ltcgLoss</vt:lpstr>
      <vt:lpstr>CFL.rhLoss</vt:lpstr>
      <vt:lpstr>CFL.specifiedLoss</vt:lpstr>
      <vt:lpstr>CFL.speculativeLoss</vt:lpstr>
      <vt:lpstr>CFL.stcgLoss</vt:lpstr>
      <vt:lpstr>CFL_HP_Normal_2012</vt:lpstr>
      <vt:lpstr>CFL_HP_Normal_2013</vt:lpstr>
      <vt:lpstr>CFL_HP_Normal_2014</vt:lpstr>
      <vt:lpstr>CFL_HP_Normal_2015</vt:lpstr>
      <vt:lpstr>CFL_HP_Normal_2016</vt:lpstr>
      <vt:lpstr>CFL_HP_Normal_2017</vt:lpstr>
      <vt:lpstr>CFL_HP_Normal_2018</vt:lpstr>
      <vt:lpstr>CFL_HP_Normal_2019</vt:lpstr>
      <vt:lpstr>CFL_HP_Normal_2020</vt:lpstr>
      <vt:lpstr>CFL_HP_Normal_2021</vt:lpstr>
      <vt:lpstr>CFL_HP_PTI_2012</vt:lpstr>
      <vt:lpstr>CFL_HP_PTI_2013</vt:lpstr>
      <vt:lpstr>CFL_HP_PTI_2014</vt:lpstr>
      <vt:lpstr>CFL_HP_PTI_2015</vt:lpstr>
      <vt:lpstr>CFL_HP_PTI_2016</vt:lpstr>
      <vt:lpstr>CFL_HP_PTI_2017</vt:lpstr>
      <vt:lpstr>CFL_HP_PTI_2018</vt:lpstr>
      <vt:lpstr>CFL_HP_PTI_2019</vt:lpstr>
      <vt:lpstr>CFL_HP_PTI_2020</vt:lpstr>
      <vt:lpstr>CFL_LTCG_Normal_2011</vt:lpstr>
      <vt:lpstr>CFL_LTCG_Normal_2012</vt:lpstr>
      <vt:lpstr>CFL_LTCG_Normal_2013</vt:lpstr>
      <vt:lpstr>CFL_LTCG_Normal_2014</vt:lpstr>
      <vt:lpstr>CFL_LTCG_Normal_2015</vt:lpstr>
      <vt:lpstr>CFL_LTCG_Normal_2016</vt:lpstr>
      <vt:lpstr>CFL_LTCG_Normal_2017</vt:lpstr>
      <vt:lpstr>CFL_LTCG_Normal_2018</vt:lpstr>
      <vt:lpstr>CFL_LTCG_Normal_2019</vt:lpstr>
      <vt:lpstr>CFL_LTCG_Normal_2020</vt:lpstr>
      <vt:lpstr>CFL_LTCG_Normal_2021</vt:lpstr>
      <vt:lpstr>CFL_LTCG_PTI_2011</vt:lpstr>
      <vt:lpstr>CFL_LTCG_PTI_2012</vt:lpstr>
      <vt:lpstr>CFL_LTCG_PTI_2013</vt:lpstr>
      <vt:lpstr>CFL_LTCG_PTI_2014</vt:lpstr>
      <vt:lpstr>CFL_LTCG_PTI_2015</vt:lpstr>
      <vt:lpstr>CFL_LTCG_PTI_2016</vt:lpstr>
      <vt:lpstr>CFL_LTCG_PTI_2017</vt:lpstr>
      <vt:lpstr>CFL_LTCG_PTI_2018</vt:lpstr>
      <vt:lpstr>CFL_LTCG_PTI_2019</vt:lpstr>
      <vt:lpstr>CFL_LTCG_PTI_2020</vt:lpstr>
      <vt:lpstr>CFL_STCG_Normal_2011</vt:lpstr>
      <vt:lpstr>CFL_STCG_Normal_2012</vt:lpstr>
      <vt:lpstr>CFL_STCG_Normal_2013</vt:lpstr>
      <vt:lpstr>CFL_STCG_Normal_2014</vt:lpstr>
      <vt:lpstr>CFL_STCG_Normal_2015</vt:lpstr>
      <vt:lpstr>CFL_STCG_Normal_2016</vt:lpstr>
      <vt:lpstr>CFL_STCG_Normal_2017</vt:lpstr>
      <vt:lpstr>CFL_STCG_Normal_2018</vt:lpstr>
      <vt:lpstr>CFL_STCG_Normal_2019</vt:lpstr>
      <vt:lpstr>CFL_STCG_Normal_2020</vt:lpstr>
      <vt:lpstr>CFL_STCG_Normal_2021</vt:lpstr>
      <vt:lpstr>CFL_STCG_PTI_2011</vt:lpstr>
      <vt:lpstr>CFL_STCG_PTI_2012</vt:lpstr>
      <vt:lpstr>CFL_STCG_PTI_2013</vt:lpstr>
      <vt:lpstr>CFL_STCG_PTI_2014</vt:lpstr>
      <vt:lpstr>CFL_STCG_PTI_2015</vt:lpstr>
      <vt:lpstr>CFL_STCG_PTI_2016</vt:lpstr>
      <vt:lpstr>CFL_STCG_PTI_2017</vt:lpstr>
      <vt:lpstr>CFL_STCG_PTI_2018</vt:lpstr>
      <vt:lpstr>CFL_STCG_PTI_2019</vt:lpstr>
      <vt:lpstr>CFL_STCG_PTI_2020</vt:lpstr>
      <vt:lpstr>CFL_XML_Check1</vt:lpstr>
      <vt:lpstr>CFL_XML_Check2</vt:lpstr>
      <vt:lpstr>CG.C_TotScheduleCGFor23</vt:lpstr>
      <vt:lpstr>CG_A_AadhaarOfBuyer1</vt:lpstr>
      <vt:lpstr>CG_A_AddressOfBuyer1</vt:lpstr>
      <vt:lpstr>CG_A_Amount1</vt:lpstr>
      <vt:lpstr>CG_A_CountryOfBuyer1</vt:lpstr>
      <vt:lpstr>CG_A_NameOfBuyer1</vt:lpstr>
      <vt:lpstr>CG_A_PanOfBuyer1</vt:lpstr>
      <vt:lpstr>CG_A_PercentageShare1</vt:lpstr>
      <vt:lpstr>CG_A_PinCodeOfBuyer1</vt:lpstr>
      <vt:lpstr>CG_A_StateCodeOfBuyer1</vt:lpstr>
      <vt:lpstr>CG_A_ZipcodeOfBuyer1</vt:lpstr>
      <vt:lpstr>CG_B_AadhaaeOfBuyer1</vt:lpstr>
      <vt:lpstr>CG_B_AddressOfBuyer1</vt:lpstr>
      <vt:lpstr>CG_B_Amount1</vt:lpstr>
      <vt:lpstr>CG_B_CountryOfBuyer1</vt:lpstr>
      <vt:lpstr>CG_B_NameOfBuyer1</vt:lpstr>
      <vt:lpstr>CG_B_PanOfBuyer1</vt:lpstr>
      <vt:lpstr>CG_B_PercentageShare1</vt:lpstr>
      <vt:lpstr>CG_B_PinCodeOfBuyer1</vt:lpstr>
      <vt:lpstr>CG_B_StateCodeOfBuyer1</vt:lpstr>
      <vt:lpstr>CG_B_ZipcodeOfBuyer1</vt:lpstr>
      <vt:lpstr>CG_Count</vt:lpstr>
      <vt:lpstr>CG_FilledFlag</vt:lpstr>
      <vt:lpstr>CG_LTCG_hiding</vt:lpstr>
      <vt:lpstr>CG_LTCG_rptfrm1</vt:lpstr>
      <vt:lpstr>CG_RANGE</vt:lpstr>
      <vt:lpstr>CG_Status</vt:lpstr>
      <vt:lpstr>CG_STCG_hiding</vt:lpstr>
      <vt:lpstr>CG_STCG_rptfrm1</vt:lpstr>
      <vt:lpstr>checkin92E</vt:lpstr>
      <vt:lpstr>City_Town_District_80GGA</vt:lpstr>
      <vt:lpstr>City_Town_District_80GGANew</vt:lpstr>
      <vt:lpstr>Claim115HCheck</vt:lpstr>
      <vt:lpstr>ClaimedAadhar5A_TDS2</vt:lpstr>
      <vt:lpstr>ClaimedAadhar5A_TDS3</vt:lpstr>
      <vt:lpstr>clauseiv7provisio139iAmount_1</vt:lpstr>
      <vt:lpstr>clauseiv7provisio139iAmount_2</vt:lpstr>
      <vt:lpstr>clauseiv7provisio139iAmount_3</vt:lpstr>
      <vt:lpstr>clauseiv7provisio139iAmount_4</vt:lpstr>
      <vt:lpstr>clauseiv7provisio139iFlg</vt:lpstr>
      <vt:lpstr>clauseiv7provisio139iFlg_1</vt:lpstr>
      <vt:lpstr>clauseiv7provisio139iFlg_2</vt:lpstr>
      <vt:lpstr>clauseiv7provisio139iFlg_3</vt:lpstr>
      <vt:lpstr>clauseiv7provisio139iFlg_4</vt:lpstr>
      <vt:lpstr>cntr.Ptirptfrm</vt:lpstr>
      <vt:lpstr>Co_OwnnerBlock1</vt:lpstr>
      <vt:lpstr>Co_OwnnerBlock2</vt:lpstr>
      <vt:lpstr>COAwithIndex_112A</vt:lpstr>
      <vt:lpstr>COAwithIndex_115AD</vt:lpstr>
      <vt:lpstr>COAwithoutIndex_112A</vt:lpstr>
      <vt:lpstr>COAwithoutIndex_115AD</vt:lpstr>
      <vt:lpstr>Condn_1</vt:lpstr>
      <vt:lpstr>Condn_2</vt:lpstr>
      <vt:lpstr>Condn_3</vt:lpstr>
      <vt:lpstr>Condn_4</vt:lpstr>
      <vt:lpstr>Condn_5</vt:lpstr>
      <vt:lpstr>Condn_6</vt:lpstr>
      <vt:lpstr>CostInflationIndex</vt:lpstr>
      <vt:lpstr>CostInflationtbl</vt:lpstr>
      <vt:lpstr>CostInflationYear</vt:lpstr>
      <vt:lpstr>CostofImprovement_112A</vt:lpstr>
      <vt:lpstr>CostofImprovement_115AD</vt:lpstr>
      <vt:lpstr>countIsLiable</vt:lpstr>
      <vt:lpstr>Country</vt:lpstr>
      <vt:lpstr>Country_Juridiction</vt:lpstr>
      <vt:lpstr>Country_NoIndia</vt:lpstr>
      <vt:lpstr>Countrycode1</vt:lpstr>
      <vt:lpstr>Countrycode2</vt:lpstr>
      <vt:lpstr>Creationdt</vt:lpstr>
      <vt:lpstr>currentDate</vt:lpstr>
      <vt:lpstr>currentVerDate</vt:lpstr>
      <vt:lpstr>Cuuren_Date</vt:lpstr>
      <vt:lpstr>cyla.TotBusLoss</vt:lpstr>
      <vt:lpstr>cyla.TotHPlossCurYr</vt:lpstr>
      <vt:lpstr>cyla.TotHPlossCurYr1</vt:lpstr>
      <vt:lpstr>cyla.TotOthSrcLossNoRaceHorse</vt:lpstr>
      <vt:lpstr>CYLAtemp10Sec1121c2</vt:lpstr>
      <vt:lpstr>CYLAtemp10Sec112A</vt:lpstr>
      <vt:lpstr>CYLAtemp10Sec115AC1</vt:lpstr>
      <vt:lpstr>CYLAtemp10Sec115ACA1</vt:lpstr>
      <vt:lpstr>CYLAtemp10Sec115AD3</vt:lpstr>
      <vt:lpstr>CYLAtemp10Sec115AD3_Proviso</vt:lpstr>
      <vt:lpstr>CYLAtemp10Sec115Eb</vt:lpstr>
      <vt:lpstr>CYLAtemp10SecPro</vt:lpstr>
      <vt:lpstr>CYLAtemp115AD30</vt:lpstr>
      <vt:lpstr>CYLAtemp15Sec111a</vt:lpstr>
      <vt:lpstr>CYLAtemp15Sec115ad1bii</vt:lpstr>
      <vt:lpstr>CYLAtemp20Sec112</vt:lpstr>
      <vt:lpstr>CYLAtemp20Sec11EA</vt:lpstr>
      <vt:lpstr>CYLAtempAR</vt:lpstr>
      <vt:lpstr>CYLAtempPTI10</vt:lpstr>
      <vt:lpstr>CYLAtempPTI10_112</vt:lpstr>
      <vt:lpstr>CYLAtempPTI15</vt:lpstr>
      <vt:lpstr>CYLAtempPTI20</vt:lpstr>
      <vt:lpstr>CYLAtempPTI30</vt:lpstr>
      <vt:lpstr>CYLAtempPTIAR</vt:lpstr>
      <vt:lpstr>D_115F</vt:lpstr>
      <vt:lpstr>D_115F_Temp</vt:lpstr>
      <vt:lpstr>D_54</vt:lpstr>
      <vt:lpstr>D_54_Temp</vt:lpstr>
      <vt:lpstr>D_54B</vt:lpstr>
      <vt:lpstr>D_54B_Temp</vt:lpstr>
      <vt:lpstr>D_54B_Temp1</vt:lpstr>
      <vt:lpstr>D_54D</vt:lpstr>
      <vt:lpstr>D_54D_Temp</vt:lpstr>
      <vt:lpstr>D_54D_Temp1</vt:lpstr>
      <vt:lpstr>D_54EC</vt:lpstr>
      <vt:lpstr>D_54EC_Temp</vt:lpstr>
      <vt:lpstr>D_54EE</vt:lpstr>
      <vt:lpstr>D_54EE_Temp</vt:lpstr>
      <vt:lpstr>D_54F</vt:lpstr>
      <vt:lpstr>D_54F_Temp</vt:lpstr>
      <vt:lpstr>D_54G</vt:lpstr>
      <vt:lpstr>D_54G_Temp</vt:lpstr>
      <vt:lpstr>D_54G_Temp1</vt:lpstr>
      <vt:lpstr>D_54GA</vt:lpstr>
      <vt:lpstr>D_54GA_Temp</vt:lpstr>
      <vt:lpstr>D_54GA_Temp1</vt:lpstr>
      <vt:lpstr>D_54GB</vt:lpstr>
      <vt:lpstr>D_54GB_Temp</vt:lpstr>
      <vt:lpstr>D_Eligible</vt:lpstr>
      <vt:lpstr>DAOB10.AdditionsGrThan180Days</vt:lpstr>
      <vt:lpstr>DAOB10.AdditionsLessThan180Days</vt:lpstr>
      <vt:lpstr>DAOB10.AddlnDeprDuringYearAdditions</vt:lpstr>
      <vt:lpstr>DAOB10.AddlnDeprOnGT180DayAdditions</vt:lpstr>
      <vt:lpstr>DAOB10.CapGainUs50</vt:lpstr>
      <vt:lpstr>DAOB10.Check17A</vt:lpstr>
      <vt:lpstr>DAOB10.Check17AFurniture</vt:lpstr>
      <vt:lpstr>DAOB10.DepreciationAtFullRate</vt:lpstr>
      <vt:lpstr>DAOB10.DepreciationAtHalfRate</vt:lpstr>
      <vt:lpstr>DAOB10.DepUnderSec38</vt:lpstr>
      <vt:lpstr>DAOB10.ExpdrOnTrforSaleAsset</vt:lpstr>
      <vt:lpstr>DAOB10.FullRateDeprAmt</vt:lpstr>
      <vt:lpstr>DAOB10.HalfRateDeprAmt</vt:lpstr>
      <vt:lpstr>DAOB10.NetAgrdep</vt:lpstr>
      <vt:lpstr>DAOB10.ProAgrdep</vt:lpstr>
      <vt:lpstr>DAOB10.RATE</vt:lpstr>
      <vt:lpstr>DAOB10.RealizationPeriodDuringYear</vt:lpstr>
      <vt:lpstr>DAOB10.RealizationTotalPeriod</vt:lpstr>
      <vt:lpstr>DAOB10.TotalDepreciation</vt:lpstr>
      <vt:lpstr>DAOB10.WDVFirstDay</vt:lpstr>
      <vt:lpstr>DAOB10.WDVLastDay</vt:lpstr>
      <vt:lpstr>DAOB100.AdditionsGrThan180Days</vt:lpstr>
      <vt:lpstr>DAOB100.AdditionsLessThan180Days</vt:lpstr>
      <vt:lpstr>DAOB100.AddlnDeprDuringYearAdditions</vt:lpstr>
      <vt:lpstr>DAOB100.AddlnDeprOnGT180DayAdditions</vt:lpstr>
      <vt:lpstr>DAOB100.CapGainUs50</vt:lpstr>
      <vt:lpstr>DAOB100.DepreciationAtFullRate</vt:lpstr>
      <vt:lpstr>DAOB100.DepreciationAtHalfRate</vt:lpstr>
      <vt:lpstr>DAOB100.DepUnderSec38</vt:lpstr>
      <vt:lpstr>DAOB100.ExpdrOnTrforSaleAsset</vt:lpstr>
      <vt:lpstr>DAOB100.FullRateDeprAmt</vt:lpstr>
      <vt:lpstr>DAOB100.HalfRateDeprAmt</vt:lpstr>
      <vt:lpstr>DAOB100.NetAgrdep</vt:lpstr>
      <vt:lpstr>DAOB100.ProAgrdep</vt:lpstr>
      <vt:lpstr>DAOB100.RATE</vt:lpstr>
      <vt:lpstr>DAOB100.RealizationPeriodDuringYear</vt:lpstr>
      <vt:lpstr>DAOB100.RealizationTotalPeriod</vt:lpstr>
      <vt:lpstr>DAOB100.TotalDepreciation</vt:lpstr>
      <vt:lpstr>DAOB100.WDVFirstDay</vt:lpstr>
      <vt:lpstr>DAOB100.WDVLastDay</vt:lpstr>
      <vt:lpstr>DAOB20.Check17A</vt:lpstr>
      <vt:lpstr>DAOB25.Check17A</vt:lpstr>
      <vt:lpstr>DAOB40.Check17A</vt:lpstr>
      <vt:lpstr>DAOB5.AdditionsGrThan180Days</vt:lpstr>
      <vt:lpstr>DAOB5.AdditionsLessThan180Days</vt:lpstr>
      <vt:lpstr>DAOB5.AddlnDeprDuringYearAdditions</vt:lpstr>
      <vt:lpstr>DAOB5.AddlnDeprOnGT180DayAdditions</vt:lpstr>
      <vt:lpstr>DAOB5.CapGainUs50</vt:lpstr>
      <vt:lpstr>DAOB5.Check17A</vt:lpstr>
      <vt:lpstr>DAOB5.DepreciationAtFullRate</vt:lpstr>
      <vt:lpstr>DAOB5.DepreciationAtHalfRate</vt:lpstr>
      <vt:lpstr>DAOB5.DepUnderSec38</vt:lpstr>
      <vt:lpstr>DAOB5.ExpdrOnTrforSaleAsset</vt:lpstr>
      <vt:lpstr>DAOB5.FullRateDeprAmt</vt:lpstr>
      <vt:lpstr>DAOB5.HalfRateDeprAmt</vt:lpstr>
      <vt:lpstr>DAOB5.NetAgrdep</vt:lpstr>
      <vt:lpstr>DAOB5.ProAgrdep</vt:lpstr>
      <vt:lpstr>DAOB5.RATE</vt:lpstr>
      <vt:lpstr>DAOB5.RealizationPeriodDuringYear</vt:lpstr>
      <vt:lpstr>DAOB5.RealizationTotalPeriod</vt:lpstr>
      <vt:lpstr>DAOB5.TotalDepreciation</vt:lpstr>
      <vt:lpstr>DAOB5.WDVFirstDay</vt:lpstr>
      <vt:lpstr>DAOB5.WDVLastDay</vt:lpstr>
      <vt:lpstr>DAOF10.AdditionsGrThan180Days</vt:lpstr>
      <vt:lpstr>DAOF10.AdditionsLessThan180Days</vt:lpstr>
      <vt:lpstr>DAOF10.AddlnDeprDuringYearAdditions</vt:lpstr>
      <vt:lpstr>DAOF10.AddlnDeprOnGT180DayAdditions</vt:lpstr>
      <vt:lpstr>DAOF10.CapGainUs50</vt:lpstr>
      <vt:lpstr>DAOF10.DepreciationAtFullRate</vt:lpstr>
      <vt:lpstr>DAOF10.DepreciationAtHalfRate</vt:lpstr>
      <vt:lpstr>DAOF10.DepUnderSec38</vt:lpstr>
      <vt:lpstr>DAOF10.ExpdrOnTrforSaleAsset</vt:lpstr>
      <vt:lpstr>DAOF10.FullRateDeprAmt</vt:lpstr>
      <vt:lpstr>DAOF10.HalfRateDeprAmt</vt:lpstr>
      <vt:lpstr>DAOF10.NetAgrdep</vt:lpstr>
      <vt:lpstr>DAOF10.ProAgrdep</vt:lpstr>
      <vt:lpstr>DAOF10.RATE</vt:lpstr>
      <vt:lpstr>DAOF10.RealizationPeriodDuringYear</vt:lpstr>
      <vt:lpstr>DAOF10.RealizationTotalPeriod</vt:lpstr>
      <vt:lpstr>DAOF10.TotalDepreciation</vt:lpstr>
      <vt:lpstr>DAOF10.WDVFirstDay</vt:lpstr>
      <vt:lpstr>DAOF10.WDVLastDay</vt:lpstr>
      <vt:lpstr>DAOI25.AdditionsGrThan180Days</vt:lpstr>
      <vt:lpstr>DAOI25.AdditionsLessThan180Days</vt:lpstr>
      <vt:lpstr>DAOI25.AddlnDeprDuringYearAdditions</vt:lpstr>
      <vt:lpstr>DAOI25.AddlnDeprOnGT180DayAdditions</vt:lpstr>
      <vt:lpstr>DAOI25.CapGainUs50</vt:lpstr>
      <vt:lpstr>DAOI25.DepreciationAtFullRate</vt:lpstr>
      <vt:lpstr>DAOI25.DepreciationAtHalfRate</vt:lpstr>
      <vt:lpstr>DAOI25.DepUnderSec38</vt:lpstr>
      <vt:lpstr>DAOI25.ExpdrOnTrforSaleAsset</vt:lpstr>
      <vt:lpstr>DAOI25.FullRateDeprAmt</vt:lpstr>
      <vt:lpstr>DAOI25.HalfRateDeprAmt</vt:lpstr>
      <vt:lpstr>DAOI25.NetAgrdep</vt:lpstr>
      <vt:lpstr>DAOI25.ProAgrdep</vt:lpstr>
      <vt:lpstr>DAOI25.RATE</vt:lpstr>
      <vt:lpstr>DAOI25.RealizationPeriodDuringYear</vt:lpstr>
      <vt:lpstr>DAOI25.RealizationTotalPeriod</vt:lpstr>
      <vt:lpstr>DAOI25.TotalDepreciation</vt:lpstr>
      <vt:lpstr>DAOI25.WDVFirstDay</vt:lpstr>
      <vt:lpstr>DAOI25.WDVLastDay</vt:lpstr>
      <vt:lpstr>DAOL0.WDVFirstDay</vt:lpstr>
      <vt:lpstr>DAOL0.WDVLastDay</vt:lpstr>
      <vt:lpstr>DAOS20.AdditionsGrThan180Days</vt:lpstr>
      <vt:lpstr>DAOS20.AdditionsLessThan180Days</vt:lpstr>
      <vt:lpstr>DAOS20.AddlnDeprDuringYearAdditions</vt:lpstr>
      <vt:lpstr>DAOS20.AddlnDeprOnGT180DayAdditions</vt:lpstr>
      <vt:lpstr>DAOS20.CapGainUs50</vt:lpstr>
      <vt:lpstr>DAOS20.DepreciationAtFullRate</vt:lpstr>
      <vt:lpstr>DAOS20.DepreciationAtHalfRate</vt:lpstr>
      <vt:lpstr>DAOS20.DepUnderSec38</vt:lpstr>
      <vt:lpstr>DAOS20.ExpdrOnTrforSaleAsset</vt:lpstr>
      <vt:lpstr>DAOS20.FullRateDeprAmt</vt:lpstr>
      <vt:lpstr>DAOS20.HalfRateDeprAmt</vt:lpstr>
      <vt:lpstr>DAOS20.NetAgrdep</vt:lpstr>
      <vt:lpstr>DAOS20.ProAgrdep</vt:lpstr>
      <vt:lpstr>DAOS20.RATE</vt:lpstr>
      <vt:lpstr>DAOS20.RealizationPeriodDuringYear</vt:lpstr>
      <vt:lpstr>DAOS20.RealizationTotalPeriod</vt:lpstr>
      <vt:lpstr>DAOS20.TotalDepreciation</vt:lpstr>
      <vt:lpstr>DAOS20.WDVFirstDay</vt:lpstr>
      <vt:lpstr>DAOS20.WDVLastDay</vt:lpstr>
      <vt:lpstr>DateCflValidate</vt:lpstr>
      <vt:lpstr>DateOfFiling</vt:lpstr>
      <vt:lpstr>DateOfFiling234A</vt:lpstr>
      <vt:lpstr>DateOfProcessing</vt:lpstr>
      <vt:lpstr>DCG.FurnitureSummary</vt:lpstr>
      <vt:lpstr>DCG.IntangibleAssetSummary</vt:lpstr>
      <vt:lpstr>DCG.ShipsSummary</vt:lpstr>
      <vt:lpstr>DCG.TotalDepreciation</vt:lpstr>
      <vt:lpstr>DCGB.DeprBlockTot100Percent</vt:lpstr>
      <vt:lpstr>DCGB.DeprBlockTot10Percent</vt:lpstr>
      <vt:lpstr>DCGB.DeprBlockTot5Percent</vt:lpstr>
      <vt:lpstr>DCGB.TotBuildng</vt:lpstr>
      <vt:lpstr>DCGP.DeprBlockTot100Percent</vt:lpstr>
      <vt:lpstr>DCGP.DeprBlockTot15Percent</vt:lpstr>
      <vt:lpstr>DCGP.DeprBlockTot30Percent</vt:lpstr>
      <vt:lpstr>DCGP.DeprBlockTot40Percent</vt:lpstr>
      <vt:lpstr>DCGP.DeprBlockTot45Percent</vt:lpstr>
      <vt:lpstr>DCGP.DeprBlockTot50Percent</vt:lpstr>
      <vt:lpstr>DCGP.DeprBlockTot60Percent</vt:lpstr>
      <vt:lpstr>DCGP.DeprBlockTot80Percent</vt:lpstr>
      <vt:lpstr>DCGP.TotPlntMach</vt:lpstr>
      <vt:lpstr>DEDN.1c_TotDeductClaim</vt:lpstr>
      <vt:lpstr>DEDN.AmtDeducted</vt:lpstr>
      <vt:lpstr>DEDN.AmtDeposited</vt:lpstr>
      <vt:lpstr>DEDN.CostofAsset</vt:lpstr>
      <vt:lpstr>DEDN.D2_DeductPAN</vt:lpstr>
      <vt:lpstr>DEDN.DateofAcquist</vt:lpstr>
      <vt:lpstr>DEDN.DeductedSecCode</vt:lpstr>
      <vt:lpstr>Deduction.115F.AmtDedClaimed</vt:lpstr>
      <vt:lpstr>Deduction.115F.AmtInvt</vt:lpstr>
      <vt:lpstr>Deduction.115F.DateOfInvest</vt:lpstr>
      <vt:lpstr>Deduction.115F.DateOfTransfer</vt:lpstr>
      <vt:lpstr>Deduction.54.AmtDedClaimed</vt:lpstr>
      <vt:lpstr>Deduction.54.AmtdepCG</vt:lpstr>
      <vt:lpstr>Deduction.54.CostOfHouse</vt:lpstr>
      <vt:lpstr>Deduction.54.DateOfPursConst</vt:lpstr>
      <vt:lpstr>Deduction.54.DateOfTransfer</vt:lpstr>
      <vt:lpstr>Deduction.54.Total</vt:lpstr>
      <vt:lpstr>Deduction.54B.AmtDedClaimed</vt:lpstr>
      <vt:lpstr>Deduction.54B.AmtdepCG</vt:lpstr>
      <vt:lpstr>Deduction.54B.CostOfAgriLand</vt:lpstr>
      <vt:lpstr>Deduction.54B.DateOfPurLand</vt:lpstr>
      <vt:lpstr>Deduction.54B.DateOfPurLandB</vt:lpstr>
      <vt:lpstr>Deduction.54B.DateOfTransfer</vt:lpstr>
      <vt:lpstr>Deduction.54B.Total</vt:lpstr>
      <vt:lpstr>Deduction.54D.AmtDedClaimed</vt:lpstr>
      <vt:lpstr>Deduction.54D.AmtdepCG</vt:lpstr>
      <vt:lpstr>Deduction.54D.CostOfPurcConst</vt:lpstr>
      <vt:lpstr>Deduction.54D.DateOfTransfer</vt:lpstr>
      <vt:lpstr>Deduction.54D.Total</vt:lpstr>
      <vt:lpstr>Deduction.54EC.AmountInvestd</vt:lpstr>
      <vt:lpstr>Deduction.54EC.AmtDedClaimed</vt:lpstr>
      <vt:lpstr>Deduction.54EC.DateOfInvestment</vt:lpstr>
      <vt:lpstr>Deduction.54EC.DateOfTransfer</vt:lpstr>
      <vt:lpstr>Deduction.54EC.Total</vt:lpstr>
      <vt:lpstr>Deduction.54EE.AmountInvestd</vt:lpstr>
      <vt:lpstr>Deduction.54EE.AmtDedClaimed</vt:lpstr>
      <vt:lpstr>Deduction.54EE.DateOfInvestment</vt:lpstr>
      <vt:lpstr>Deduction.54EE.DateOfTransfer</vt:lpstr>
      <vt:lpstr>Deduction.54EE.Total</vt:lpstr>
      <vt:lpstr>Deduction.54F.AmtDedClaimed</vt:lpstr>
      <vt:lpstr>Deduction.54F.AmtdepCG</vt:lpstr>
      <vt:lpstr>Deduction.54F.CostOfHouse</vt:lpstr>
      <vt:lpstr>Deduction.54F.DateOfPurc</vt:lpstr>
      <vt:lpstr>Deduction.54F.DateOfTransfer</vt:lpstr>
      <vt:lpstr>Deduction.54F.Total</vt:lpstr>
      <vt:lpstr>Deduction.54G.AmtDedClaimed</vt:lpstr>
      <vt:lpstr>Deduction.54G.AmtdepCG</vt:lpstr>
      <vt:lpstr>Deduction.54G.CostOfExpenses</vt:lpstr>
      <vt:lpstr>Deduction.54G.DateOfPurc</vt:lpstr>
      <vt:lpstr>Deduction.54G.DateOfTransfer</vt:lpstr>
      <vt:lpstr>Deduction.54G.Total</vt:lpstr>
      <vt:lpstr>Deduction.54GA.AmtDedClaimed</vt:lpstr>
      <vt:lpstr>Deduction.54GA.AmtdepCG</vt:lpstr>
      <vt:lpstr>Deduction.54GA.CostOfExpenses</vt:lpstr>
      <vt:lpstr>Deduction.54GA.DateOfPurc</vt:lpstr>
      <vt:lpstr>Deduction.54GA.DateOfTransfer</vt:lpstr>
      <vt:lpstr>Deduction.54GA.Total</vt:lpstr>
      <vt:lpstr>Deduction.54h.Total</vt:lpstr>
      <vt:lpstr>deductionsSysTotal</vt:lpstr>
      <vt:lpstr>DedViA_Value</vt:lpstr>
      <vt:lpstr>DefAgriRebate</vt:lpstr>
      <vt:lpstr>DelayedNoOfMonths</vt:lpstr>
      <vt:lpstr>DEP.FurnitureSummary</vt:lpstr>
      <vt:lpstr>DEP.IntangibleAssetSummary</vt:lpstr>
      <vt:lpstr>DEP.ShipsSummary</vt:lpstr>
      <vt:lpstr>DEP.TotalDepreciation</vt:lpstr>
      <vt:lpstr>DEPB.DeprBlockTot100Percent</vt:lpstr>
      <vt:lpstr>DEPB.DeprBlockTot10Percent</vt:lpstr>
      <vt:lpstr>DEPB.DeprBlockTot5Percent</vt:lpstr>
      <vt:lpstr>DEPB.TotBuildng</vt:lpstr>
      <vt:lpstr>DEPP.DeprBlockTot100Percent</vt:lpstr>
      <vt:lpstr>DEPP.DeprBlockTot15Percent</vt:lpstr>
      <vt:lpstr>DEPP.DeprBlockTot30Percent</vt:lpstr>
      <vt:lpstr>DEPP.DeprBlockTot40Percent</vt:lpstr>
      <vt:lpstr>DEPP.DeprBlockTot45Percent</vt:lpstr>
      <vt:lpstr>DEPP.DeprBlockTot50Percent</vt:lpstr>
      <vt:lpstr>DEPP.DeprBlockTot60Percent</vt:lpstr>
      <vt:lpstr>DEPP.DeprBlockTot80Percent</vt:lpstr>
      <vt:lpstr>DEPP.TotPlntMach</vt:lpstr>
      <vt:lpstr>DirectorTableRows</vt:lpstr>
      <vt:lpstr>DivDTAA</vt:lpstr>
      <vt:lpstr>DivDTAATotal</vt:lpstr>
      <vt:lpstr>DOA_temp1</vt:lpstr>
      <vt:lpstr>DOA_temp2</vt:lpstr>
      <vt:lpstr>DOA_temp3</vt:lpstr>
      <vt:lpstr>DOA_temp4</vt:lpstr>
      <vt:lpstr>DOA_temp5</vt:lpstr>
      <vt:lpstr>DOA_temp6</vt:lpstr>
      <vt:lpstr>DOA_XML_Check1</vt:lpstr>
      <vt:lpstr>Donation_cash_80GGA</vt:lpstr>
      <vt:lpstr>Donation_cash_80GGANew</vt:lpstr>
      <vt:lpstr>Donation_Eligible_80GGA</vt:lpstr>
      <vt:lpstr>Donation_Eligible_80GGANew</vt:lpstr>
      <vt:lpstr>Donation_other_80GGA</vt:lpstr>
      <vt:lpstr>Donation_other_80GGANew</vt:lpstr>
      <vt:lpstr>Donation_total_80GGA</vt:lpstr>
      <vt:lpstr>Donation_total_80GGANew</vt:lpstr>
      <vt:lpstr>DPM_XML_Check1</vt:lpstr>
      <vt:lpstr>DPM100.AdditionsGrThan180Days</vt:lpstr>
      <vt:lpstr>DPM100.AdditionsLessThan180Days</vt:lpstr>
      <vt:lpstr>DPM100.AddlnDeprDuringYearAdditions</vt:lpstr>
      <vt:lpstr>DPM100.AddlnDeprlessthan180days</vt:lpstr>
      <vt:lpstr>DPM100.AddlnDeprOnGT180DayAdditions</vt:lpstr>
      <vt:lpstr>DPM100.CapGainUs50</vt:lpstr>
      <vt:lpstr>DPM100.DepreciationAtFullRate</vt:lpstr>
      <vt:lpstr>DPM100.DepreciationAtHalfRate</vt:lpstr>
      <vt:lpstr>DPM100.ExpdrOnTrforSaleAsset</vt:lpstr>
      <vt:lpstr>DPM100.FullRateDeprAmt</vt:lpstr>
      <vt:lpstr>DPM100.HalfRateDeprAmt</vt:lpstr>
      <vt:lpstr>DPM100.RATE</vt:lpstr>
      <vt:lpstr>DPM100.RealizationPeriodDuringYear</vt:lpstr>
      <vt:lpstr>DPM100.RealizationTotalPeriod</vt:lpstr>
      <vt:lpstr>DPM100.TotalDepreciation</vt:lpstr>
      <vt:lpstr>DPM100.WDVFirstDay</vt:lpstr>
      <vt:lpstr>DPM100.WDVLastDay</vt:lpstr>
      <vt:lpstr>DPM15.AdditionsGrThan180Days</vt:lpstr>
      <vt:lpstr>DPM15.AdditionsLessThan180Days</vt:lpstr>
      <vt:lpstr>DPM15.AddlnDeprDuringYearAdditions</vt:lpstr>
      <vt:lpstr>DPM15.AddlnDeprlessthan180days</vt:lpstr>
      <vt:lpstr>DPM15.AddlnDeprOnGT180DayAdditions</vt:lpstr>
      <vt:lpstr>DPM15.CapGainUs50</vt:lpstr>
      <vt:lpstr>DPM15.check20A</vt:lpstr>
      <vt:lpstr>DPM15.DepreciationAtFullRate</vt:lpstr>
      <vt:lpstr>DPM15.DepreciationAtHalfRate</vt:lpstr>
      <vt:lpstr>DPM15.DepUnderSec38</vt:lpstr>
      <vt:lpstr>DPM15.ExpdrOnTrforSaleAsset</vt:lpstr>
      <vt:lpstr>DPM15.FullRateDeprAmt</vt:lpstr>
      <vt:lpstr>DPM15.HalfRateDeprAmt</vt:lpstr>
      <vt:lpstr>DPM15.NetAgrdep</vt:lpstr>
      <vt:lpstr>DPM15.ProAgrdep</vt:lpstr>
      <vt:lpstr>DPM15.RATE</vt:lpstr>
      <vt:lpstr>DPM15.RealizationPeriodDuringYear</vt:lpstr>
      <vt:lpstr>DPM15.RealizationTotalPeriod</vt:lpstr>
      <vt:lpstr>DPM15.TotalDepreciation</vt:lpstr>
      <vt:lpstr>DPM15.WDVFirstDay</vt:lpstr>
      <vt:lpstr>DPM15.WDVFirstDay2</vt:lpstr>
      <vt:lpstr>DPM15.WDVFirstDayBAC</vt:lpstr>
      <vt:lpstr>DPM15.WDVLastDay</vt:lpstr>
      <vt:lpstr>DPM30.AdditionsGrThan180Days</vt:lpstr>
      <vt:lpstr>DPM30.AdditionsLessThan180Days</vt:lpstr>
      <vt:lpstr>DPM30.AddlnDeprDuringYearAdditions</vt:lpstr>
      <vt:lpstr>DPM30.AddlnDeprlessthan180days</vt:lpstr>
      <vt:lpstr>DPM30.AddlnDeprOnGT180DayAdditions</vt:lpstr>
      <vt:lpstr>DPM30.CapGainUs50</vt:lpstr>
      <vt:lpstr>DPM30.check20A</vt:lpstr>
      <vt:lpstr>DPM30.DepreciationAtFullRate</vt:lpstr>
      <vt:lpstr>DPM30.DepreciationAtHalfRate</vt:lpstr>
      <vt:lpstr>DPM30.DepUnderSec38</vt:lpstr>
      <vt:lpstr>DPM30.ExpdrOnTrforSaleAsset</vt:lpstr>
      <vt:lpstr>DPM30.FullRateDeprAmt</vt:lpstr>
      <vt:lpstr>DPM30.HalfRateDeprAmt</vt:lpstr>
      <vt:lpstr>DPM30.NetAgrdep</vt:lpstr>
      <vt:lpstr>DPM30.ProAgrdep</vt:lpstr>
      <vt:lpstr>DPM30.RATE</vt:lpstr>
      <vt:lpstr>DPM30.RealizationPeriodDuringYear</vt:lpstr>
      <vt:lpstr>DPM30.RealizationTotalPeriod</vt:lpstr>
      <vt:lpstr>DPM30.TotalDepreciation</vt:lpstr>
      <vt:lpstr>DPM30.WDVFirstDay</vt:lpstr>
      <vt:lpstr>DPM30.WDVFirstDay2</vt:lpstr>
      <vt:lpstr>DPM30.WDVFirstDayBAC</vt:lpstr>
      <vt:lpstr>DPM30.WDVLastDay</vt:lpstr>
      <vt:lpstr>DPM40.AdditionsGrThan180Days</vt:lpstr>
      <vt:lpstr>DPM40.AdditionsLessThan180Days</vt:lpstr>
      <vt:lpstr>DPM40.AddlnDeprDuringYearAdditions</vt:lpstr>
      <vt:lpstr>DPM40.AddlnDeprlessthan180days</vt:lpstr>
      <vt:lpstr>DPM40.AddlnDeprOnGT180DayAdditions</vt:lpstr>
      <vt:lpstr>DPM40.CapGainUs50</vt:lpstr>
      <vt:lpstr>DPM40.check20A</vt:lpstr>
      <vt:lpstr>DPM40.DepreciationAtFullRate</vt:lpstr>
      <vt:lpstr>DPM40.DepreciationAtHalfRate</vt:lpstr>
      <vt:lpstr>DPM40.DepUnderSec38</vt:lpstr>
      <vt:lpstr>DPM40.ExpdrOnTrforSaleAsset</vt:lpstr>
      <vt:lpstr>DPM40.FullRateDeprAmt</vt:lpstr>
      <vt:lpstr>DPM40.HalfRateDeprAmt</vt:lpstr>
      <vt:lpstr>DPM40.NetAgrdep</vt:lpstr>
      <vt:lpstr>DPM40.ProAgrdep</vt:lpstr>
      <vt:lpstr>DPM40.RATE</vt:lpstr>
      <vt:lpstr>DPM40.RealizationPeriodDuringYear</vt:lpstr>
      <vt:lpstr>DPM40.RealizationTotalPeriod</vt:lpstr>
      <vt:lpstr>DPM40.TotalDepreciation</vt:lpstr>
      <vt:lpstr>DPM40.WDVFirstDay</vt:lpstr>
      <vt:lpstr>DPM40.WDVFirstDay2</vt:lpstr>
      <vt:lpstr>DPM40.WDVFirstDayBAC</vt:lpstr>
      <vt:lpstr>DPM40.WDVLastDay</vt:lpstr>
      <vt:lpstr>DPM45.AdditionsGrThan180Days</vt:lpstr>
      <vt:lpstr>DPM45.AdditionsLessThan180Days</vt:lpstr>
      <vt:lpstr>DPM45.AddlnDeprDuringYearAdditions</vt:lpstr>
      <vt:lpstr>DPM45.AddlnDeprlessthan180days</vt:lpstr>
      <vt:lpstr>DPM45.AddlnDeprOnGT180DayAdditions</vt:lpstr>
      <vt:lpstr>DPM45.CapGainUs50</vt:lpstr>
      <vt:lpstr>DPM45.check20A</vt:lpstr>
      <vt:lpstr>DPM45.DepreciationAtFullRate</vt:lpstr>
      <vt:lpstr>DPM45.DepreciationAtHalfRate</vt:lpstr>
      <vt:lpstr>DPM45.DepUnderSec38</vt:lpstr>
      <vt:lpstr>DPM45.ExpdrOnTrforSaleAsset</vt:lpstr>
      <vt:lpstr>DPM45.FullRateDeprAmt</vt:lpstr>
      <vt:lpstr>DPM45.HalfRateDeprAmt</vt:lpstr>
      <vt:lpstr>DPM45.NetAgrdep</vt:lpstr>
      <vt:lpstr>DPM45.ProAgrdep</vt:lpstr>
      <vt:lpstr>DPM45.RATE</vt:lpstr>
      <vt:lpstr>DPM45.RealizationPeriodDuringYear</vt:lpstr>
      <vt:lpstr>DPM45.RealizationTotalPeriod</vt:lpstr>
      <vt:lpstr>DPM45.TotalDepreciation</vt:lpstr>
      <vt:lpstr>DPM45.WDVFirstDay</vt:lpstr>
      <vt:lpstr>DPM45.WDVFirstDay2</vt:lpstr>
      <vt:lpstr>DPM45.WDVFirstDay3</vt:lpstr>
      <vt:lpstr>DPM45.WDVFirstDayBAC</vt:lpstr>
      <vt:lpstr>DPM45.WDVLastDay</vt:lpstr>
      <vt:lpstr>DPM50.AdditionsGrThan180Days</vt:lpstr>
      <vt:lpstr>DPM50.AdditionsLessThan180Days</vt:lpstr>
      <vt:lpstr>DPM50.AddlnDeprDuringYearAdditions</vt:lpstr>
      <vt:lpstr>DPM50.AddlnDeprlessthan180days</vt:lpstr>
      <vt:lpstr>DPM50.AddlnDeprOnGT180DayAdditions</vt:lpstr>
      <vt:lpstr>DPM50.CapGainUs50</vt:lpstr>
      <vt:lpstr>DPM50.DepreciationAtFullRate</vt:lpstr>
      <vt:lpstr>DPM50.DepreciationAtHalfRate</vt:lpstr>
      <vt:lpstr>DPM50.ExpdrOnTrforSaleAsset</vt:lpstr>
      <vt:lpstr>DPM50.FullRateDeprAmt</vt:lpstr>
      <vt:lpstr>DPM50.HalfRateDeprAmt</vt:lpstr>
      <vt:lpstr>DPM50.RATE</vt:lpstr>
      <vt:lpstr>DPM50.RealizationPeriodDuringYear</vt:lpstr>
      <vt:lpstr>DPM50.RealizationTotalPeriod</vt:lpstr>
      <vt:lpstr>DPM50.TotalDepreciation</vt:lpstr>
      <vt:lpstr>DPM50.WDVFirstDay</vt:lpstr>
      <vt:lpstr>DPM50.WDVLastDay</vt:lpstr>
      <vt:lpstr>DPM60.AdditionsGrThan180Days</vt:lpstr>
      <vt:lpstr>DPM60.AdditionsLessThan180Days</vt:lpstr>
      <vt:lpstr>DPM60.AddlnDeprDuringYearAdditions</vt:lpstr>
      <vt:lpstr>DPM60.AddlnDeprlessthan180days</vt:lpstr>
      <vt:lpstr>DPM60.AddlnDeprOnGT180DayAdditions</vt:lpstr>
      <vt:lpstr>DPM60.CapGainUs50</vt:lpstr>
      <vt:lpstr>DPM60.DepreciationAtFullRate</vt:lpstr>
      <vt:lpstr>DPM60.DepreciationAtHalfRate</vt:lpstr>
      <vt:lpstr>DPM60.ExpdrOnTrforSaleAsset</vt:lpstr>
      <vt:lpstr>DPM60.FullRateDeprAmt</vt:lpstr>
      <vt:lpstr>DPM60.HalfRateDeprAmt</vt:lpstr>
      <vt:lpstr>DPM60.RATE</vt:lpstr>
      <vt:lpstr>DPM60.RealizationPeriodDuringYear</vt:lpstr>
      <vt:lpstr>DPM60.RealizationTotalPeriod</vt:lpstr>
      <vt:lpstr>DPM60.TotalDepreciation</vt:lpstr>
      <vt:lpstr>DPM60.WDVFirstDay</vt:lpstr>
      <vt:lpstr>DPM60.WDVLastDay</vt:lpstr>
      <vt:lpstr>DPM80.AdditionsGrThan180Days</vt:lpstr>
      <vt:lpstr>DPM80.AdditionsLessThan180Days</vt:lpstr>
      <vt:lpstr>DPM80.AddlnDeprDuringYearAdditions</vt:lpstr>
      <vt:lpstr>DPM80.AddlnDeprlessthan180days</vt:lpstr>
      <vt:lpstr>DPM80.AddlnDeprOnGT180DayAdditions</vt:lpstr>
      <vt:lpstr>DPM80.CapGainUs50</vt:lpstr>
      <vt:lpstr>DPM80.DepreciationAtFullRate</vt:lpstr>
      <vt:lpstr>DPM80.DepreciationAtHalfRate</vt:lpstr>
      <vt:lpstr>DPM80.ExpdrOnTrforSaleAsset</vt:lpstr>
      <vt:lpstr>DPM80.FullRateDeprAmt</vt:lpstr>
      <vt:lpstr>DPM80.HalfRateDeprAmt</vt:lpstr>
      <vt:lpstr>DPM80.RATE</vt:lpstr>
      <vt:lpstr>DPM80.RealizationPeriodDuringYear</vt:lpstr>
      <vt:lpstr>DPM80.RealizationTotalPeriod</vt:lpstr>
      <vt:lpstr>DPM80.TotalDepreciation</vt:lpstr>
      <vt:lpstr>DPM80.WDVFirstDay</vt:lpstr>
      <vt:lpstr>DPM80.WDVLastDay</vt:lpstr>
      <vt:lpstr>Dropdown_HeadOfIncome</vt:lpstr>
      <vt:lpstr>Dropdown_HeadOfIncome_Tds3</vt:lpstr>
      <vt:lpstr>Dropdown_RepCapacity</vt:lpstr>
      <vt:lpstr>DropDown_ValueOf_FamilyM_80D</vt:lpstr>
      <vt:lpstr>DropDown_ValueOf_SC_80D</vt:lpstr>
      <vt:lpstr>dropdown35ad</vt:lpstr>
      <vt:lpstr>DropdownFA_B</vt:lpstr>
      <vt:lpstr>DropdownFA_CD</vt:lpstr>
      <vt:lpstr>DropdownFA_E</vt:lpstr>
      <vt:lpstr>DSC_Case1</vt:lpstr>
      <vt:lpstr>DSC_Case2</vt:lpstr>
      <vt:lpstr>DTAA.Up16Of12To15Of3</vt:lpstr>
      <vt:lpstr>DTAA.Up16Of3To31Of3</vt:lpstr>
      <vt:lpstr>DTAA.Up16Of9To15Of12</vt:lpstr>
      <vt:lpstr>DTAA.Upto15Of6</vt:lpstr>
      <vt:lpstr>DTAA.Upto15Of9</vt:lpstr>
      <vt:lpstr>DTAA_111_OS</vt:lpstr>
      <vt:lpstr>Dtaa_1a</vt:lpstr>
      <vt:lpstr>DTAA_1a_OS</vt:lpstr>
      <vt:lpstr>Dtaa_1b</vt:lpstr>
      <vt:lpstr>DTAA_1b_OS</vt:lpstr>
      <vt:lpstr>DTAA_1c_OS</vt:lpstr>
      <vt:lpstr>DTAA_1d_OS</vt:lpstr>
      <vt:lpstr>DTAA_56_2x_OS</vt:lpstr>
      <vt:lpstr>DTAA_56_OS</vt:lpstr>
      <vt:lpstr>DTAA_56i_OS</vt:lpstr>
      <vt:lpstr>DTAA_56iii_OS</vt:lpstr>
      <vt:lpstr>DTAA_5A1ai</vt:lpstr>
      <vt:lpstr>DTAA_5A1ai_OS</vt:lpstr>
      <vt:lpstr>DTAA_5A1aii_OS</vt:lpstr>
      <vt:lpstr>DTAA_5A1aiia_OS</vt:lpstr>
      <vt:lpstr>DTAA_5A1aiiaa_OS</vt:lpstr>
      <vt:lpstr>DTAA_5A1aiiab_OS</vt:lpstr>
      <vt:lpstr>DTAA_5A1aiiac_OS</vt:lpstr>
      <vt:lpstr>DTAA_5A1aiii_OS</vt:lpstr>
      <vt:lpstr>DTAA_5A1aiPTI</vt:lpstr>
      <vt:lpstr>DTAA_5A1bA_OS</vt:lpstr>
      <vt:lpstr>DTAA_5A1bB_OS</vt:lpstr>
      <vt:lpstr>DTAA_5A1D1i_OS</vt:lpstr>
      <vt:lpstr>DTAA_5AC1a</vt:lpstr>
      <vt:lpstr>DTAA_5AC1ab_OS</vt:lpstr>
      <vt:lpstr>DTAA_5AC1aPTI</vt:lpstr>
      <vt:lpstr>DTAA_5AC1b</vt:lpstr>
      <vt:lpstr>DTAA_5AC1b_OS</vt:lpstr>
      <vt:lpstr>DTAA_5AC1bPTI</vt:lpstr>
      <vt:lpstr>DTAA_5ACA1a</vt:lpstr>
      <vt:lpstr>DTAA_5ACA1a_OS</vt:lpstr>
      <vt:lpstr>DTAA_5ACA1aPTI</vt:lpstr>
      <vt:lpstr>DTAA_5AD1i</vt:lpstr>
      <vt:lpstr>DTAA_5AD1ip_OS</vt:lpstr>
      <vt:lpstr>DTAA_5AD1iPTI</vt:lpstr>
      <vt:lpstr>Dtaa_5BB</vt:lpstr>
      <vt:lpstr>DTAA_5BB_OS</vt:lpstr>
      <vt:lpstr>DTAA_5BBA_OS</vt:lpstr>
      <vt:lpstr>DTAA_5BBC_OS</vt:lpstr>
      <vt:lpstr>DTAA_5BBDA_OS</vt:lpstr>
      <vt:lpstr>DTAA_5BBF_OS</vt:lpstr>
      <vt:lpstr>DTAA_5BBG_OS</vt:lpstr>
      <vt:lpstr>DTAA_5Ea_OS</vt:lpstr>
      <vt:lpstr>DTAA_5Eaa_OS</vt:lpstr>
      <vt:lpstr>DTAA_Inc_CG</vt:lpstr>
      <vt:lpstr>DTAA_Inc_OS</vt:lpstr>
      <vt:lpstr>DTAA_INCOME_CG</vt:lpstr>
      <vt:lpstr>DTAA_INCOME_OS</vt:lpstr>
      <vt:lpstr>DTAA_Income_OS_1</vt:lpstr>
      <vt:lpstr>DTAA_Income_OS_2</vt:lpstr>
      <vt:lpstr>DTAA_TAX_CG</vt:lpstr>
      <vt:lpstr>DTAA_TAX_OS</vt:lpstr>
      <vt:lpstr>DTAA_TAX_OS_1</vt:lpstr>
      <vt:lpstr>DTAA_TAX_OS_2</vt:lpstr>
      <vt:lpstr>DTAA5A1ai</vt:lpstr>
      <vt:lpstr>DTAA5AC</vt:lpstr>
      <vt:lpstr>DTAA5ACA1a</vt:lpstr>
      <vt:lpstr>DTAA5AD1i</vt:lpstr>
      <vt:lpstr>dtaaInc_2g</vt:lpstr>
      <vt:lpstr>DTAATot</vt:lpstr>
      <vt:lpstr>dueDate</vt:lpstr>
      <vt:lpstr>EI.Amount</vt:lpstr>
      <vt:lpstr>EI.Description</vt:lpstr>
      <vt:lpstr>EI.Drpdn</vt:lpstr>
      <vt:lpstr>EI.NatureOfIncome</vt:lpstr>
      <vt:lpstr>EI.slno</vt:lpstr>
      <vt:lpstr>EI.Total</vt:lpstr>
      <vt:lpstr>EI_SectionDropdown</vt:lpstr>
      <vt:lpstr>EI_SectionDropdown1</vt:lpstr>
      <vt:lpstr>EI_SectionDropdown1BACYes</vt:lpstr>
      <vt:lpstr>EI_SectionDropdownBACYes</vt:lpstr>
      <vt:lpstr>EI_XML_Check1</vt:lpstr>
      <vt:lpstr>Eligible_Amount_80D</vt:lpstr>
      <vt:lpstr>EmpCategory</vt:lpstr>
      <vt:lpstr>ESOP.AttributedTax</vt:lpstr>
      <vt:lpstr>ESOP.AttributedTaxTot</vt:lpstr>
      <vt:lpstr>ESOP.AY</vt:lpstr>
      <vt:lpstr>ESOP.BalTaxCF</vt:lpstr>
      <vt:lpstr>ESOP.CeasedEmployee</vt:lpstr>
      <vt:lpstr>ESOP.Date</vt:lpstr>
      <vt:lpstr>ESOP.DateOfCeasing</vt:lpstr>
      <vt:lpstr>ESOP.SecType</vt:lpstr>
      <vt:lpstr>ESOP.SpecifyDate</vt:lpstr>
      <vt:lpstr>ESOP.TaxCurrAY</vt:lpstr>
      <vt:lpstr>ESOP.TaxPrevAY</vt:lpstr>
      <vt:lpstr>ESOP_a</vt:lpstr>
      <vt:lpstr>ESOP_d</vt:lpstr>
      <vt:lpstr>ESOP_e</vt:lpstr>
      <vt:lpstr>ESOPCurrAY</vt:lpstr>
      <vt:lpstr>ESR_XML_Check</vt:lpstr>
      <vt:lpstr>ESR1i.AmtDebPL</vt:lpstr>
      <vt:lpstr>ESR1i.AmtUs35Allowable</vt:lpstr>
      <vt:lpstr>ESR1i.ExcessAmtOverDebPL</vt:lpstr>
      <vt:lpstr>ESR1ii.AmtDebPL</vt:lpstr>
      <vt:lpstr>ESR1ii.AmtUs35Allowable</vt:lpstr>
      <vt:lpstr>ESR1ii.ExcessAmtOverDebPL</vt:lpstr>
      <vt:lpstr>ESR1iia.AmtDebPL</vt:lpstr>
      <vt:lpstr>ESR1iia.AmtUs35Allowable</vt:lpstr>
      <vt:lpstr>ESR1iia.ExcessAmtOverDebPL</vt:lpstr>
      <vt:lpstr>ESR1iii.AmtDebPL</vt:lpstr>
      <vt:lpstr>ESR1iii.AmtUs35Allowable</vt:lpstr>
      <vt:lpstr>ESR1iii.ExcessAmtOverDebPL</vt:lpstr>
      <vt:lpstr>ESR1iv.AmtDebPL</vt:lpstr>
      <vt:lpstr>ESR1iv.AmtUs35Allowable</vt:lpstr>
      <vt:lpstr>ESR1iv.ExcessAmtOverDebPL</vt:lpstr>
      <vt:lpstr>ESR2AA.AmtDebPL</vt:lpstr>
      <vt:lpstr>ESR2AA.AmtUs35Allowable</vt:lpstr>
      <vt:lpstr>ESR2AA.ExcessAmtOverDebPL</vt:lpstr>
      <vt:lpstr>ESR2AB.AmtDebPL</vt:lpstr>
      <vt:lpstr>ESR2AB.AmtUs35Allowable</vt:lpstr>
      <vt:lpstr>ESR2AB.ExcessAmtOverDebPL</vt:lpstr>
      <vt:lpstr>ESR35CCC.AmtDebPL</vt:lpstr>
      <vt:lpstr>ESR35CCC.AmtUs35Allowable</vt:lpstr>
      <vt:lpstr>ESR35CCC.ExcessAmtOverDebPL</vt:lpstr>
      <vt:lpstr>ESR35CCD.AmtDebPL</vt:lpstr>
      <vt:lpstr>ESR35CCD.AmtUs35Allowable</vt:lpstr>
      <vt:lpstr>ESR35CCD.ExcessAmtOverDebPL</vt:lpstr>
      <vt:lpstr>ESRTOT.AmtDebPL</vt:lpstr>
      <vt:lpstr>ESRTOT.AmtUs35Allowable</vt:lpstr>
      <vt:lpstr>ESRTOT.ExcessAmtOverDebPL</vt:lpstr>
      <vt:lpstr>exemption</vt:lpstr>
      <vt:lpstr>exemptionAmt</vt:lpstr>
      <vt:lpstr>ExemptionUnder_TI</vt:lpstr>
      <vt:lpstr>ExpenditureWholly_112A</vt:lpstr>
      <vt:lpstr>ExpenditureWholly_115AD</vt:lpstr>
      <vt:lpstr>ExSAT</vt:lpstr>
      <vt:lpstr>ExSAT1</vt:lpstr>
      <vt:lpstr>extraInc</vt:lpstr>
      <vt:lpstr>F_115F</vt:lpstr>
      <vt:lpstr>F_54</vt:lpstr>
      <vt:lpstr>F_54B</vt:lpstr>
      <vt:lpstr>F_54D</vt:lpstr>
      <vt:lpstr>F_54EC</vt:lpstr>
      <vt:lpstr>F_54EE</vt:lpstr>
      <vt:lpstr>F_54F</vt:lpstr>
      <vt:lpstr>F_54G</vt:lpstr>
      <vt:lpstr>F_54GA</vt:lpstr>
      <vt:lpstr>F_54GB</vt:lpstr>
      <vt:lpstr>FA_A1_AccOpeningDate</vt:lpstr>
      <vt:lpstr>FA_A1_BankAdd</vt:lpstr>
      <vt:lpstr>FA_A1_BankName</vt:lpstr>
      <vt:lpstr>FA_A1_ClosingBal</vt:lpstr>
      <vt:lpstr>FA_A1_Country</vt:lpstr>
      <vt:lpstr>FA_A1_ForeignAccountNumber</vt:lpstr>
      <vt:lpstr>FA_A1_Grossinterest</vt:lpstr>
      <vt:lpstr>FA_A1_PeakBal</vt:lpstr>
      <vt:lpstr>FA_A1_StatusBeneficiary</vt:lpstr>
      <vt:lpstr>FA_A1_TotPeakBal</vt:lpstr>
      <vt:lpstr>FA_A1_ZipCode</vt:lpstr>
      <vt:lpstr>FA_A2_AccOpeningDate</vt:lpstr>
      <vt:lpstr>FA_A2_BankAdd</vt:lpstr>
      <vt:lpstr>FA_A2_BankName</vt:lpstr>
      <vt:lpstr>FA_A2_ClosingBal</vt:lpstr>
      <vt:lpstr>FA_A2_Country</vt:lpstr>
      <vt:lpstr>FA_A2_ForeignAccountNumber</vt:lpstr>
      <vt:lpstr>FA_A2_Grossinterest</vt:lpstr>
      <vt:lpstr>FA_A2_Grossinterest_Nature</vt:lpstr>
      <vt:lpstr>FA_A2_PeakBal</vt:lpstr>
      <vt:lpstr>FA_A2_StatusBeneficiary</vt:lpstr>
      <vt:lpstr>FA_A2_TotPeakBal</vt:lpstr>
      <vt:lpstr>FA_A2_ZipCode</vt:lpstr>
      <vt:lpstr>FA_A3_AccOpeningDate</vt:lpstr>
      <vt:lpstr>FA_A3_BankAdd</vt:lpstr>
      <vt:lpstr>FA_A3_BankName</vt:lpstr>
      <vt:lpstr>FA_A3_ClosingBal</vt:lpstr>
      <vt:lpstr>FA_A3_Country</vt:lpstr>
      <vt:lpstr>FA_A3_initialvalue</vt:lpstr>
      <vt:lpstr>FA_A3_NatureOfEntity</vt:lpstr>
      <vt:lpstr>FA_A3_PeakBal</vt:lpstr>
      <vt:lpstr>FA_A3_Totalgrosproceeds</vt:lpstr>
      <vt:lpstr>FA_A3_Totalgrossamount</vt:lpstr>
      <vt:lpstr>FA_A3_TotPeakBal</vt:lpstr>
      <vt:lpstr>FA_A3_ZipCode</vt:lpstr>
      <vt:lpstr>FA_A4_AccOpeningDate</vt:lpstr>
      <vt:lpstr>FA_A4_BankAdd</vt:lpstr>
      <vt:lpstr>FA_A4_BankName</vt:lpstr>
      <vt:lpstr>FA_A4_Country</vt:lpstr>
      <vt:lpstr>FA_A4_the_cashvalue</vt:lpstr>
      <vt:lpstr>FA_A4_Total_grossamount</vt:lpstr>
      <vt:lpstr>FA_A4_ZipCode</vt:lpstr>
      <vt:lpstr>FA_B_Amount</vt:lpstr>
      <vt:lpstr>FA_B_Country</vt:lpstr>
      <vt:lpstr>FA_B_DateSinceHeld</vt:lpstr>
      <vt:lpstr>FA_B_EntityAdd</vt:lpstr>
      <vt:lpstr>FA_B_EntityName</vt:lpstr>
      <vt:lpstr>FA_B_EntityNature</vt:lpstr>
      <vt:lpstr>FA_B_IncomeInterest</vt:lpstr>
      <vt:lpstr>FA_B_InvTotal</vt:lpstr>
      <vt:lpstr>FA_B_ItemNumOfSchedule</vt:lpstr>
      <vt:lpstr>FA_B_NatureOfIncome</vt:lpstr>
      <vt:lpstr>FA_B_NatureOfInterest</vt:lpstr>
      <vt:lpstr>FA_B_ScheduleOffered</vt:lpstr>
      <vt:lpstr>FA_B_TotalInv</vt:lpstr>
      <vt:lpstr>FA_B_ZipCode</vt:lpstr>
      <vt:lpstr>FA_C_Amount</vt:lpstr>
      <vt:lpstr>FA_C_Country</vt:lpstr>
      <vt:lpstr>FA_C_DateOfAcquisition</vt:lpstr>
      <vt:lpstr>FA_C_IncomeFromProperty</vt:lpstr>
      <vt:lpstr>FA_C_InvTotal</vt:lpstr>
      <vt:lpstr>FA_C_ItemNumOfSchedule</vt:lpstr>
      <vt:lpstr>FA_C_NatureOfIncome</vt:lpstr>
      <vt:lpstr>FA_C_OwnershipBeneficiary</vt:lpstr>
      <vt:lpstr>FA_C_PropertyAdd</vt:lpstr>
      <vt:lpstr>FA_C_ScheduleOffered</vt:lpstr>
      <vt:lpstr>FA_C_TotalInv</vt:lpstr>
      <vt:lpstr>FA_C_ZipCode</vt:lpstr>
      <vt:lpstr>FA_D_Amount</vt:lpstr>
      <vt:lpstr>FA_D_AssetNature</vt:lpstr>
      <vt:lpstr>FA_D_Country</vt:lpstr>
      <vt:lpstr>FA_D_DateOfAcquisition</vt:lpstr>
      <vt:lpstr>FA_D_IncomeFromProperty</vt:lpstr>
      <vt:lpstr>FA_D_InvTotal</vt:lpstr>
      <vt:lpstr>FA_D_ItemNumOfSchedule</vt:lpstr>
      <vt:lpstr>FA_D_NatureOfIncome</vt:lpstr>
      <vt:lpstr>FA_D_OwnershipBeneficiary</vt:lpstr>
      <vt:lpstr>FA_D_ScheduleOffered</vt:lpstr>
      <vt:lpstr>FA_D_TotalInv</vt:lpstr>
      <vt:lpstr>FA_D_ZipCode</vt:lpstr>
      <vt:lpstr>FA_E_AccountName</vt:lpstr>
      <vt:lpstr>FA_E_Amount</vt:lpstr>
      <vt:lpstr>FA_E_Country</vt:lpstr>
      <vt:lpstr>FA_E_IncomeAccured</vt:lpstr>
      <vt:lpstr>FA_E_IncomeAccuredAmount</vt:lpstr>
      <vt:lpstr>FA_E_InstAdd</vt:lpstr>
      <vt:lpstr>FA_E_InstitutionAccountNumber</vt:lpstr>
      <vt:lpstr>FA_E_InstName</vt:lpstr>
      <vt:lpstr>FA_E_InvPBalTot</vt:lpstr>
      <vt:lpstr>FA_E_ItemNumberSchedule</vt:lpstr>
      <vt:lpstr>FA_E_PeakBalInv</vt:lpstr>
      <vt:lpstr>FA_E_Scheduleoffered</vt:lpstr>
      <vt:lpstr>FA_E_ZipCode</vt:lpstr>
      <vt:lpstr>FA_F_AddressOfBeneficiaries</vt:lpstr>
      <vt:lpstr>FA_F_AddressOfOtherTrustees</vt:lpstr>
      <vt:lpstr>FA_F_AddressOfSettlor</vt:lpstr>
      <vt:lpstr>FA_F_AddressOfTrust</vt:lpstr>
      <vt:lpstr>FA_F_Amount</vt:lpstr>
      <vt:lpstr>FA_F_Country</vt:lpstr>
      <vt:lpstr>FA_F_DateSinceHeld</vt:lpstr>
      <vt:lpstr>FA_F_IncomeDerivedAmount</vt:lpstr>
      <vt:lpstr>FA_F_IncomeDerivedIsTaxable</vt:lpstr>
      <vt:lpstr>FA_F_ItemNumberSchedule</vt:lpstr>
      <vt:lpstr>FA_F_NameOfBeneficiaries</vt:lpstr>
      <vt:lpstr>FA_F_NameOfOtherTrustees</vt:lpstr>
      <vt:lpstr>FA_F_NameOfSettlor</vt:lpstr>
      <vt:lpstr>FA_F_NameOfTrust</vt:lpstr>
      <vt:lpstr>FA_F_Scheduleoffered</vt:lpstr>
      <vt:lpstr>FA_F_ZipCode</vt:lpstr>
      <vt:lpstr>FA_G_AddressOfPerson</vt:lpstr>
      <vt:lpstr>FA_G_Amount</vt:lpstr>
      <vt:lpstr>FA_G_Country</vt:lpstr>
      <vt:lpstr>FA_G_IncomeDerived</vt:lpstr>
      <vt:lpstr>FA_G_ItemNumberSchedule</vt:lpstr>
      <vt:lpstr>FA_G_NameOfPerson</vt:lpstr>
      <vt:lpstr>FA_G_NatureOfIncome</vt:lpstr>
      <vt:lpstr>FA_G_Scheduleoffered</vt:lpstr>
      <vt:lpstr>FA_G_WhetherTaxable</vt:lpstr>
      <vt:lpstr>FA_G_ZipCode</vt:lpstr>
      <vt:lpstr>FairMarketValue_112A</vt:lpstr>
      <vt:lpstr>FairMarketValue_115AD</vt:lpstr>
      <vt:lpstr>filingType</vt:lpstr>
      <vt:lpstr>FINALPBT</vt:lpstr>
      <vt:lpstr>FinYr</vt:lpstr>
      <vt:lpstr>Flag44AB</vt:lpstr>
      <vt:lpstr>Flag92E</vt:lpstr>
      <vt:lpstr>Flag92EO</vt:lpstr>
      <vt:lpstr>FlagAuditTable</vt:lpstr>
      <vt:lpstr>FlagSchIFYes</vt:lpstr>
      <vt:lpstr>FormulaOfExSAT</vt:lpstr>
      <vt:lpstr>FormulaOfExSAT1</vt:lpstr>
      <vt:lpstr>FormulaOfQ</vt:lpstr>
      <vt:lpstr>FormulaofQ0</vt:lpstr>
      <vt:lpstr>FormulaOfSAT</vt:lpstr>
      <vt:lpstr>FormulaOfSAT1</vt:lpstr>
      <vt:lpstr>FSI_Count</vt:lpstr>
      <vt:lpstr>FSI_CountryCode</vt:lpstr>
      <vt:lpstr>FSI_CountryCode1</vt:lpstr>
      <vt:lpstr>FSI_CountryCode2</vt:lpstr>
      <vt:lpstr>FSI_CountryCode3</vt:lpstr>
      <vt:lpstr>FSI_CountryCode4</vt:lpstr>
      <vt:lpstr>FSI_DTAABP</vt:lpstr>
      <vt:lpstr>FSI_DTAABP1</vt:lpstr>
      <vt:lpstr>FSI_DTAABP2</vt:lpstr>
      <vt:lpstr>FSI_DTAABP3</vt:lpstr>
      <vt:lpstr>FSI_DTAABP4</vt:lpstr>
      <vt:lpstr>FSI_DTAACapGain</vt:lpstr>
      <vt:lpstr>FSI_DTAACapGain1</vt:lpstr>
      <vt:lpstr>FSI_DTAACapGain2</vt:lpstr>
      <vt:lpstr>FSI_DTAACapGain3</vt:lpstr>
      <vt:lpstr>FSI_DTAACapGain4</vt:lpstr>
      <vt:lpstr>FSI_DTAAHP</vt:lpstr>
      <vt:lpstr>FSI_DTAAHP1</vt:lpstr>
      <vt:lpstr>FSI_DTAAHP2</vt:lpstr>
      <vt:lpstr>FSI_DTAAHP3</vt:lpstr>
      <vt:lpstr>FSI_DTAAHP4</vt:lpstr>
      <vt:lpstr>FSI_DTAAOthSrc</vt:lpstr>
      <vt:lpstr>FSI_DTAAOthSrc1</vt:lpstr>
      <vt:lpstr>FSI_DTAAOthSrc2</vt:lpstr>
      <vt:lpstr>FSI_DTAAOthSrc3</vt:lpstr>
      <vt:lpstr>FSI_DTAAOthSrc4</vt:lpstr>
      <vt:lpstr>FSI_DTAASAL</vt:lpstr>
      <vt:lpstr>FSI_DTAASAL1</vt:lpstr>
      <vt:lpstr>FSI_DTAASAL2</vt:lpstr>
      <vt:lpstr>FSI_DTAASAL3</vt:lpstr>
      <vt:lpstr>FSI_DTAASAL4</vt:lpstr>
      <vt:lpstr>FSI_IncCapGain</vt:lpstr>
      <vt:lpstr>FSI_IncCapGain1</vt:lpstr>
      <vt:lpstr>FSI_IncCapGain2</vt:lpstr>
      <vt:lpstr>FSI_IncCapGain3</vt:lpstr>
      <vt:lpstr>FSI_IncCapGain4</vt:lpstr>
      <vt:lpstr>FSI_IncFromBP</vt:lpstr>
      <vt:lpstr>FSI_IncFromBP1</vt:lpstr>
      <vt:lpstr>FSI_IncFromBP2</vt:lpstr>
      <vt:lpstr>FSI_IncFromBP3</vt:lpstr>
      <vt:lpstr>FSI_IncFromBP4</vt:lpstr>
      <vt:lpstr>FSI_IncFromHP</vt:lpstr>
      <vt:lpstr>FSI_IncFromHP1</vt:lpstr>
      <vt:lpstr>FSI_IncFromHP2</vt:lpstr>
      <vt:lpstr>FSI_IncFromHP3</vt:lpstr>
      <vt:lpstr>FSI_IncFromHP4</vt:lpstr>
      <vt:lpstr>FSI_IncFromSal</vt:lpstr>
      <vt:lpstr>FSI_IncFromSal1</vt:lpstr>
      <vt:lpstr>FSI_IncFromSal2</vt:lpstr>
      <vt:lpstr>FSI_IncFromSal3</vt:lpstr>
      <vt:lpstr>FSI_IncFromSal4</vt:lpstr>
      <vt:lpstr>FSI_IncOthSrc</vt:lpstr>
      <vt:lpstr>FSI_IncOthSrc1</vt:lpstr>
      <vt:lpstr>FSI_IncOthSrc2</vt:lpstr>
      <vt:lpstr>FSI_IncOthSrc3</vt:lpstr>
      <vt:lpstr>FSI_IncOthSrc4</vt:lpstr>
      <vt:lpstr>FSI_IncT</vt:lpstr>
      <vt:lpstr>FSI_IncT1</vt:lpstr>
      <vt:lpstr>FSI_IncT2</vt:lpstr>
      <vt:lpstr>FSI_IncT3</vt:lpstr>
      <vt:lpstr>FSI_IncT4</vt:lpstr>
      <vt:lpstr>FSI_LastCell</vt:lpstr>
      <vt:lpstr>FSI_newcountrycod</vt:lpstr>
      <vt:lpstr>FSI_TaxIdentificationNo</vt:lpstr>
      <vt:lpstr>FSI_TaxIdentificationNo1</vt:lpstr>
      <vt:lpstr>FSI_TaxIdentificationNo2</vt:lpstr>
      <vt:lpstr>FSI_TaxIdentificationNo3</vt:lpstr>
      <vt:lpstr>FSI_TaxIdentificationNo4</vt:lpstr>
      <vt:lpstr>FSI_TXNIBP</vt:lpstr>
      <vt:lpstr>FSI_TXNIBP1</vt:lpstr>
      <vt:lpstr>FSI_TXNIBP2</vt:lpstr>
      <vt:lpstr>FSI_TXNIBP3</vt:lpstr>
      <vt:lpstr>FSI_TXNIBP4</vt:lpstr>
      <vt:lpstr>FSI_TXnICapGain</vt:lpstr>
      <vt:lpstr>FSI_TXnICapGain1</vt:lpstr>
      <vt:lpstr>FSI_TXnICapGain2</vt:lpstr>
      <vt:lpstr>FSI_TXnICapGain3</vt:lpstr>
      <vt:lpstr>FSI_TXnICapGain4</vt:lpstr>
      <vt:lpstr>FSI_TXNIHP</vt:lpstr>
      <vt:lpstr>FSI_TXNIHP1</vt:lpstr>
      <vt:lpstr>FSI_TXNIHP2</vt:lpstr>
      <vt:lpstr>FSI_TXNIHP3</vt:lpstr>
      <vt:lpstr>FSI_TXNIHP4</vt:lpstr>
      <vt:lpstr>FSI_TXNIOthSrc</vt:lpstr>
      <vt:lpstr>FSI_TXNIOthSrc1</vt:lpstr>
      <vt:lpstr>FSI_TXNIOthSrc2</vt:lpstr>
      <vt:lpstr>FSI_TXNIOthSrc3</vt:lpstr>
      <vt:lpstr>FSI_TXNIOthSrc4</vt:lpstr>
      <vt:lpstr>FSI_TXNISAL</vt:lpstr>
      <vt:lpstr>FSI_TXNISAL1</vt:lpstr>
      <vt:lpstr>FSI_TXNISAL2</vt:lpstr>
      <vt:lpstr>FSI_TXNISAL3</vt:lpstr>
      <vt:lpstr>FSI_TXNISAL4</vt:lpstr>
      <vt:lpstr>FSI_TXNIT</vt:lpstr>
      <vt:lpstr>FSI_TXNIT1</vt:lpstr>
      <vt:lpstr>FSI_TXNIT2</vt:lpstr>
      <vt:lpstr>FSI_TXNIT3</vt:lpstr>
      <vt:lpstr>FSI_TXNIT4</vt:lpstr>
      <vt:lpstr>FSI_TXNOBP</vt:lpstr>
      <vt:lpstr>FSI_TXNOBP1</vt:lpstr>
      <vt:lpstr>FSI_TXNOBP2</vt:lpstr>
      <vt:lpstr>FSI_TXNOBP3</vt:lpstr>
      <vt:lpstr>FSI_TXNOBP4</vt:lpstr>
      <vt:lpstr>FSI_TXNOCapGain</vt:lpstr>
      <vt:lpstr>FSI_TXNOCapGain1</vt:lpstr>
      <vt:lpstr>FSI_TXNOCapGain2</vt:lpstr>
      <vt:lpstr>FSI_TXNOCapGain3</vt:lpstr>
      <vt:lpstr>FSI_TXNOCapGain4</vt:lpstr>
      <vt:lpstr>FSI_TXNOHP</vt:lpstr>
      <vt:lpstr>FSI_TXNOHP1</vt:lpstr>
      <vt:lpstr>FSI_TXNOHP2</vt:lpstr>
      <vt:lpstr>FSI_TXNOHP3</vt:lpstr>
      <vt:lpstr>FSI_TXNOHP4</vt:lpstr>
      <vt:lpstr>FSI_TXNOOthSrc</vt:lpstr>
      <vt:lpstr>FSI_TXNOOthSrc1</vt:lpstr>
      <vt:lpstr>FSI_TXNOOthSrc2</vt:lpstr>
      <vt:lpstr>FSI_TXNOOthSrc3</vt:lpstr>
      <vt:lpstr>FSI_TXNOOthSrc4</vt:lpstr>
      <vt:lpstr>FSI_TXNOSAL</vt:lpstr>
      <vt:lpstr>FSI_TXNOSAL1</vt:lpstr>
      <vt:lpstr>FSI_TXNOSAL2</vt:lpstr>
      <vt:lpstr>FSI_TXNOSAL3</vt:lpstr>
      <vt:lpstr>FSI_TXNOSAL4</vt:lpstr>
      <vt:lpstr>FSI_TXNOT</vt:lpstr>
      <vt:lpstr>FSI_TXNOT1</vt:lpstr>
      <vt:lpstr>FSI_TXNOT2</vt:lpstr>
      <vt:lpstr>FSI_TXNOT3</vt:lpstr>
      <vt:lpstr>FSI_TXNOT4</vt:lpstr>
      <vt:lpstr>FSI_TXRBP</vt:lpstr>
      <vt:lpstr>FSI_TXRBP1</vt:lpstr>
      <vt:lpstr>FSI_TXRBP2</vt:lpstr>
      <vt:lpstr>FSI_TXRBP3</vt:lpstr>
      <vt:lpstr>FSI_TXRBP4</vt:lpstr>
      <vt:lpstr>FSI_TXRCapGain</vt:lpstr>
      <vt:lpstr>FSI_TXRCapGain1</vt:lpstr>
      <vt:lpstr>FSI_TXRCapGain2</vt:lpstr>
      <vt:lpstr>FSI_TXRCapGain3</vt:lpstr>
      <vt:lpstr>FSI_TXRCapGain4</vt:lpstr>
      <vt:lpstr>FSI_TXRHP</vt:lpstr>
      <vt:lpstr>FSI_TXRHP1</vt:lpstr>
      <vt:lpstr>FSI_TXRHP2</vt:lpstr>
      <vt:lpstr>FSI_TXRHP3</vt:lpstr>
      <vt:lpstr>FSI_TXRHP4</vt:lpstr>
      <vt:lpstr>FSI_TXROthSrc</vt:lpstr>
      <vt:lpstr>FSI_TXROthSrc1</vt:lpstr>
      <vt:lpstr>FSI_TXROthSrc2</vt:lpstr>
      <vt:lpstr>FSI_TXROthSrc3</vt:lpstr>
      <vt:lpstr>FSI_TXROthSrc4</vt:lpstr>
      <vt:lpstr>FSI_TXRSAL</vt:lpstr>
      <vt:lpstr>FSI_TXRSAL1</vt:lpstr>
      <vt:lpstr>FSI_TXRSAL2</vt:lpstr>
      <vt:lpstr>FSI_TXRSAL3</vt:lpstr>
      <vt:lpstr>FSI_TXRSAL4</vt:lpstr>
      <vt:lpstr>FSI_TXRT</vt:lpstr>
      <vt:lpstr>FSI_TXRT1</vt:lpstr>
      <vt:lpstr>FSI_TXRT2</vt:lpstr>
      <vt:lpstr>FSI_TXRT3</vt:lpstr>
      <vt:lpstr>FSI_TXRT4</vt:lpstr>
      <vt:lpstr>FSIblock1</vt:lpstr>
      <vt:lpstr>FSIblock2</vt:lpstr>
      <vt:lpstr>FSIblock3</vt:lpstr>
      <vt:lpstr>FSIblock4</vt:lpstr>
      <vt:lpstr>FullName</vt:lpstr>
      <vt:lpstr>FullValueConsideration_112A</vt:lpstr>
      <vt:lpstr>FullValueConsideration_115AD</vt:lpstr>
      <vt:lpstr>greater12</vt:lpstr>
      <vt:lpstr>GrpA</vt:lpstr>
      <vt:lpstr>GrpB</vt:lpstr>
      <vt:lpstr>GrpC</vt:lpstr>
      <vt:lpstr>GST_GSTRAmount</vt:lpstr>
      <vt:lpstr>GST_GSTRno</vt:lpstr>
      <vt:lpstr>GTI_LIMIT</vt:lpstr>
      <vt:lpstr>GTI_LIMIT_PartC</vt:lpstr>
      <vt:lpstr>H</vt:lpstr>
      <vt:lpstr>Hash_Iteration</vt:lpstr>
      <vt:lpstr>Hash_Key</vt:lpstr>
      <vt:lpstr>HASZIP</vt:lpstr>
      <vt:lpstr>Health_Insurance_80D</vt:lpstr>
      <vt:lpstr>Health_Insurance2_80D</vt:lpstr>
      <vt:lpstr>Health_Insurance3_80D</vt:lpstr>
      <vt:lpstr>Health_InsuranceSC_80D</vt:lpstr>
      <vt:lpstr>hello</vt:lpstr>
      <vt:lpstr>HP.AadharofTenant1</vt:lpstr>
      <vt:lpstr>HP.AadharofTenant2</vt:lpstr>
      <vt:lpstr>HP.AddrDetail1</vt:lpstr>
      <vt:lpstr>HP.AddrDetail2</vt:lpstr>
      <vt:lpstr>HP.AnnualLetableValue1</vt:lpstr>
      <vt:lpstr>HP.AnnualLetableValue2</vt:lpstr>
      <vt:lpstr>HP.BalanceALV1</vt:lpstr>
      <vt:lpstr>HP.BalanceALV2</vt:lpstr>
      <vt:lpstr>hp.BFAllUs35Cl4Setoff1</vt:lpstr>
      <vt:lpstr>hp.BFlossPrevYrUndSameHeadSetoff1</vt:lpstr>
      <vt:lpstr>hp.BFUnabsorbedDeprSetoff1</vt:lpstr>
      <vt:lpstr>hp.BusLossSetoff2</vt:lpstr>
      <vt:lpstr>HP.CityOrTownOrDistrict1</vt:lpstr>
      <vt:lpstr>HP.CityOrTownOrDistrict2</vt:lpstr>
      <vt:lpstr>HP.Co.Aadhaar1</vt:lpstr>
      <vt:lpstr>HP.Co.Aadhaar2</vt:lpstr>
      <vt:lpstr>HP.Co.Name1</vt:lpstr>
      <vt:lpstr>HP.Co.Name2</vt:lpstr>
      <vt:lpstr>HP.Co.NameA1</vt:lpstr>
      <vt:lpstr>HP.Co.NameB1</vt:lpstr>
      <vt:lpstr>HP.Co.NameC1</vt:lpstr>
      <vt:lpstr>HP.Co.NameD1</vt:lpstr>
      <vt:lpstr>HP.Co.NameE1</vt:lpstr>
      <vt:lpstr>HP.Co.Pan1</vt:lpstr>
      <vt:lpstr>HP.Co.PAN2</vt:lpstr>
      <vt:lpstr>HP.Co.PanA1</vt:lpstr>
      <vt:lpstr>HP.Co.PanB1</vt:lpstr>
      <vt:lpstr>HP.Co.PanC1</vt:lpstr>
      <vt:lpstr>HP.Co.PanD1</vt:lpstr>
      <vt:lpstr>HP.Co.PanE1</vt:lpstr>
      <vt:lpstr>HP.Co.Share1</vt:lpstr>
      <vt:lpstr>HP.Co.Share2</vt:lpstr>
      <vt:lpstr>HP.Co.Srno1</vt:lpstr>
      <vt:lpstr>HP.Co.Srno2</vt:lpstr>
      <vt:lpstr>HP.CoOwnedYN1</vt:lpstr>
      <vt:lpstr>HP.CoOwnedYN2</vt:lpstr>
      <vt:lpstr>HP.CountryCode1</vt:lpstr>
      <vt:lpstr>HP.CountryCode2</vt:lpstr>
      <vt:lpstr>HP.ifLetOut1</vt:lpstr>
      <vt:lpstr>HP.ifLetOut2</vt:lpstr>
      <vt:lpstr>hp.IncOfCurYrAfterSetOff2</vt:lpstr>
      <vt:lpstr>hp.IncOfCurYrAfterSetOffBFLosses1</vt:lpstr>
      <vt:lpstr>hp.IncOfCurYrUnderThatHead2</vt:lpstr>
      <vt:lpstr>hp.IncOfCurYrUndHeadFromCYLA1</vt:lpstr>
      <vt:lpstr>HP.IncomeOfHP1</vt:lpstr>
      <vt:lpstr>HP.IncomeOfHP2</vt:lpstr>
      <vt:lpstr>HP.IncomeOfHPInOwnHand1</vt:lpstr>
      <vt:lpstr>HP.IncomeOfHPInOwnHand2</vt:lpstr>
      <vt:lpstr>HP.IntOnBorwCap1</vt:lpstr>
      <vt:lpstr>HP.IntOnBorwCap2</vt:lpstr>
      <vt:lpstr>HP.LastCell</vt:lpstr>
      <vt:lpstr>HP.LocalTaxes1</vt:lpstr>
      <vt:lpstr>HP.LocalTaxes2</vt:lpstr>
      <vt:lpstr>HP.LossCheckHP</vt:lpstr>
      <vt:lpstr>HP.NameofTenant1</vt:lpstr>
      <vt:lpstr>HP.NameofTenant2</vt:lpstr>
      <vt:lpstr>hp.OthSrcLossNoRaceHorseSetoff2</vt:lpstr>
      <vt:lpstr>HP.OwnerProperty1</vt:lpstr>
      <vt:lpstr>HP.OwnerProperty2</vt:lpstr>
      <vt:lpstr>HP.OwnerPropertyDescription1</vt:lpstr>
      <vt:lpstr>HP.OwnerPropertyDescription2</vt:lpstr>
      <vt:lpstr>HP.OwnerPropertyDropdown</vt:lpstr>
      <vt:lpstr>HP.PANofTenant1</vt:lpstr>
      <vt:lpstr>HP.PANofTenant2</vt:lpstr>
      <vt:lpstr>HP.PassTroughIncome</vt:lpstr>
      <vt:lpstr>HP.PinCode1</vt:lpstr>
      <vt:lpstr>HP.PinCode2</vt:lpstr>
      <vt:lpstr>HP.REMloss</vt:lpstr>
      <vt:lpstr>HP.RentNotRealized1</vt:lpstr>
      <vt:lpstr>HP.RentNotRealized2</vt:lpstr>
      <vt:lpstr>HP.RentOfEarlierYrSec_AandAA1</vt:lpstr>
      <vt:lpstr>HP.RentOfEarlierYrSec_AandAA2</vt:lpstr>
      <vt:lpstr>HP.REStwolakh</vt:lpstr>
      <vt:lpstr>HP.SharePercent1</vt:lpstr>
      <vt:lpstr>HP.SharePercent2</vt:lpstr>
      <vt:lpstr>HP.StateCode1</vt:lpstr>
      <vt:lpstr>HP.StateCode2</vt:lpstr>
      <vt:lpstr>HP.TANofTenant1</vt:lpstr>
      <vt:lpstr>HP.TANofTenant2</vt:lpstr>
      <vt:lpstr>HP.ThirtyPercentOfBalance1</vt:lpstr>
      <vt:lpstr>HP.ThirtyPercentOfBalance2</vt:lpstr>
      <vt:lpstr>HP.TotalDeduct1</vt:lpstr>
      <vt:lpstr>HP.TotalDeduct2</vt:lpstr>
      <vt:lpstr>HP.TotalIncomeChargeableUnHP</vt:lpstr>
      <vt:lpstr>HP.TotalUnrealizedAndTax1</vt:lpstr>
      <vt:lpstr>HP.TotalUnrealizedAndTax2</vt:lpstr>
      <vt:lpstr>HP.ZipCode1</vt:lpstr>
      <vt:lpstr>HP.ZipCode2</vt:lpstr>
      <vt:lpstr>hpincome.bf</vt:lpstr>
      <vt:lpstr>hpincome.bp</vt:lpstr>
      <vt:lpstr>hpincome.hp</vt:lpstr>
      <vt:lpstr>hpincome.os</vt:lpstr>
      <vt:lpstr>hploss.bf</vt:lpstr>
      <vt:lpstr>hploss.bfadj</vt:lpstr>
      <vt:lpstr>hploss.bp</vt:lpstr>
      <vt:lpstr>hploss.hp</vt:lpstr>
      <vt:lpstr>hploss.ih</vt:lpstr>
      <vt:lpstr>hploss.os</vt:lpstr>
      <vt:lpstr>hprptfrm1</vt:lpstr>
      <vt:lpstr>hprptfrm2</vt:lpstr>
      <vt:lpstr>I</vt:lpstr>
      <vt:lpstr>IA80.DeductProfUs80_IA_4_i</vt:lpstr>
      <vt:lpstr>IA80.DeductProfUs80_IA_4_ii</vt:lpstr>
      <vt:lpstr>IA80.DeductProfUs80_IA_4_iii</vt:lpstr>
      <vt:lpstr>IA80.DeductProfUs80_IA_4_iv</vt:lpstr>
      <vt:lpstr>IA80.TotSchedule80_IA</vt:lpstr>
      <vt:lpstr>IB80.DeductBackDisttUs80_IB_5</vt:lpstr>
      <vt:lpstr>IB80.DeductBackStatesUs80_IB_4</vt:lpstr>
      <vt:lpstr>IB80.DeductColdChainUs80_IB_11</vt:lpstr>
      <vt:lpstr>IB80.DeductConvCentUs80_IB_7B</vt:lpstr>
      <vt:lpstr>IB80.DeductFoodGrainUs80_IB_11A</vt:lpstr>
      <vt:lpstr>IB80.DeductFruitVegUs80_IB_11A</vt:lpstr>
      <vt:lpstr>IB80.DeductHospAnyAreaUs80IB_11C</vt:lpstr>
      <vt:lpstr>IB80.DeductHousUs80_IB_10</vt:lpstr>
      <vt:lpstr>IB80.DeductJKLocUs80_IB_4</vt:lpstr>
      <vt:lpstr>IB80.DeductMinOilUs80_IB_9</vt:lpstr>
      <vt:lpstr>IB80.DeductMultiplexUs80_IB_7A</vt:lpstr>
      <vt:lpstr>IB80.DeductRurHospUs80_IB_11B</vt:lpstr>
      <vt:lpstr>IB80.TotSchedule80_IB</vt:lpstr>
      <vt:lpstr>IC80.ArunachalPradesh</vt:lpstr>
      <vt:lpstr>IC80.Assam</vt:lpstr>
      <vt:lpstr>IC80.DeductInHimachalP</vt:lpstr>
      <vt:lpstr>IC80.DeductInSikkim</vt:lpstr>
      <vt:lpstr>IC80.DeductInUttaranchal</vt:lpstr>
      <vt:lpstr>IC80.Manipur</vt:lpstr>
      <vt:lpstr>IC80.Meghalaya</vt:lpstr>
      <vt:lpstr>IC80.Mizoram</vt:lpstr>
      <vt:lpstr>IC80.Nagaland</vt:lpstr>
      <vt:lpstr>IC80.TotDeductInNorthEast</vt:lpstr>
      <vt:lpstr>IC80.TotSchedule80_IC</vt:lpstr>
      <vt:lpstr>IC80.Tripura</vt:lpstr>
      <vt:lpstr>ICDS.AccPolicies</vt:lpstr>
      <vt:lpstr>ICDS.BorrowingCosts</vt:lpstr>
      <vt:lpstr>ICDS.ChngRates</vt:lpstr>
      <vt:lpstr>ICDS.ConsContracts</vt:lpstr>
      <vt:lpstr>ICDS.FilledFlag</vt:lpstr>
      <vt:lpstr>ICDS.Govgrants</vt:lpstr>
      <vt:lpstr>ICDS.ProvLiability</vt:lpstr>
      <vt:lpstr>ICDS.RevenueRecog</vt:lpstr>
      <vt:lpstr>ICDS.Securities</vt:lpstr>
      <vt:lpstr>ICDS.TangibleFixAssests</vt:lpstr>
      <vt:lpstr>ICDS.Total</vt:lpstr>
      <vt:lpstr>ICDS.Totalb</vt:lpstr>
      <vt:lpstr>ICDS.ValuationInv</vt:lpstr>
      <vt:lpstr>IEOS</vt:lpstr>
      <vt:lpstr>IF.FirmCapBalOn31Mar</vt:lpstr>
      <vt:lpstr>IF.FirmName</vt:lpstr>
      <vt:lpstr>IF.FirmPAN</vt:lpstr>
      <vt:lpstr>IF.Is92EApplicable</vt:lpstr>
      <vt:lpstr>IF.IsLiableToAudit</vt:lpstr>
      <vt:lpstr>IF.ProfitShareAmt</vt:lpstr>
      <vt:lpstr>IF.ProfitSharePercent</vt:lpstr>
      <vt:lpstr>IF.TotalFirmCapBalOn31Mar</vt:lpstr>
      <vt:lpstr>IF.TotalProfitShareAmt</vt:lpstr>
      <vt:lpstr>IFC</vt:lpstr>
      <vt:lpstr>IFSC_BankName</vt:lpstr>
      <vt:lpstr>IFSC_StartLetter</vt:lpstr>
      <vt:lpstr>IFSCCodeSet1</vt:lpstr>
      <vt:lpstr>IFSCCodeSet2</vt:lpstr>
      <vt:lpstr>IFSCCodeSet3</vt:lpstr>
      <vt:lpstr>IFSCCodeSet4</vt:lpstr>
      <vt:lpstr>IFSCCodeSet5</vt:lpstr>
      <vt:lpstr>IHLA.E_LTCGv_5_DTAArates</vt:lpstr>
      <vt:lpstr>IHLA.E_LTCGv_DTAArates</vt:lpstr>
      <vt:lpstr>IHLA.E_LTCGv15_DTAArates</vt:lpstr>
      <vt:lpstr>IHLA.E_LTCGv30_DTAArates</vt:lpstr>
      <vt:lpstr>IHLA.E_LTCGv5_DTAArates</vt:lpstr>
      <vt:lpstr>IHLA.E_LTCGv6_DTAArates</vt:lpstr>
      <vt:lpstr>IHLA.E_LTCGv7_DTAArates</vt:lpstr>
      <vt:lpstr>IHLA.E_LTCGvapplicable_DTAArates</vt:lpstr>
      <vt:lpstr>IHLA.Ei2_StclSetoff15Per</vt:lpstr>
      <vt:lpstr>IHLA.Ei3_StclSetoff30Per</vt:lpstr>
      <vt:lpstr>IHLA.Ei4_StclSetoffAppRate</vt:lpstr>
      <vt:lpstr>IHLA.Ei5_LtclSetOff10Per</vt:lpstr>
      <vt:lpstr>IHLA.Ei5_StclSetoffDTAARate</vt:lpstr>
      <vt:lpstr>IHLA.Ei6_LtclSetOff20Per</vt:lpstr>
      <vt:lpstr>IHLA.Ei8_LtclSetOffDTAARate</vt:lpstr>
      <vt:lpstr>IHLA.Eii1_CurrYearIncome</vt:lpstr>
      <vt:lpstr>IHLA.Eii3_StclSetoff30Per</vt:lpstr>
      <vt:lpstr>IHLA.Eii4_StclSetoffAppRate</vt:lpstr>
      <vt:lpstr>IHLA.Eii5_StclSetoffDTAARate</vt:lpstr>
      <vt:lpstr>IHLA.Eii7_CurrYrCapGain</vt:lpstr>
      <vt:lpstr>IHLA.Eiii1_CurrYearIncome</vt:lpstr>
      <vt:lpstr>IHLA.Eiii2_StclSetoff15Per</vt:lpstr>
      <vt:lpstr>IHLA.Eiii4_StclSetoffAppRate</vt:lpstr>
      <vt:lpstr>IHLA.Eiii5_StclSetoffDTAARate</vt:lpstr>
      <vt:lpstr>IHLA.Eiii7_CurrYrCapGain</vt:lpstr>
      <vt:lpstr>IHLA.Eiv1_CurrYearIncome</vt:lpstr>
      <vt:lpstr>IHLA.Eiv2_StclSetoff15Per</vt:lpstr>
      <vt:lpstr>IHLA.Eiv3_StclSetoff30Per</vt:lpstr>
      <vt:lpstr>IHLA.Eiv3_StclSetoff30PerIHLA.Eiv3_StclSetoff30Per</vt:lpstr>
      <vt:lpstr>IHLA.Eiv5_StclSetoffDTAARate</vt:lpstr>
      <vt:lpstr>IHLA.Eiv7_CurrYrCapGain</vt:lpstr>
      <vt:lpstr>IHLA.Ev_DTAArates</vt:lpstr>
      <vt:lpstr>IHLA.Ev1_CurrYearIncome</vt:lpstr>
      <vt:lpstr>IHLA.Ev2_DTAArates</vt:lpstr>
      <vt:lpstr>IHLA.Ev2_StclSetoff15Per</vt:lpstr>
      <vt:lpstr>IHLA.Ev3_DTAArates</vt:lpstr>
      <vt:lpstr>IHLA.Ev3_StclSetoff30Per</vt:lpstr>
      <vt:lpstr>IHLA.Ev4_DTAArates</vt:lpstr>
      <vt:lpstr>IHLA.Ev4_StclSetoffAppRate</vt:lpstr>
      <vt:lpstr>IHLA.Ev5_StclSetoffDTAARate</vt:lpstr>
      <vt:lpstr>IHLA.Ev6_LtclSetOff20Per</vt:lpstr>
      <vt:lpstr>IHLA.Ev7_CurrYrCapGain</vt:lpstr>
      <vt:lpstr>IHLA.Ev7_DTAArates</vt:lpstr>
      <vt:lpstr>IHLA.Ev8_LtclSetOffDTAARate</vt:lpstr>
      <vt:lpstr>IHLA.Evi1_CurrYearIncome</vt:lpstr>
      <vt:lpstr>IHLA.Evi2_StclSetoff15Per</vt:lpstr>
      <vt:lpstr>IHLA.Evi3_StclSetoff30Per</vt:lpstr>
      <vt:lpstr>IHLA.Evi4_StclSetoffAppRate</vt:lpstr>
      <vt:lpstr>IHLA.Evi5_LtclSetOff10Per</vt:lpstr>
      <vt:lpstr>IHLA.Evi5_StclSetoffDTAARate</vt:lpstr>
      <vt:lpstr>IHLA.Evi7_CurrYrCapGain</vt:lpstr>
      <vt:lpstr>IHLA.Evi8_LtclSetOffDTAARate</vt:lpstr>
      <vt:lpstr>IHLA.Evii2_StclSetoff15Per</vt:lpstr>
      <vt:lpstr>IHLA.Evii3_StclSetoff30Per</vt:lpstr>
      <vt:lpstr>IHLA.Evii4_StclSetoffAppRate</vt:lpstr>
      <vt:lpstr>IHLA.Evii5_LtclSetOff10Per</vt:lpstr>
      <vt:lpstr>IHLA.Evii5_StclSetoffDTAARate</vt:lpstr>
      <vt:lpstr>IHLA.Evii6_LtclSetOff20Per</vt:lpstr>
      <vt:lpstr>IHLA.Evii8_LtclSetOffDTAARate</vt:lpstr>
      <vt:lpstr>IHLA.Eviii2_StclSetoff15Per</vt:lpstr>
      <vt:lpstr>IHLA.Eviii3_StclSetoff30Per</vt:lpstr>
      <vt:lpstr>IHLA.Eviii4_StclSetoffAppRate</vt:lpstr>
      <vt:lpstr>IHLA.Eviii5_LtclSetOff10Per</vt:lpstr>
      <vt:lpstr>IHLA.Eviii5_StclSetoffDTAARate</vt:lpstr>
      <vt:lpstr>IHLA.Eviii6_LtclSetOff20Per</vt:lpstr>
      <vt:lpstr>IHLA.Eviii8_LtclSetOffDTAARate</vt:lpstr>
      <vt:lpstr>Inc_Frm_ltcg_10_112_1ciii</vt:lpstr>
      <vt:lpstr>Inc_Frm_ltcg_10_112A</vt:lpstr>
      <vt:lpstr>Inc_Frm_ltcg_10_112proviso</vt:lpstr>
      <vt:lpstr>Inc_frm_ltcg_10_115AC</vt:lpstr>
      <vt:lpstr>Inc_Frm_ltcg_10_115ACA</vt:lpstr>
      <vt:lpstr>Inc_Frm_ltcg_10_115ADiii</vt:lpstr>
      <vt:lpstr>Inc_Frm_ltcg_10_115ADiii_Proviso</vt:lpstr>
      <vt:lpstr>Inc_Frm_ltcg_10_115Eb</vt:lpstr>
      <vt:lpstr>Inc_Frm_ltcg_10_PTI10</vt:lpstr>
      <vt:lpstr>Inc_Frm_ltcg_10_PTI10_112</vt:lpstr>
      <vt:lpstr>Inc_frm_ltcg_20_112</vt:lpstr>
      <vt:lpstr>Inc_Frm_ltcg_20_115Ea</vt:lpstr>
      <vt:lpstr>Inc_Frm_ltcg_20_PTI20</vt:lpstr>
      <vt:lpstr>Inc_Frm_stcg_111A</vt:lpstr>
      <vt:lpstr>Inc_Frm_stcg_115AD_1bii</vt:lpstr>
      <vt:lpstr>Inc_Frm_stcg_30_115AD</vt:lpstr>
      <vt:lpstr>Inc_Frm_stcg_30_PTI30</vt:lpstr>
      <vt:lpstr>Inc_Frm_stcg_Applicable</vt:lpstr>
      <vt:lpstr>Inc_Frm_stcg_ApplicablePTI</vt:lpstr>
      <vt:lpstr>Inc_Frm_stcg_PTI15</vt:lpstr>
      <vt:lpstr>incChargeTaxSplRate111A112_2g</vt:lpstr>
      <vt:lpstr>IncD.InvestmentDropDown</vt:lpstr>
      <vt:lpstr>IncD.Section80DB</vt:lpstr>
      <vt:lpstr>IncD.Section80DB_Calc</vt:lpstr>
      <vt:lpstr>IncD.Section80DC</vt:lpstr>
      <vt:lpstr>IncD.Section80DC_Calc</vt:lpstr>
      <vt:lpstr>IncD_115A1aiiacQ1</vt:lpstr>
      <vt:lpstr>IncD_115A1aiiacQ2</vt:lpstr>
      <vt:lpstr>IncD_115A1aiiacQ3</vt:lpstr>
      <vt:lpstr>IncD_115A1aiiacQ4</vt:lpstr>
      <vt:lpstr>IncD_115A1aiiacQ5</vt:lpstr>
      <vt:lpstr>IncD_115A1aiQ1</vt:lpstr>
      <vt:lpstr>IncD_115A1aiQ2</vt:lpstr>
      <vt:lpstr>IncD_115A1aiQ3</vt:lpstr>
      <vt:lpstr>IncD_115A1aiQ4</vt:lpstr>
      <vt:lpstr>IncD_115A1aiQ5</vt:lpstr>
      <vt:lpstr>IncD_115A1aiQTot</vt:lpstr>
      <vt:lpstr>IncD_115ACA1aQ1</vt:lpstr>
      <vt:lpstr>IncD_115ACA1aQ2</vt:lpstr>
      <vt:lpstr>IncD_115ACA1aQ3</vt:lpstr>
      <vt:lpstr>IncD_115ACA1aQ4</vt:lpstr>
      <vt:lpstr>IncD_115ACA1aQ5</vt:lpstr>
      <vt:lpstr>IncD_115ACA1aQTot</vt:lpstr>
      <vt:lpstr>IncD_115ACQ1</vt:lpstr>
      <vt:lpstr>IncD_115ACQ2</vt:lpstr>
      <vt:lpstr>IncD_115ACQ3</vt:lpstr>
      <vt:lpstr>IncD_115ACQ4</vt:lpstr>
      <vt:lpstr>IncD_115ACQ5</vt:lpstr>
      <vt:lpstr>IncD_115ACQTot</vt:lpstr>
      <vt:lpstr>IncD_115AD1iQ1</vt:lpstr>
      <vt:lpstr>IncD_115AD1iQ2</vt:lpstr>
      <vt:lpstr>IncD_115AD1iQ3</vt:lpstr>
      <vt:lpstr>IncD_115AD1iQ4</vt:lpstr>
      <vt:lpstr>IncD_115AD1iQ5</vt:lpstr>
      <vt:lpstr>IncD_115AD1iQTot</vt:lpstr>
      <vt:lpstr>IncD_q1OS1</vt:lpstr>
      <vt:lpstr>IncD_q2OS1</vt:lpstr>
      <vt:lpstr>IncD_q3OS1</vt:lpstr>
      <vt:lpstr>IncD_q4OS1</vt:lpstr>
      <vt:lpstr>IncD_q5OS1</vt:lpstr>
      <vt:lpstr>IncD_qTotOS1</vt:lpstr>
      <vt:lpstr>IncomeAftrExemp</vt:lpstr>
      <vt:lpstr>IncomefrmLottery.Up16Of12To15Of3</vt:lpstr>
      <vt:lpstr>IncomefrmLottery.Up16Of3To31Of3</vt:lpstr>
      <vt:lpstr>IncomefrmLottery.Up16Of9To15Of12</vt:lpstr>
      <vt:lpstr>IncomefrmLottery.Upto15Of6</vt:lpstr>
      <vt:lpstr>IncomefrmLottery.Upto15Of9</vt:lpstr>
      <vt:lpstr>IncomeNotified89A_Amount1</vt:lpstr>
      <vt:lpstr>IncomeNotified89A_Amount2</vt:lpstr>
      <vt:lpstr>IncomeNotified89A_AmountCan1</vt:lpstr>
      <vt:lpstr>IncomeNotified89A_AmountCan2</vt:lpstr>
      <vt:lpstr>IncomeNotified89A_AmountUK1</vt:lpstr>
      <vt:lpstr>IncomeNotified89A_AmountUK2</vt:lpstr>
      <vt:lpstr>IncomeNotified89A_AmountUS1</vt:lpstr>
      <vt:lpstr>IncomeNotified89A_AmountUS2</vt:lpstr>
      <vt:lpstr>IncomeNotified89A_Country1</vt:lpstr>
      <vt:lpstr>IncomeNotified89A1</vt:lpstr>
      <vt:lpstr>IncomeNotified89A2</vt:lpstr>
      <vt:lpstr>IncomeNotifiedOther89A1</vt:lpstr>
      <vt:lpstr>IncomeNotifiedOther89A2</vt:lpstr>
      <vt:lpstr>Increliefus89A</vt:lpstr>
      <vt:lpstr>Individual_Hidden</vt:lpstr>
      <vt:lpstr>INE305C01029</vt:lpstr>
      <vt:lpstr>interest234B</vt:lpstr>
      <vt:lpstr>interest234C</vt:lpstr>
      <vt:lpstr>InterestDTAA</vt:lpstr>
      <vt:lpstr>IntrstSec10XIFP</vt:lpstr>
      <vt:lpstr>IntrstSec10XIIFP</vt:lpstr>
      <vt:lpstr>IntrstSec10XIISP</vt:lpstr>
      <vt:lpstr>IntrstSec10XISP</vt:lpstr>
      <vt:lpstr>intsrt234Aprinc</vt:lpstr>
      <vt:lpstr>intsrt234AprincTemp</vt:lpstr>
      <vt:lpstr>Irrigated</vt:lpstr>
      <vt:lpstr>IS44AD</vt:lpstr>
      <vt:lpstr>IsDirectorCompany</vt:lpstr>
      <vt:lpstr>IsImmovableAsset</vt:lpstr>
      <vt:lpstr>ISIN112A</vt:lpstr>
      <vt:lpstr>ISINCode_112A</vt:lpstr>
      <vt:lpstr>ISINCode_115AD</vt:lpstr>
      <vt:lpstr>IsInterestHeld</vt:lpstr>
      <vt:lpstr>isLiableForAudit</vt:lpstr>
      <vt:lpstr>IsPartnerFirm</vt:lpstr>
      <vt:lpstr>IsShareOwner</vt:lpstr>
      <vt:lpstr>IT.Amt</vt:lpstr>
      <vt:lpstr>IT.AT</vt:lpstr>
      <vt:lpstr>IT.BSRCode</vt:lpstr>
      <vt:lpstr>IT.DateDep</vt:lpstr>
      <vt:lpstr>IT.FormulaOFS</vt:lpstr>
      <vt:lpstr>IT.Q1Rate</vt:lpstr>
      <vt:lpstr>IT.Qtr0</vt:lpstr>
      <vt:lpstr>IT.Qtr1</vt:lpstr>
      <vt:lpstr>IT.SAT</vt:lpstr>
      <vt:lpstr>IT.Sat1</vt:lpstr>
      <vt:lpstr>IT.SrlNoOfChaln</vt:lpstr>
      <vt:lpstr>IT.Sum</vt:lpstr>
      <vt:lpstr>IT_Sat_1</vt:lpstr>
      <vt:lpstr>IT_Sat_10</vt:lpstr>
      <vt:lpstr>IT_Sat_11</vt:lpstr>
      <vt:lpstr>IT_Sat_12</vt:lpstr>
      <vt:lpstr>IT_Sat_13</vt:lpstr>
      <vt:lpstr>IT_Sat_14</vt:lpstr>
      <vt:lpstr>IT_Sat_15</vt:lpstr>
      <vt:lpstr>IT_Sat_16</vt:lpstr>
      <vt:lpstr>IT_Sat_17</vt:lpstr>
      <vt:lpstr>IT_Sat_18</vt:lpstr>
      <vt:lpstr>IT_Sat_19</vt:lpstr>
      <vt:lpstr>IT_Sat_2</vt:lpstr>
      <vt:lpstr>IT_Sat_20</vt:lpstr>
      <vt:lpstr>IT_Sat_21</vt:lpstr>
      <vt:lpstr>IT_Sat_22</vt:lpstr>
      <vt:lpstr>IT_Sat_23</vt:lpstr>
      <vt:lpstr>IT_Sat_24</vt:lpstr>
      <vt:lpstr>IT_Sat_3</vt:lpstr>
      <vt:lpstr>IT_Sat_4</vt:lpstr>
      <vt:lpstr>IT_Sat_5</vt:lpstr>
      <vt:lpstr>IT_Sat_6</vt:lpstr>
      <vt:lpstr>IT_Sat_7</vt:lpstr>
      <vt:lpstr>IT_Sat_8</vt:lpstr>
      <vt:lpstr>IT_Sat_9</vt:lpstr>
      <vt:lpstr>ITER</vt:lpstr>
      <vt:lpstr>last_digit_AMT</vt:lpstr>
      <vt:lpstr>lesser12</vt:lpstr>
      <vt:lpstr>LiableFor92E</vt:lpstr>
      <vt:lpstr>LossCheckHP</vt:lpstr>
      <vt:lpstr>LTCG.5.DeductionUnder54F</vt:lpstr>
      <vt:lpstr>LTCG.5.LTCG_AfterThreshold</vt:lpstr>
      <vt:lpstr>LTCG.5.LTCG_AssetsB8Above</vt:lpstr>
      <vt:lpstr>LTCG.5.LTCG_OnSaleCapitalAssets</vt:lpstr>
      <vt:lpstr>LTCG.8.DeductionUnder54F</vt:lpstr>
      <vt:lpstr>LTCG.8.LTCG_AfterThreshold</vt:lpstr>
      <vt:lpstr>LTCG.A9_StatusUnutilizedCG</vt:lpstr>
      <vt:lpstr>LTCG.B.NRI</vt:lpstr>
      <vt:lpstr>LTCG.B_AcqDate1</vt:lpstr>
      <vt:lpstr>LTCG.B_SaleTrfDate1</vt:lpstr>
      <vt:lpstr>LTCG.B02.54EE_ExemptionAmount</vt:lpstr>
      <vt:lpstr>LTCG.B02a_FullConsideration</vt:lpstr>
      <vt:lpstr>LTCG.B02a_FullConsiderationUAEi</vt:lpstr>
      <vt:lpstr>LTCG.B02a_FullConsiderationUAEii</vt:lpstr>
      <vt:lpstr>LTCG.B02b_NetWorthOfDivision</vt:lpstr>
      <vt:lpstr>LTCG.B02c_SlumpBalance</vt:lpstr>
      <vt:lpstr>LTCG.B02d_ExemptionGrandTotal</vt:lpstr>
      <vt:lpstr>LTCG.B02di_ExemptionAmount</vt:lpstr>
      <vt:lpstr>LTCG.B02dii_ExemptionAmount</vt:lpstr>
      <vt:lpstr>LTCG.B02e_CapgainonAssets</vt:lpstr>
      <vt:lpstr>LTCG.B03d_ExemptionGrandTotal</vt:lpstr>
      <vt:lpstr>LTCG.B04d_ExemptionGrandTotal</vt:lpstr>
      <vt:lpstr>LTCG.B04di_ExemptionGrandTotal</vt:lpstr>
      <vt:lpstr>LTCG.B06d_ExemptionGrandTotal</vt:lpstr>
      <vt:lpstr>LTCG.B07dii_ExemptionGrandTotal</vt:lpstr>
      <vt:lpstr>LTCG.B07div_ExemptionGrandTotal</vt:lpstr>
      <vt:lpstr>LTCG.B07dv_ExemptionGrandTotal</vt:lpstr>
      <vt:lpstr>LTCG.B08h_ExemptionGrandTotal</vt:lpstr>
      <vt:lpstr>LTCG.B10_ApplRate</vt:lpstr>
      <vt:lpstr>LTCG.B10_CertiStatus</vt:lpstr>
      <vt:lpstr>LTCG.B10_Country</vt:lpstr>
      <vt:lpstr>LTCG.B10_DTAA_Article</vt:lpstr>
      <vt:lpstr>LTCG.B10_ItemNo</vt:lpstr>
      <vt:lpstr>LTCG.B10_LtcgAmt</vt:lpstr>
      <vt:lpstr>LTCG.B10_ltcgDTAA</vt:lpstr>
      <vt:lpstr>LTCG.B10_RatePITAct</vt:lpstr>
      <vt:lpstr>LTCG.B10_RatepTreaty</vt:lpstr>
      <vt:lpstr>LTCG.B10_SecIT</vt:lpstr>
      <vt:lpstr>LTCG.B10b_ltcgDTAA</vt:lpstr>
      <vt:lpstr>LTCG.B12_PassThroughIncome</vt:lpstr>
      <vt:lpstr>LTCG.B12_PassThroughIncome10</vt:lpstr>
      <vt:lpstr>LTCG.B12_PassThroughIncome10_112A</vt:lpstr>
      <vt:lpstr>LTCG.B12_PassThroughIncome20</vt:lpstr>
      <vt:lpstr>LTCG.B1dviii_ExemptionAmount</vt:lpstr>
      <vt:lpstr>LTCG.B1e_CapgainonAssets</vt:lpstr>
      <vt:lpstr>LTCG.B2.54EE_ExemptionAmount</vt:lpstr>
      <vt:lpstr>LTCG.B2a_FullConsideration</vt:lpstr>
      <vt:lpstr>LTCG.B2bi_AquisitCost</vt:lpstr>
      <vt:lpstr>LTCG.B2bii_ImproveCost</vt:lpstr>
      <vt:lpstr>LTCG.B2biii_ExpOnTrans</vt:lpstr>
      <vt:lpstr>LTCG.B2biv_TotalDedn</vt:lpstr>
      <vt:lpstr>LTCG.B2c_BalanceCG</vt:lpstr>
      <vt:lpstr>LTCG.B2di_ExemptionAmount</vt:lpstr>
      <vt:lpstr>LTCG.B2dii_ExemptionAmount</vt:lpstr>
      <vt:lpstr>LTCG.B2e_CapgainonAssets</vt:lpstr>
      <vt:lpstr>LTCG.B3.54EE_ExemptionAmount</vt:lpstr>
      <vt:lpstr>LTCG.B3a_FullConsideration</vt:lpstr>
      <vt:lpstr>LTCG.B3bi_AquisitCost</vt:lpstr>
      <vt:lpstr>LTCG.B3bii_ImproveCost</vt:lpstr>
      <vt:lpstr>LTCG.B3biii_ExpOnTrans</vt:lpstr>
      <vt:lpstr>LTCG.B3biv_TotalDedn</vt:lpstr>
      <vt:lpstr>LTCG.B3c_BalanceCG</vt:lpstr>
      <vt:lpstr>LTCG.B3di_ExemptionAmount</vt:lpstr>
      <vt:lpstr>LTCG.B3dii_ExemptionAmount</vt:lpstr>
      <vt:lpstr>LTCG.B3e_CapgainonAssets</vt:lpstr>
      <vt:lpstr>LTCG.B4a_LTCGWithoutBenefit</vt:lpstr>
      <vt:lpstr>LTCG.B4bii_ExemptionAmount</vt:lpstr>
      <vt:lpstr>LTCG.B4e_LTCGOnUnlistedSecurity</vt:lpstr>
      <vt:lpstr>LTCG.B6a_SaleonSpecAsset</vt:lpstr>
      <vt:lpstr>LTCG.B6aia_FullConsideration</vt:lpstr>
      <vt:lpstr>LTCG.B6aib_FullMarketValue</vt:lpstr>
      <vt:lpstr>LTCG.B6aic_FullConsideration50CA</vt:lpstr>
      <vt:lpstr>LTCG.B6aii_FullConsiderationS</vt:lpstr>
      <vt:lpstr>LTCG.B6b_DednSpecAssetus115</vt:lpstr>
      <vt:lpstr>LTCG.B6c_BalonSpeciAsset</vt:lpstr>
      <vt:lpstr>LTCG.B6d_SaleOtherSpecAsset</vt:lpstr>
      <vt:lpstr>LTCG.B6e_DednOtherSpecAssetus115</vt:lpstr>
      <vt:lpstr>LTCG.B6f_BalOtherthanSpecAsset</vt:lpstr>
      <vt:lpstr>LTCG.B6ibia_FullConsideration</vt:lpstr>
      <vt:lpstr>LTCG.B6ibib_FullMarketValue</vt:lpstr>
      <vt:lpstr>LTCG.B6ibic_FullConsideration</vt:lpstr>
      <vt:lpstr>LTCG.B6ibii_FullConsideration50CA</vt:lpstr>
      <vt:lpstr>LTCG.B6iiiaia_FullConsideration</vt:lpstr>
      <vt:lpstr>LTCG.B6iiiaib_FullMarketValue</vt:lpstr>
      <vt:lpstr>LTCG.B6iiiaic_FullConsideration50CA</vt:lpstr>
      <vt:lpstr>LTCG.B6iiiaii_FullConsiderationS</vt:lpstr>
      <vt:lpstr>LTCG.B7.54EE_ExemptionAmount</vt:lpstr>
      <vt:lpstr>LTCG.B7a_FullConsideration</vt:lpstr>
      <vt:lpstr>LTCG.B7bi_AquisitCost</vt:lpstr>
      <vt:lpstr>LTCG.B7bii_ImproveCost</vt:lpstr>
      <vt:lpstr>LTCG.B7biii_ExpOnTrans</vt:lpstr>
      <vt:lpstr>LTCG.B7biv_TotalDedn</vt:lpstr>
      <vt:lpstr>LTCG.B7c_BalanceCG</vt:lpstr>
      <vt:lpstr>LTCG.B7d_ExemptionGrandTotal</vt:lpstr>
      <vt:lpstr>LTCG.B7di_ExemptionAmount</vt:lpstr>
      <vt:lpstr>LTCG.B7di_ExemptionAmount0</vt:lpstr>
      <vt:lpstr>LTCG.B7dii_ExemptionAmount</vt:lpstr>
      <vt:lpstr>LTCG.B7diii_ExemptionAmount</vt:lpstr>
      <vt:lpstr>LTCG.B7div_ExemptionAmount</vt:lpstr>
      <vt:lpstr>LTCG.B7e_CapgainonAssets</vt:lpstr>
      <vt:lpstr>LTCG.B8_ExemptionGrandTotal</vt:lpstr>
      <vt:lpstr>LTCG.B8aia_FullConsideration</vt:lpstr>
      <vt:lpstr>LTCG.B8aib_FullMarketValue</vt:lpstr>
      <vt:lpstr>LTCG.B8aic_FullConsideration50CA</vt:lpstr>
      <vt:lpstr>LTCG.B8aii_FullConsiderationO</vt:lpstr>
      <vt:lpstr>LTCG.B8i_ExemptionAmount</vt:lpstr>
      <vt:lpstr>LTCG.B8ii_ExemptionAmount</vt:lpstr>
      <vt:lpstr>LTCG.B8ii_ExemptionAmounta</vt:lpstr>
      <vt:lpstr>LTCG.B8iii_ExemptionAmount</vt:lpstr>
      <vt:lpstr>LTCG.B8iv_ExemptionAmount</vt:lpstr>
      <vt:lpstr>LTCG.B8iv_ExemptionAmounta</vt:lpstr>
      <vt:lpstr>LTCG.B8iv_ExemptionAmountb</vt:lpstr>
      <vt:lpstr>LTCG.B8v_ExemptionAmount</vt:lpstr>
      <vt:lpstr>LTCG.B8vi_ExemptionAmount</vt:lpstr>
      <vt:lpstr>LTCG.B9_AmountDeemedOth</vt:lpstr>
      <vt:lpstr>LTCG.B9_AmtDeemed</vt:lpstr>
      <vt:lpstr>LTCG.B9_AmtNotUsed_1</vt:lpstr>
      <vt:lpstr>LTCG.B9_AmtUtilised_1</vt:lpstr>
      <vt:lpstr>LTCG.B9_AsstAcquiredYer_1</vt:lpstr>
      <vt:lpstr>LTCG.B9_DeductionSection_1</vt:lpstr>
      <vt:lpstr>LTCG.B9_PreviousYer_1</vt:lpstr>
      <vt:lpstr>LTCG.B9_Sl_1</vt:lpstr>
      <vt:lpstr>LTCG.B9_StcgAmt</vt:lpstr>
      <vt:lpstr>LTCG.B9_TotalLTCG</vt:lpstr>
      <vt:lpstr>LTCG.Bai_FullConsideration1</vt:lpstr>
      <vt:lpstr>LTCG.Baii_PropertyValuation1</vt:lpstr>
      <vt:lpstr>LTCG.Baiii_FullConsiderationFiftyC_Temp</vt:lpstr>
      <vt:lpstr>LTCG.Baiii_FullConsiderationFiftyC1</vt:lpstr>
      <vt:lpstr>LTCG.Bbi_AquisitCost1</vt:lpstr>
      <vt:lpstr>LTCG.Bbi_AquisitCostNew1</vt:lpstr>
      <vt:lpstr>LTCG.Bbi_AquisitCostTot1</vt:lpstr>
      <vt:lpstr>LTCG.Bbia_ImproveCost1</vt:lpstr>
      <vt:lpstr>LTCG.Bbib_ImproveCostYear1</vt:lpstr>
      <vt:lpstr>LTCG.Bbii_ImproveCost1</vt:lpstr>
      <vt:lpstr>LTCG.Bbiii_ExpOnTrans1</vt:lpstr>
      <vt:lpstr>LTCG.Bbiv_TotalDedn1</vt:lpstr>
      <vt:lpstr>LTCG.Bc_BalanceCG1</vt:lpstr>
      <vt:lpstr>LTCG.Bd_ExemptionGrandTotal1</vt:lpstr>
      <vt:lpstr>LTCG.Bdi_ExemptionAmount1</vt:lpstr>
      <vt:lpstr>LTCG.Bdii_ExemptionAmount1</vt:lpstr>
      <vt:lpstr>LTCG.Bdiii_ExemptionAmount1</vt:lpstr>
      <vt:lpstr>LTCG.Bdiv_ExemptionAmount1</vt:lpstr>
      <vt:lpstr>LTCG.Bdix_ExemptionAmount54EE1</vt:lpstr>
      <vt:lpstr>LTCG.Bdv_ExemptionAmount1</vt:lpstr>
      <vt:lpstr>LTCG.Bdvi_ExemptionAmount1</vt:lpstr>
      <vt:lpstr>LTCG.Bdvii_ExemptionAmount1</vt:lpstr>
      <vt:lpstr>LTCG.Bdviii_ExemptionAmount1</vt:lpstr>
      <vt:lpstr>LTCG.Be_CapgainonAssets1</vt:lpstr>
      <vt:lpstr>ltcg.BFAllUs35Cl4Setoff_DTAARates</vt:lpstr>
      <vt:lpstr>ltcg.BFAllUs35Cl4Setoff4</vt:lpstr>
      <vt:lpstr>ltcg.BFAllUs35Cl4Setoff4a</vt:lpstr>
      <vt:lpstr>ltcg.BFlossPrevYrUndSameHeadSetoff_DTAARates</vt:lpstr>
      <vt:lpstr>ltcg.BFlossPrevYrUndSameHeadSetoff4</vt:lpstr>
      <vt:lpstr>ltcg.BFlossPrevYrUndSameHeadSetoff4a</vt:lpstr>
      <vt:lpstr>ltcg.BFUnabsorbedDeprSetoff_DTAARates</vt:lpstr>
      <vt:lpstr>ltcg.BFUnabsorbedDeprSetoff4</vt:lpstr>
      <vt:lpstr>ltcg.BFUnabsorbedDeprSetoff4a</vt:lpstr>
      <vt:lpstr>LTCG.Bi5a_FullConsideration</vt:lpstr>
      <vt:lpstr>LTCG.Bi5bi_AquisitCost</vt:lpstr>
      <vt:lpstr>LTCG.Bi5bii_ImproveCost</vt:lpstr>
      <vt:lpstr>LTCG.Bi5biii_ExpOnTrans</vt:lpstr>
      <vt:lpstr>LTCG.Bi5biv_TotalDedn</vt:lpstr>
      <vt:lpstr>LTCG.Bi5c_BalanceCG</vt:lpstr>
      <vt:lpstr>LTCG.Bi5dii_ExemptionAmount</vt:lpstr>
      <vt:lpstr>LTCG.Bi5e_CapgainonAssets</vt:lpstr>
      <vt:lpstr>LTCG.Bii3.54EE_ExemptionAmount</vt:lpstr>
      <vt:lpstr>LTCG.Bii3a_FullConsideration</vt:lpstr>
      <vt:lpstr>LTCG.Bii3bi_AquisitCost</vt:lpstr>
      <vt:lpstr>LTCG.Bii3bii_ImproveCost</vt:lpstr>
      <vt:lpstr>LTCG.Bii3biii_ExpOnTrans</vt:lpstr>
      <vt:lpstr>LTCG.Bii3biv_TotalDedn</vt:lpstr>
      <vt:lpstr>LTCG.Bii3c_BalanceCG</vt:lpstr>
      <vt:lpstr>LTCG.Bii3di_ExemptionAmount</vt:lpstr>
      <vt:lpstr>LTCG.Bii3dii_ExemptionAmount</vt:lpstr>
      <vt:lpstr>LTCG.Bii3e_CapgainonAssets</vt:lpstr>
      <vt:lpstr>LTCG.Bii5a_FullConsideration</vt:lpstr>
      <vt:lpstr>LTCG.Bii5bi_AquisitCost</vt:lpstr>
      <vt:lpstr>LTCG.Bii5bii_ImproveCost</vt:lpstr>
      <vt:lpstr>LTCG.Bii5biii_ExpOnTrans</vt:lpstr>
      <vt:lpstr>LTCG.Bii5biv_TotalDedn</vt:lpstr>
      <vt:lpstr>LTCG.Bii5c_BalanceCG</vt:lpstr>
      <vt:lpstr>LTCG.Bii5dii_ExemptionAmount</vt:lpstr>
      <vt:lpstr>LTCG.Bii5e_CapgainonAssets</vt:lpstr>
      <vt:lpstr>LTCG.Biii5a_FullConsideration</vt:lpstr>
      <vt:lpstr>LTCG.Biii5bi_AquisitCost</vt:lpstr>
      <vt:lpstr>LTCG.Biii5bii_ImproveCost</vt:lpstr>
      <vt:lpstr>LTCG.Biii5biii_ExpOnTrans</vt:lpstr>
      <vt:lpstr>LTCG.Biii5biv_TotalDedn</vt:lpstr>
      <vt:lpstr>LTCG.Biii5c_BalanceCG</vt:lpstr>
      <vt:lpstr>LTCG.Biii5dii_ExemptionAmount</vt:lpstr>
      <vt:lpstr>LTCG.Biii5e_CapgainonAssets</vt:lpstr>
      <vt:lpstr>ltcg.BusLossSetoff_DTAARates</vt:lpstr>
      <vt:lpstr>ltcg.BusLossSetoff2</vt:lpstr>
      <vt:lpstr>ltcg.BusLossSetoff2a</vt:lpstr>
      <vt:lpstr>LTCG.DTAA</vt:lpstr>
      <vt:lpstr>ltcg.HPlossCurYrSetoff_DTAARates</vt:lpstr>
      <vt:lpstr>ltcg.HPlossCurYrSetoff2</vt:lpstr>
      <vt:lpstr>ltcg.HPlossCurYrSetoff2a</vt:lpstr>
      <vt:lpstr>ltcg.IncOfCurYrAfterSetOff_DTAARates</vt:lpstr>
      <vt:lpstr>ltcg.IncOfCurYrAfterSetOff2</vt:lpstr>
      <vt:lpstr>ltcg.IncOfCurYrAfterSetOff2a</vt:lpstr>
      <vt:lpstr>ltcg.IncOfCurYrAfterSetOffBFLosses_DTAARates</vt:lpstr>
      <vt:lpstr>ltcg.IncOfCurYrAfterSetOffBFLosses4</vt:lpstr>
      <vt:lpstr>ltcg.IncOfCurYrAfterSetOffBFLosses4a</vt:lpstr>
      <vt:lpstr>ltcg.IncOfCurYrUnderThatHead_DTAARates</vt:lpstr>
      <vt:lpstr>ltcg.IncOfCurYrUnderThatHead2</vt:lpstr>
      <vt:lpstr>ltcg.IncOfCurYrUnderThatHead2a</vt:lpstr>
      <vt:lpstr>ltcg.IncOfCurYrUndHeadFromCYLA4</vt:lpstr>
      <vt:lpstr>ltcg.IncOfCurYrUndHeadFromCYLA4a</vt:lpstr>
      <vt:lpstr>ltcg.IncOfCurYrUndHeadFromCYLA4a_DTAARates</vt:lpstr>
      <vt:lpstr>LTCG.LastCell</vt:lpstr>
      <vt:lpstr>ltcg.OthSrcLossNoRaceHorseSetoff_DTAARates</vt:lpstr>
      <vt:lpstr>ltcg.OthSrcLossNoRaceHorseSetoff2</vt:lpstr>
      <vt:lpstr>ltcg.OthSrcLossNoRaceHorseSetoff2a</vt:lpstr>
      <vt:lpstr>LTCG_DropDown</vt:lpstr>
      <vt:lpstr>LTCG_DropDown2</vt:lpstr>
      <vt:lpstr>LTCG_DTAA_B10e</vt:lpstr>
      <vt:lpstr>LTCG_DTAA_B11</vt:lpstr>
      <vt:lpstr>LTCG_DTAA_B12a</vt:lpstr>
      <vt:lpstr>LTCG_DTAA_B12a1</vt:lpstr>
      <vt:lpstr>LTCG_DTAA_B12a2</vt:lpstr>
      <vt:lpstr>LTCG_DTAA_B12aii</vt:lpstr>
      <vt:lpstr>LTCG_DTAA_B12b</vt:lpstr>
      <vt:lpstr>LTCG_DTAA_B1e</vt:lpstr>
      <vt:lpstr>LTCG_DTAA_B2e</vt:lpstr>
      <vt:lpstr>LTCG_DTAA_B3e</vt:lpstr>
      <vt:lpstr>LTCG_DTAA_B4ie</vt:lpstr>
      <vt:lpstr>LTCG_DTAA_B4iie</vt:lpstr>
      <vt:lpstr>LTCG_DTAA_B5c</vt:lpstr>
      <vt:lpstr>LTCG_DTAA_B6c</vt:lpstr>
      <vt:lpstr>LTCG_DTAA_B7ie</vt:lpstr>
      <vt:lpstr>LTCG_DTAA_B7iie</vt:lpstr>
      <vt:lpstr>LTCG_DTAA_B7iiie</vt:lpstr>
      <vt:lpstr>LTCG_DTAA_B8c</vt:lpstr>
      <vt:lpstr>LTCG_DTAA_B9c</vt:lpstr>
      <vt:lpstr>LTCG_DTAA_B9f</vt:lpstr>
      <vt:lpstr>LTCG_SectionCodes</vt:lpstr>
      <vt:lpstr>LTCG_SectionValues</vt:lpstr>
      <vt:lpstr>LTCG_SLNo1</vt:lpstr>
      <vt:lpstr>LTCG_Temp54GB</vt:lpstr>
      <vt:lpstr>LTCGAssetAcquired_112A</vt:lpstr>
      <vt:lpstr>LTCGAssetAcquired_115AD</vt:lpstr>
      <vt:lpstr>ltcgloss.bfftnp</vt:lpstr>
      <vt:lpstr>ltcgloss.bfftp</vt:lpstr>
      <vt:lpstr>ltcgnonprovisoincome.bp</vt:lpstr>
      <vt:lpstr>ltcgnonprovisoincome.ltcladj</vt:lpstr>
      <vt:lpstr>ltcgnonprovisoloss.stcladj</vt:lpstr>
      <vt:lpstr>ltcgprovisoincome.ltcladj</vt:lpstr>
      <vt:lpstr>ltcgprovisoloss.stcladj</vt:lpstr>
      <vt:lpstr>LTCGTot</vt:lpstr>
      <vt:lpstr>ltcla1</vt:lpstr>
      <vt:lpstr>ltcla2</vt:lpstr>
      <vt:lpstr>Manfacture1</vt:lpstr>
      <vt:lpstr>ManuFactureAcc_CarriageInward</vt:lpstr>
      <vt:lpstr>ManuFactureAcc_CostOfGoodsProduced</vt:lpstr>
      <vt:lpstr>ManuFactureAcc_DepreciationOfFactoryMachinary</vt:lpstr>
      <vt:lpstr>ManuFactureAcc_DirectWages</vt:lpstr>
      <vt:lpstr>ManuFactureAcc_FactoryFuelAndPower</vt:lpstr>
      <vt:lpstr>ManuFactureAcc_FactoryGeneralExpenses</vt:lpstr>
      <vt:lpstr>ManuFactureAcc_FactoryInsurance</vt:lpstr>
      <vt:lpstr>ManuFactureAcc_FactoryRentRates</vt:lpstr>
      <vt:lpstr>ManuFactureAcc_IndirectWages</vt:lpstr>
      <vt:lpstr>ManuFactureAcc_OpenStockRawMaterial</vt:lpstr>
      <vt:lpstr>ManuFactureAcc_OpenStockWorkProgress</vt:lpstr>
      <vt:lpstr>ManuFactureAcc_OtherDirectExpenses</vt:lpstr>
      <vt:lpstr>ManuFactureAcc_PowerAndFuel</vt:lpstr>
      <vt:lpstr>ManuFactureAcc_Purchases</vt:lpstr>
      <vt:lpstr>ManuFactureAcc_RawMaterial</vt:lpstr>
      <vt:lpstr>ManuFactureAcc_TotalClosingClock</vt:lpstr>
      <vt:lpstr>ManuFactureAcc_TotalFactoryOverheads</vt:lpstr>
      <vt:lpstr>ManuFactureAcc_TotalOfDebitstoManuFacturingAcc</vt:lpstr>
      <vt:lpstr>ManuFactureAcc_TotalOfDirectExpenses</vt:lpstr>
      <vt:lpstr>ManuFactureAcc_TotalOpeningInventary</vt:lpstr>
      <vt:lpstr>ManuFactureAcc_WorkInProgress</vt:lpstr>
      <vt:lpstr>marginal_Relief</vt:lpstr>
      <vt:lpstr>MarginalRelief</vt:lpstr>
      <vt:lpstr>matchedSAT</vt:lpstr>
      <vt:lpstr>MatchedVAlue</vt:lpstr>
      <vt:lpstr>MAtchFUnction</vt:lpstr>
      <vt:lpstr>MAtchVAlue</vt:lpstr>
      <vt:lpstr>Max_Amount</vt:lpstr>
      <vt:lpstr>Medical_Expenditure_SC_80D</vt:lpstr>
      <vt:lpstr>Medical_Expenditure2_80D</vt:lpstr>
      <vt:lpstr>Method_of_Acct</vt:lpstr>
      <vt:lpstr>MR_D</vt:lpstr>
      <vt:lpstr>MR_N</vt:lpstr>
      <vt:lpstr>MR_ND</vt:lpstr>
      <vt:lpstr>Name_1</vt:lpstr>
      <vt:lpstr>Name_of_district</vt:lpstr>
      <vt:lpstr>Name_of_Donee_80GGA</vt:lpstr>
      <vt:lpstr>Name_of_Donee_80GGANew</vt:lpstr>
      <vt:lpstr>NameofShare_112A</vt:lpstr>
      <vt:lpstr>NameofShare_115AD</vt:lpstr>
      <vt:lpstr>Nature_Amt2</vt:lpstr>
      <vt:lpstr>Nature_Amt3</vt:lpstr>
      <vt:lpstr>Nature_Name2</vt:lpstr>
      <vt:lpstr>Nature_Name3</vt:lpstr>
      <vt:lpstr>Nature_of_Business</vt:lpstr>
      <vt:lpstr>NatureButton2</vt:lpstr>
      <vt:lpstr>NatureButton3</vt:lpstr>
      <vt:lpstr>Net44AD</vt:lpstr>
      <vt:lpstr>NetTaxLiability</vt:lpstr>
      <vt:lpstr>NoAccountsCase</vt:lpstr>
      <vt:lpstr>NOB</vt:lpstr>
      <vt:lpstr>NOB.Code</vt:lpstr>
      <vt:lpstr>NOB.TradeNameOrDescription</vt:lpstr>
      <vt:lpstr>NOB.TradeNameOrDescription2</vt:lpstr>
      <vt:lpstr>NOB.TradeNameOrDescription3</vt:lpstr>
      <vt:lpstr>NOB44AD</vt:lpstr>
      <vt:lpstr>NOB44ADA</vt:lpstr>
      <vt:lpstr>NOBCODE00001</vt:lpstr>
      <vt:lpstr>noOfMonth</vt:lpstr>
      <vt:lpstr>NoofShare_112A</vt:lpstr>
      <vt:lpstr>NoofShare_115AD</vt:lpstr>
      <vt:lpstr>NOR_Dropdown</vt:lpstr>
      <vt:lpstr>normalBalIncm</vt:lpstr>
      <vt:lpstr>NRI_Dropdown</vt:lpstr>
      <vt:lpstr>NRI_Hidden</vt:lpstr>
      <vt:lpstr>NRI_Juridiction</vt:lpstr>
      <vt:lpstr>NRI_Taxpayer</vt:lpstr>
      <vt:lpstr>NRI_TotPeriodofStay_PrecedingYear</vt:lpstr>
      <vt:lpstr>NRI_TotPeriodofStay_PreviousYear</vt:lpstr>
      <vt:lpstr>NumBankAccountsHeld</vt:lpstr>
      <vt:lpstr>NumRowsPropertyBlock</vt:lpstr>
      <vt:lpstr>NumRowsPropertyBlock_LTCG</vt:lpstr>
      <vt:lpstr>NumRowsPropertyBlock_STCG</vt:lpstr>
      <vt:lpstr>oldbacValue</vt:lpstr>
      <vt:lpstr>OneFrthofTI</vt:lpstr>
      <vt:lpstr>OptingNewTaxRegime</vt:lpstr>
      <vt:lpstr>OriginalRevised</vt:lpstr>
      <vt:lpstr>Os.1a</vt:lpstr>
      <vt:lpstr>Os.1b</vt:lpstr>
      <vt:lpstr>os.Amount_income</vt:lpstr>
      <vt:lpstr>os.amountinterestexpenditure</vt:lpstr>
      <vt:lpstr>os.amountinterestexpenditure1</vt:lpstr>
      <vt:lpstr>os.AmountnotDed58</vt:lpstr>
      <vt:lpstr>os.ApplRate</vt:lpstr>
      <vt:lpstr>os.Article_DTAA</vt:lpstr>
      <vt:lpstr>os.AssYear</vt:lpstr>
      <vt:lpstr>OS.AssYearUnit</vt:lpstr>
      <vt:lpstr>os.BalanceNoRaceHorse</vt:lpstr>
      <vt:lpstr>os.BalanceOwnRaceHorse</vt:lpstr>
      <vt:lpstr>os.check</vt:lpstr>
      <vt:lpstr>os.Country</vt:lpstr>
      <vt:lpstr>os.DeductSec57</vt:lpstr>
      <vt:lpstr>os.Depreciation</vt:lpstr>
      <vt:lpstr>os.DividendGross</vt:lpstr>
      <vt:lpstr>os.DividendGrossai</vt:lpstr>
      <vt:lpstr>os.DividendGrossaii</vt:lpstr>
      <vt:lpstr>os.DTAA_Amt</vt:lpstr>
      <vt:lpstr>os.DTAA_AmtChk</vt:lpstr>
      <vt:lpstr>os.DTAAcheck</vt:lpstr>
      <vt:lpstr>os.expenditureClaimed</vt:lpstr>
      <vt:lpstr>os.expenditureClaimed1</vt:lpstr>
      <vt:lpstr>os.Expenses</vt:lpstr>
      <vt:lpstr>os.GrossIncomeChargeableToTax</vt:lpstr>
      <vt:lpstr>os.IncChargeable</vt:lpstr>
      <vt:lpstr>os.IncomeBenefit</vt:lpstr>
      <vt:lpstr>os.IncomeBenefitTotal</vt:lpstr>
      <vt:lpstr>os.IncomeChargeableSpecialRates</vt:lpstr>
      <vt:lpstr>os.IncomeTaxRefund</vt:lpstr>
      <vt:lpstr>os.InterestGross</vt:lpstr>
      <vt:lpstr>os.NatureOfIncome</vt:lpstr>
      <vt:lpstr>os.notDeductSec58</vt:lpstr>
      <vt:lpstr>os.othDesc</vt:lpstr>
      <vt:lpstr>os.Others</vt:lpstr>
      <vt:lpstr>os.OtherSections</vt:lpstr>
      <vt:lpstr>os.PassThroughIncome</vt:lpstr>
      <vt:lpstr>os.Profit59</vt:lpstr>
      <vt:lpstr>os.ProfitSec59</vt:lpstr>
      <vt:lpstr>os.PTIAmount</vt:lpstr>
      <vt:lpstr>os.PTIDescription</vt:lpstr>
      <vt:lpstr>os.Rate_DTAA</vt:lpstr>
      <vt:lpstr>os.Rate_ITAct</vt:lpstr>
      <vt:lpstr>os.Receipts</vt:lpstr>
      <vt:lpstr>os.RentFromMachPlantBldgs</vt:lpstr>
      <vt:lpstr>os.SavingBank</vt:lpstr>
      <vt:lpstr>os.sec56Aggr</vt:lpstr>
      <vt:lpstr>os.sec56immov</vt:lpstr>
      <vt:lpstr>os.sec56immovCons</vt:lpstr>
      <vt:lpstr>os.sec56property</vt:lpstr>
      <vt:lpstr>os.sec56propertyCons</vt:lpstr>
      <vt:lpstr>os.SectionAct</vt:lpstr>
      <vt:lpstr>os.SourceAmount</vt:lpstr>
      <vt:lpstr>os.SourceDescription</vt:lpstr>
      <vt:lpstr>os.TaxBenefit</vt:lpstr>
      <vt:lpstr>os.TaxBenefitTotal</vt:lpstr>
      <vt:lpstr>Os.taxthereon.111</vt:lpstr>
      <vt:lpstr>os.TermDeposit</vt:lpstr>
      <vt:lpstr>os.Total115BE</vt:lpstr>
      <vt:lpstr>os.TotalAnyOtherIncome</vt:lpstr>
      <vt:lpstr>os.TotalChargeableSpecialRate</vt:lpstr>
      <vt:lpstr>os.TotalPassThroughIncome</vt:lpstr>
      <vt:lpstr>os.Totalsec56</vt:lpstr>
      <vt:lpstr>os.TotDeductions</vt:lpstr>
      <vt:lpstr>os.TotOthSrcNoRaceHorse</vt:lpstr>
      <vt:lpstr>os.TRC</vt:lpstr>
      <vt:lpstr>os.us68</vt:lpstr>
      <vt:lpstr>os.us69</vt:lpstr>
      <vt:lpstr>os.us69A</vt:lpstr>
      <vt:lpstr>os.us69B</vt:lpstr>
      <vt:lpstr>os.us69C</vt:lpstr>
      <vt:lpstr>os.us69D</vt:lpstr>
      <vt:lpstr>os.WinLottRacePuzz</vt:lpstr>
      <vt:lpstr>OS_ALL</vt:lpstr>
      <vt:lpstr>os_Deduction57iia</vt:lpstr>
      <vt:lpstr>OS_DTAA_115H</vt:lpstr>
      <vt:lpstr>OS_DTAA_Drpdown</vt:lpstr>
      <vt:lpstr>OS_DTAA_hiding</vt:lpstr>
      <vt:lpstr>OS_DTAA_lookup</vt:lpstr>
      <vt:lpstr>OS_DTAA_lookup1</vt:lpstr>
      <vt:lpstr>OS_DTAA_NRI</vt:lpstr>
      <vt:lpstr>OS_DTAA_RES</vt:lpstr>
      <vt:lpstr>OS_DTAASectionCode</vt:lpstr>
      <vt:lpstr>os_FamilyPension</vt:lpstr>
      <vt:lpstr>OS_lookup1</vt:lpstr>
      <vt:lpstr>OS_NRI</vt:lpstr>
      <vt:lpstr>OS_PTI_1</vt:lpstr>
      <vt:lpstr>Os_PTI_1_DTAA</vt:lpstr>
      <vt:lpstr>OS_PTI_115H</vt:lpstr>
      <vt:lpstr>Os_PTI_5A1ai</vt:lpstr>
      <vt:lpstr>Os_PTI_5A1ai_DTAA</vt:lpstr>
      <vt:lpstr>Os_PTI_5A1aibA_DTAA</vt:lpstr>
      <vt:lpstr>Os_PTI_5A1aibB_DTAA</vt:lpstr>
      <vt:lpstr>Os_PTI_5A1aii</vt:lpstr>
      <vt:lpstr>Os_PTI_5A1aii_DTAA</vt:lpstr>
      <vt:lpstr>Os_PTI_5A1aiia</vt:lpstr>
      <vt:lpstr>Os_PTI_5A1aiia_DTAA</vt:lpstr>
      <vt:lpstr>Os_PTI_5A1aiiaa</vt:lpstr>
      <vt:lpstr>Os_PTI_5A1aiiaa_DTAA</vt:lpstr>
      <vt:lpstr>Os_PTI_5A1aiiaaP</vt:lpstr>
      <vt:lpstr>Os_PTI_5A1aiiaaP_DTAA</vt:lpstr>
      <vt:lpstr>Os_PTI_5A1aiiab</vt:lpstr>
      <vt:lpstr>Os_PTI_5A1aiiab_DTAA</vt:lpstr>
      <vt:lpstr>Os_PTI_5A1aiiac</vt:lpstr>
      <vt:lpstr>Os_PTI_5A1aiiac_DTAA</vt:lpstr>
      <vt:lpstr>Os_PTI_5A1aiiaci</vt:lpstr>
      <vt:lpstr>Os_PTI_5A1aiiaci_DTAA</vt:lpstr>
      <vt:lpstr>Os_PTI_5A1aiii</vt:lpstr>
      <vt:lpstr>Os_PTI_5A1aiii_DTAA</vt:lpstr>
      <vt:lpstr>Os_PTI_5A1bA</vt:lpstr>
      <vt:lpstr>Os_PTI_5A1bB</vt:lpstr>
      <vt:lpstr>OS_PTI_5AC1ab</vt:lpstr>
      <vt:lpstr>Os_PTI_5AC1ab_DTAA</vt:lpstr>
      <vt:lpstr>OS_PTI_5AC1b</vt:lpstr>
      <vt:lpstr>Os_PTI_5AC1b_DTAA</vt:lpstr>
      <vt:lpstr>OS_PTI_5ACA1a</vt:lpstr>
      <vt:lpstr>Os_PTI_5ACA1a_DTAA</vt:lpstr>
      <vt:lpstr>OS_PTI_5AD1i</vt:lpstr>
      <vt:lpstr>Os_PTI_5AD1i_DTAA</vt:lpstr>
      <vt:lpstr>OS_PTI_5AD1iDiv</vt:lpstr>
      <vt:lpstr>Os_PTI_5AD1iDiv_DTAA</vt:lpstr>
      <vt:lpstr>OS_PTI_5AD1iP</vt:lpstr>
      <vt:lpstr>Os_PTI_5AD1iP_DTAA</vt:lpstr>
      <vt:lpstr>OS_PTI_5BB</vt:lpstr>
      <vt:lpstr>Os_PTI_5BB_DTAA</vt:lpstr>
      <vt:lpstr>OS_PTI_5BBA</vt:lpstr>
      <vt:lpstr>Os_PTI_5BBA_DTAA</vt:lpstr>
      <vt:lpstr>OS_PTI_5BBC</vt:lpstr>
      <vt:lpstr>Os_PTI_5BBC_DTAA</vt:lpstr>
      <vt:lpstr>OS_PTI_5BBDA</vt:lpstr>
      <vt:lpstr>Os_PTI_5BBDA_DTAA</vt:lpstr>
      <vt:lpstr>OS_PTI_5BBE</vt:lpstr>
      <vt:lpstr>Os_PTI_5BBE_DTAA</vt:lpstr>
      <vt:lpstr>OS_PTI_5BBF</vt:lpstr>
      <vt:lpstr>Os_PTI_5BBF_DTAA</vt:lpstr>
      <vt:lpstr>OS_PTI_5BBG</vt:lpstr>
      <vt:lpstr>Os_PTI_5BBG_DTAA</vt:lpstr>
      <vt:lpstr>OS_PTI_5Ea</vt:lpstr>
      <vt:lpstr>Os_PTI_5Ea_DTAA</vt:lpstr>
      <vt:lpstr>OS_PTI_Amount</vt:lpstr>
      <vt:lpstr>os_PTI_check</vt:lpstr>
      <vt:lpstr>OS_PTI_LookUp1</vt:lpstr>
      <vt:lpstr>OS_PTI_NRI</vt:lpstr>
      <vt:lpstr>OS_PTI_RES</vt:lpstr>
      <vt:lpstr>OS_PTI_TotalOS</vt:lpstr>
      <vt:lpstr>OS_PTI_TotalOS_DTAA</vt:lpstr>
      <vt:lpstr>OS_PTISectionCode</vt:lpstr>
      <vt:lpstr>OS_RESandNOR</vt:lpstr>
      <vt:lpstr>OS_Section.Validate</vt:lpstr>
      <vt:lpstr>OS_SourceDescription_RESandNOR</vt:lpstr>
      <vt:lpstr>Os_Value.Validate</vt:lpstr>
      <vt:lpstr>osBFLA</vt:lpstr>
      <vt:lpstr>OSDTAA_Section_115H</vt:lpstr>
      <vt:lpstr>OSDTAA_Section_NRI</vt:lpstr>
      <vt:lpstr>OSDTAA_Section_RES</vt:lpstr>
      <vt:lpstr>OSIncomeNotified89A</vt:lpstr>
      <vt:lpstr>OSIncomeNotified89A_AmountCan</vt:lpstr>
      <vt:lpstr>OSIncomeNotified89A_AmountUK</vt:lpstr>
      <vt:lpstr>OSIncomeNotified89A_AmountUS</vt:lpstr>
      <vt:lpstr>OSIncomeNotifiedOther89A</vt:lpstr>
      <vt:lpstr>OSIncreliefus89A</vt:lpstr>
      <vt:lpstr>OSSW1</vt:lpstr>
      <vt:lpstr>otherosincome.bf</vt:lpstr>
      <vt:lpstr>otherosloss.ih</vt:lpstr>
      <vt:lpstr>othSecinclnlhrs.BusLossSetoff3</vt:lpstr>
      <vt:lpstr>othSecinclnlhrs.HPlossCurYrSetoff3</vt:lpstr>
      <vt:lpstr>othSecinclnlhrs.IncOfCurYrAfterSetOff3</vt:lpstr>
      <vt:lpstr>othSecinclnlhrs.IncOfCurYrUnderThatHead3</vt:lpstr>
      <vt:lpstr>othsrcincl.BFAllUs35Cl4Setoff5</vt:lpstr>
      <vt:lpstr>othsrcincl.BFlossPrevYrUndSameHeadSetoff5</vt:lpstr>
      <vt:lpstr>othsrcincl.BFUnabsorbedDeprSetoff5</vt:lpstr>
      <vt:lpstr>othsrcincl.IncOfCurYrAfterSetOffBFLosses5</vt:lpstr>
      <vt:lpstr>othsrcincl.IncOfCurYrUndHeadFromCYLA5</vt:lpstr>
      <vt:lpstr>Owed</vt:lpstr>
      <vt:lpstr>Pan</vt:lpstr>
      <vt:lpstr>PAN_of_donee_80GGA</vt:lpstr>
      <vt:lpstr>PAN_of_donee_80GGANew</vt:lpstr>
      <vt:lpstr>PANButton1</vt:lpstr>
      <vt:lpstr>Parents_80D</vt:lpstr>
      <vt:lpstr>Parents_SC_80D</vt:lpstr>
      <vt:lpstr>PartB.Button1</vt:lpstr>
      <vt:lpstr>PartB.Button2</vt:lpstr>
      <vt:lpstr>Per10080G.AddrDetail</vt:lpstr>
      <vt:lpstr>Per10080G.CityOrTownOrDistrict</vt:lpstr>
      <vt:lpstr>Per10080G.DonationAmt</vt:lpstr>
      <vt:lpstr>Per10080G.DonationInCash</vt:lpstr>
      <vt:lpstr>Per10080G.DoneeName</vt:lpstr>
      <vt:lpstr>Per10080G.DoneePAN</vt:lpstr>
      <vt:lpstr>Per10080G.EligibleAmt</vt:lpstr>
      <vt:lpstr>Per10080G.PinCode</vt:lpstr>
      <vt:lpstr>Per10080G.StateCode</vt:lpstr>
      <vt:lpstr>Per10080G.TotalDonationAmt</vt:lpstr>
      <vt:lpstr>Per10080G.TotDon100Percent</vt:lpstr>
      <vt:lpstr>Per10080G.TotDon100Percent_InCash</vt:lpstr>
      <vt:lpstr>Per10080G.TotDon100Percent_Total</vt:lpstr>
      <vt:lpstr>Per10080G.TotElig100Percent</vt:lpstr>
      <vt:lpstr>Per5080G.AddrDetail</vt:lpstr>
      <vt:lpstr>Per5080G.CityOrTownOrDistrict</vt:lpstr>
      <vt:lpstr>Per5080G.DonationAmt</vt:lpstr>
      <vt:lpstr>Per5080G.DonationInCash</vt:lpstr>
      <vt:lpstr>Per5080G.DonationInCash1</vt:lpstr>
      <vt:lpstr>Per5080G.DoneePAN</vt:lpstr>
      <vt:lpstr>Per5080G.DoneeWithPanName</vt:lpstr>
      <vt:lpstr>Per5080G.EligibleAmt</vt:lpstr>
      <vt:lpstr>Per5080G.PinCode</vt:lpstr>
      <vt:lpstr>Per5080G.StateCode</vt:lpstr>
      <vt:lpstr>Per5080G.TotalDonationAmt</vt:lpstr>
      <vt:lpstr>Per5080G.TotalDonationsUs80G</vt:lpstr>
      <vt:lpstr>Per5080G.TotalDonationsUs80G_InCash</vt:lpstr>
      <vt:lpstr>Per5080G.TotalDonationsUs80G_Total</vt:lpstr>
      <vt:lpstr>Per5080G.TotalEligibleDonationsUs80G</vt:lpstr>
      <vt:lpstr>Per5080G.TotDon100Percent</vt:lpstr>
      <vt:lpstr>Per5080G.TotDon100Percent_InCash</vt:lpstr>
      <vt:lpstr>Per5080G.TotDon100Percent_Total</vt:lpstr>
      <vt:lpstr>Per5080G.TotElig100Percent</vt:lpstr>
      <vt:lpstr>PerNO5080G.AddrDetail</vt:lpstr>
      <vt:lpstr>PerNO5080G.CityOrTownOrDistrict</vt:lpstr>
      <vt:lpstr>PerNO5080G.DonationAmt</vt:lpstr>
      <vt:lpstr>PerNO5080G.DonationInCash</vt:lpstr>
      <vt:lpstr>PerNO5080G.DoneeName</vt:lpstr>
      <vt:lpstr>PerNO5080G.DoneePAN</vt:lpstr>
      <vt:lpstr>PerNO5080G.EligibleAmt</vt:lpstr>
      <vt:lpstr>PerNO5080G.PinCode</vt:lpstr>
      <vt:lpstr>PerNO5080G.StateCode</vt:lpstr>
      <vt:lpstr>PerNO5080G.TotalDonationAmt</vt:lpstr>
      <vt:lpstr>PerNO5080G.TotDon100Percent</vt:lpstr>
      <vt:lpstr>PerNO5080G.TotDon100Percent_InCash</vt:lpstr>
      <vt:lpstr>PerNO5080G.TotDon100Percent_Total</vt:lpstr>
      <vt:lpstr>PerNO5080G.TotElig100Percent</vt:lpstr>
      <vt:lpstr>PerYES10080G.AddrDetail</vt:lpstr>
      <vt:lpstr>PerYES10080G.CityOrTownOrDistrict</vt:lpstr>
      <vt:lpstr>PerYES10080G.DonationAmt</vt:lpstr>
      <vt:lpstr>PerYES10080G.DonationInCash</vt:lpstr>
      <vt:lpstr>PerYES10080G.DoneePAN</vt:lpstr>
      <vt:lpstr>PerYES10080G.DoneeWithPanName</vt:lpstr>
      <vt:lpstr>PerYES10080G.EligibleAmt</vt:lpstr>
      <vt:lpstr>PerYES10080G.PinCode</vt:lpstr>
      <vt:lpstr>PerYES10080G.StateCode</vt:lpstr>
      <vt:lpstr>PerYES10080G.TotalDonationAmt</vt:lpstr>
      <vt:lpstr>PerYES10080G.TotDon100Percent</vt:lpstr>
      <vt:lpstr>PerYES10080G.TotDon100Percent_InCash</vt:lpstr>
      <vt:lpstr>PerYES10080G.TotDon100Percent_Total</vt:lpstr>
      <vt:lpstr>PerYES10080G.TotElig100Percent</vt:lpstr>
      <vt:lpstr>Pincode_80GGA</vt:lpstr>
      <vt:lpstr>Pincode_80GGANew</vt:lpstr>
      <vt:lpstr>PincodeList</vt:lpstr>
      <vt:lpstr>PL.Advertisement</vt:lpstr>
      <vt:lpstr>PL.Amount_a</vt:lpstr>
      <vt:lpstr>PL.Amount_b</vt:lpstr>
      <vt:lpstr>PL.Amount_c</vt:lpstr>
      <vt:lpstr>PL.Amount_d</vt:lpstr>
      <vt:lpstr>PL.AmtAvlAppr</vt:lpstr>
      <vt:lpstr>PL.AmtPaidToNonRes</vt:lpstr>
      <vt:lpstr>PL.AnyCompPaidToNonRes</vt:lpstr>
      <vt:lpstr>PL.AuditFee</vt:lpstr>
      <vt:lpstr>PL.BadDebt</vt:lpstr>
      <vt:lpstr>PL.BalBFPrevYr</vt:lpstr>
      <vt:lpstr>PL.Bonus</vt:lpstr>
      <vt:lpstr>PL.Button1</vt:lpstr>
      <vt:lpstr>PL.ClubExp</vt:lpstr>
      <vt:lpstr>PL.Comissions</vt:lpstr>
      <vt:lpstr>PL.CommissionExpdr</vt:lpstr>
      <vt:lpstr>PL.Conference</vt:lpstr>
      <vt:lpstr>PL.ConsumptionOfStores</vt:lpstr>
      <vt:lpstr>PL.ContToGratFund</vt:lpstr>
      <vt:lpstr>PL.ContToOthFund</vt:lpstr>
      <vt:lpstr>PL.ContToPF</vt:lpstr>
      <vt:lpstr>PL.ContToSuperAnnFund</vt:lpstr>
      <vt:lpstr>PL.ConveyanceExp</vt:lpstr>
      <vt:lpstr>PL.DepreciationAmort</vt:lpstr>
      <vt:lpstr>PL.Dividends</vt:lpstr>
      <vt:lpstr>PL.Donation</vt:lpstr>
      <vt:lpstr>PL.Entertainment</vt:lpstr>
      <vt:lpstr>PL.FestivalCelebExp</vt:lpstr>
      <vt:lpstr>PL.ForeignTravelExp</vt:lpstr>
      <vt:lpstr>PL.Freight</vt:lpstr>
      <vt:lpstr>PL.Gift</vt:lpstr>
      <vt:lpstr>PL.GuestHouseExp</vt:lpstr>
      <vt:lpstr>PL.Hospitality</vt:lpstr>
      <vt:lpstr>PL.HotelBoardLodge</vt:lpstr>
      <vt:lpstr>PL.InterestExpdr</vt:lpstr>
      <vt:lpstr>PL.InterestInc</vt:lpstr>
      <vt:lpstr>PL.KeyManInsur</vt:lpstr>
      <vt:lpstr>PL.LeaveEncash</vt:lpstr>
      <vt:lpstr>PL.LeaveTravelBenft</vt:lpstr>
      <vt:lpstr>PL.LifeInsur</vt:lpstr>
      <vt:lpstr>PL.MedExpReimb</vt:lpstr>
      <vt:lpstr>PL.MedInsur</vt:lpstr>
      <vt:lpstr>PL.MiscOthIncome</vt:lpstr>
      <vt:lpstr>PL.NatureOfIncome_a</vt:lpstr>
      <vt:lpstr>PL.NatureOfIncome_b</vt:lpstr>
      <vt:lpstr>PL.NatureOfIncome_c</vt:lpstr>
      <vt:lpstr>PL.NatureOfIncome_d</vt:lpstr>
      <vt:lpstr>PL.OthEmpBenftExpdr</vt:lpstr>
      <vt:lpstr>PL.OtherExpenses</vt:lpstr>
      <vt:lpstr>PL.OthersAmtLt1Lakh</vt:lpstr>
      <vt:lpstr>PL.OthInsur</vt:lpstr>
      <vt:lpstr>PL.OthProvisionsExpdr</vt:lpstr>
      <vt:lpstr>PL.PartnerAccBalTrf</vt:lpstr>
      <vt:lpstr>PL.PBIDTA</vt:lpstr>
      <vt:lpstr>PL.PBT</vt:lpstr>
      <vt:lpstr>PL.PowerFuel</vt:lpstr>
      <vt:lpstr>PL.ProfitAfterTax</vt:lpstr>
      <vt:lpstr>PL.ProfitOnAgriIncome</vt:lpstr>
      <vt:lpstr>PL.ProfitOnConvOfInventary</vt:lpstr>
      <vt:lpstr>PL.ProfitOnCurrFluct</vt:lpstr>
      <vt:lpstr>PL.ProfitOnInvChrSTT</vt:lpstr>
      <vt:lpstr>PL.ProfitOnOthInv</vt:lpstr>
      <vt:lpstr>PL.ProfitOnSaleFixedAsset</vt:lpstr>
      <vt:lpstr>PL.ProvDefTax</vt:lpstr>
      <vt:lpstr>PL.ProvForBadDoubtDebt</vt:lpstr>
      <vt:lpstr>PL.ProvForCurrTax</vt:lpstr>
      <vt:lpstr>PL.RentExpdr</vt:lpstr>
      <vt:lpstr>PL.RentInc</vt:lpstr>
      <vt:lpstr>PL.RepairMach</vt:lpstr>
      <vt:lpstr>PL.RepairsBldg</vt:lpstr>
      <vt:lpstr>PL.SalePromoExp</vt:lpstr>
      <vt:lpstr>PL.SalsWages</vt:lpstr>
      <vt:lpstr>PL.Scholarship</vt:lpstr>
      <vt:lpstr>PL.StaffWelfareExp</vt:lpstr>
      <vt:lpstr>PL.sum</vt:lpstr>
      <vt:lpstr>PL.TelephoneExp</vt:lpstr>
      <vt:lpstr>PL.TotEmployeeComp</vt:lpstr>
      <vt:lpstr>PL.TotInsurances</vt:lpstr>
      <vt:lpstr>PL.TotOthIncome</vt:lpstr>
      <vt:lpstr>PL.TravelExp</vt:lpstr>
      <vt:lpstr>PL.TrfToReserves</vt:lpstr>
      <vt:lpstr>PL_61a</vt:lpstr>
      <vt:lpstr>PL_61b</vt:lpstr>
      <vt:lpstr>PL_61i</vt:lpstr>
      <vt:lpstr>PL_61ii</vt:lpstr>
      <vt:lpstr>PL_61iia</vt:lpstr>
      <vt:lpstr>PL_61iib</vt:lpstr>
      <vt:lpstr>PL_62i</vt:lpstr>
      <vt:lpstr>PL_62ii</vt:lpstr>
      <vt:lpstr>PL_63ii</vt:lpstr>
      <vt:lpstr>PL_64GrossTurnOver</vt:lpstr>
      <vt:lpstr>PL_64ia1</vt:lpstr>
      <vt:lpstr>PL_64ia2</vt:lpstr>
      <vt:lpstr>PL_64ib</vt:lpstr>
      <vt:lpstr>PL_64ic</vt:lpstr>
      <vt:lpstr>PL_64id</vt:lpstr>
      <vt:lpstr>PL_64iia</vt:lpstr>
      <vt:lpstr>PL_64iia_i</vt:lpstr>
      <vt:lpstr>PL_64iia_ii</vt:lpstr>
      <vt:lpstr>PL_64iib</vt:lpstr>
      <vt:lpstr>PL_64iic</vt:lpstr>
      <vt:lpstr>PL_64iid</vt:lpstr>
      <vt:lpstr>PL_64iii</vt:lpstr>
      <vt:lpstr>PL_65i</vt:lpstr>
      <vt:lpstr>PL_65ii</vt:lpstr>
      <vt:lpstr>PL_65iii</vt:lpstr>
      <vt:lpstr>PL_65iv</vt:lpstr>
      <vt:lpstr>PL_Address_Area</vt:lpstr>
      <vt:lpstr>PL_Address_City</vt:lpstr>
      <vt:lpstr>PL_Address_Country</vt:lpstr>
      <vt:lpstr>PL_Address_Flat</vt:lpstr>
      <vt:lpstr>PL_Address_Pin</vt:lpstr>
      <vt:lpstr>PL_Address_Road</vt:lpstr>
      <vt:lpstr>PL_Address_State</vt:lpstr>
      <vt:lpstr>PL_Address_Village</vt:lpstr>
      <vt:lpstr>PL_Address_Zip</vt:lpstr>
      <vt:lpstr>PL_Amount</vt:lpstr>
      <vt:lpstr>PL_GrossProfitLoss</vt:lpstr>
      <vt:lpstr>PL_Name</vt:lpstr>
      <vt:lpstr>PL_TotalMonths</vt:lpstr>
      <vt:lpstr>PL_TotalOfCreditsToProfit</vt:lpstr>
      <vt:lpstr>PL_TotalPresumtiveIncome</vt:lpstr>
      <vt:lpstr>PLBaddebts</vt:lpstr>
      <vt:lpstr>PLBD.Aadhar</vt:lpstr>
      <vt:lpstr>PLBD.Amount</vt:lpstr>
      <vt:lpstr>PLBD.Amount_a</vt:lpstr>
      <vt:lpstr>PLBD.Amount_b</vt:lpstr>
      <vt:lpstr>PLBD.Amount_c</vt:lpstr>
      <vt:lpstr>PLBD.Amount_d</vt:lpstr>
      <vt:lpstr>PLBD.Amount_e</vt:lpstr>
      <vt:lpstr>PLBD.PAN</vt:lpstr>
      <vt:lpstr>PLBD.PAN_a</vt:lpstr>
      <vt:lpstr>PLBD.PAN_b</vt:lpstr>
      <vt:lpstr>PLBD.PAN_c</vt:lpstr>
      <vt:lpstr>PLBD.PAN_d</vt:lpstr>
      <vt:lpstr>PLBD.PAN_e</vt:lpstr>
      <vt:lpstr>PLCE.NonResOtherCompany</vt:lpstr>
      <vt:lpstr>PLCE.Others</vt:lpstr>
      <vt:lpstr>PLCrEx.UTGST</vt:lpstr>
      <vt:lpstr>PLI.NonResOtherCompany</vt:lpstr>
      <vt:lpstr>PLI.Others</vt:lpstr>
      <vt:lpstr>PLOE.ExpenseAmt_a</vt:lpstr>
      <vt:lpstr>PLOE.ExpenseAmt_b</vt:lpstr>
      <vt:lpstr>PLOE.ExpenseAmt_c</vt:lpstr>
      <vt:lpstr>PLOE.ExpenseAmt_d</vt:lpstr>
      <vt:lpstr>PLOE.ExpenseNature_a</vt:lpstr>
      <vt:lpstr>PLOE.ExpenseNature_b</vt:lpstr>
      <vt:lpstr>PLOE.ExpenseNature_c</vt:lpstr>
      <vt:lpstr>PLOE.ExpenseNature_d</vt:lpstr>
      <vt:lpstr>PLOthers</vt:lpstr>
      <vt:lpstr>PLPC.NonResOtherCompany</vt:lpstr>
      <vt:lpstr>PLPC.Others</vt:lpstr>
      <vt:lpstr>PLPC.Total</vt:lpstr>
      <vt:lpstr>PLRateEx.Cess</vt:lpstr>
      <vt:lpstr>PLRateEx.CGST</vt:lpstr>
      <vt:lpstr>PLRateEx.IGST</vt:lpstr>
      <vt:lpstr>PLRateEx.OthDutyTaxCess</vt:lpstr>
      <vt:lpstr>PLRateEx.ServiceTax</vt:lpstr>
      <vt:lpstr>PLRateEx.SGST</vt:lpstr>
      <vt:lpstr>PLRateEx.TotExciseCustomsVAT</vt:lpstr>
      <vt:lpstr>PLRateEx.UnionExciseDuty</vt:lpstr>
      <vt:lpstr>PLRateEx.UTGST</vt:lpstr>
      <vt:lpstr>PLRateEx.VATorSaleTax</vt:lpstr>
      <vt:lpstr>PLRY.NonResOtherCompany</vt:lpstr>
      <vt:lpstr>PLRY.Others</vt:lpstr>
      <vt:lpstr>PLRY.Total</vt:lpstr>
      <vt:lpstr>PortugueseCode</vt:lpstr>
      <vt:lpstr>PortugueseCodeNew</vt:lpstr>
      <vt:lpstr>Preventive_Health_80D</vt:lpstr>
      <vt:lpstr>Preventive_Health_SC_80D</vt:lpstr>
      <vt:lpstr>Preventive_Health2_80D</vt:lpstr>
      <vt:lpstr>Preventive_Health3_80D</vt:lpstr>
      <vt:lpstr>PreXML_QD_A</vt:lpstr>
      <vt:lpstr>PreXML_QD_B</vt:lpstr>
      <vt:lpstr>PreXML_QD_C</vt:lpstr>
      <vt:lpstr>PreXML_SCH10A</vt:lpstr>
      <vt:lpstr>PreXML_SCH10AA</vt:lpstr>
      <vt:lpstr>PreXML_SCH80GA</vt:lpstr>
      <vt:lpstr>PreXML_SCH80GB</vt:lpstr>
      <vt:lpstr>PreXML_SCH80GC</vt:lpstr>
      <vt:lpstr>PreXML_SCH80GD</vt:lpstr>
      <vt:lpstr>PreXML_SCHIF</vt:lpstr>
      <vt:lpstr>PreXML_SCHIT</vt:lpstr>
      <vt:lpstr>PreXML_SCHP</vt:lpstr>
      <vt:lpstr>PreXML_SCHS</vt:lpstr>
      <vt:lpstr>PreXML_SCHSI</vt:lpstr>
      <vt:lpstr>PreXML_SCHSPI</vt:lpstr>
      <vt:lpstr>PreXML_SCHTCS</vt:lpstr>
      <vt:lpstr>PreXML_SCHTDS2</vt:lpstr>
      <vt:lpstr>PreXML_SCHTDS3</vt:lpstr>
      <vt:lpstr>PreXML_TDS1</vt:lpstr>
      <vt:lpstr>PropertySectionCOunt</vt:lpstr>
      <vt:lpstr>PropertySectionCount_LTCG</vt:lpstr>
      <vt:lpstr>PropertySectionCount_STCG</vt:lpstr>
      <vt:lpstr>PropertySectionCount1_LTCG</vt:lpstr>
      <vt:lpstr>PTI.Button2</vt:lpstr>
      <vt:lpstr>PTI.LastCell</vt:lpstr>
      <vt:lpstr>PTI_CG_LTCG_NetAmt1</vt:lpstr>
      <vt:lpstr>PTI_CG_LTCG_NetAmt2</vt:lpstr>
      <vt:lpstr>PTI_CG_LTCG_NetAmt3</vt:lpstr>
      <vt:lpstr>PTI_CG_LTCG_Others_IncomeAmt1</vt:lpstr>
      <vt:lpstr>PTI_CG_LTCG_Others_IncomeAmt2</vt:lpstr>
      <vt:lpstr>PTI_CG_LTCG_Others_IncomeAmt3</vt:lpstr>
      <vt:lpstr>PTI_CG_LTCG_Others_NetAmt1</vt:lpstr>
      <vt:lpstr>PTI_CG_LTCG_Others_NetAmt2</vt:lpstr>
      <vt:lpstr>PTI_CG_LTCG_Others_NetAmt3</vt:lpstr>
      <vt:lpstr>PTI_CG_LTCG_Others_ShareAmt1</vt:lpstr>
      <vt:lpstr>PTI_CG_LTCG_Others_ShareAmt2</vt:lpstr>
      <vt:lpstr>PTI_CG_LTCG_Others_ShareAmt3</vt:lpstr>
      <vt:lpstr>PTI_CG_LTCG_Others_TdsAmt1</vt:lpstr>
      <vt:lpstr>PTI_CG_LTCG_Others_TdsAmt2</vt:lpstr>
      <vt:lpstr>PTI_CG_LTCG_Others_TdsAmt3</vt:lpstr>
      <vt:lpstr>PTI_CG_LTCG_SectionA_IncomeAmt1</vt:lpstr>
      <vt:lpstr>PTI_CG_LTCG_SectionA_IncomeAmt2</vt:lpstr>
      <vt:lpstr>PTI_CG_LTCG_SectionA_IncomeAmt3</vt:lpstr>
      <vt:lpstr>PTI_CG_LTCG_SectionA_NetAmt1</vt:lpstr>
      <vt:lpstr>PTI_CG_LTCG_SectionA_NetAmt2</vt:lpstr>
      <vt:lpstr>PTI_CG_LTCG_SectionA_NetAmt3</vt:lpstr>
      <vt:lpstr>PTI_CG_LTCG_SectionA_ShareAmt1</vt:lpstr>
      <vt:lpstr>PTI_CG_LTCG_SectionA_ShareAmt2</vt:lpstr>
      <vt:lpstr>PTI_CG_LTCG_SectionA_ShareAmt3</vt:lpstr>
      <vt:lpstr>PTI_CG_LTCG_SectionA_TdsAmt1</vt:lpstr>
      <vt:lpstr>PTI_CG_LTCG_SectionA_TdsAmt2</vt:lpstr>
      <vt:lpstr>PTI_CG_LTCG_SectionA_TdsAmt3</vt:lpstr>
      <vt:lpstr>PTI_CG_LTCG_ShareAmt1</vt:lpstr>
      <vt:lpstr>PTI_CG_LTCG_ShareAmt2</vt:lpstr>
      <vt:lpstr>PTI_CG_LTCG_ShareAmt3</vt:lpstr>
      <vt:lpstr>PTI_CG_LTCGIncomeAmt1</vt:lpstr>
      <vt:lpstr>PTI_CG_LTCGIncomeAmt2</vt:lpstr>
      <vt:lpstr>PTI_CG_LTCGIncomeAmt3</vt:lpstr>
      <vt:lpstr>PTI_CG_LTCGTDSAmt1</vt:lpstr>
      <vt:lpstr>PTI_CG_LTCGTDSAmt2</vt:lpstr>
      <vt:lpstr>PTI_CG_LTCGTDSAmt3</vt:lpstr>
      <vt:lpstr>PTI_CG_STCG_NetAmt1</vt:lpstr>
      <vt:lpstr>PTI_CG_STCG_NetAmt2</vt:lpstr>
      <vt:lpstr>PTI_CG_STCG_NetAmt3</vt:lpstr>
      <vt:lpstr>PTI_CG_STCG_Others_IncomeAmt1</vt:lpstr>
      <vt:lpstr>PTI_CG_STCG_Others_IncomeAmt2</vt:lpstr>
      <vt:lpstr>PTI_CG_STCG_Others_IncomeAmt3</vt:lpstr>
      <vt:lpstr>PTI_CG_STCG_Others_NetAmt1</vt:lpstr>
      <vt:lpstr>PTI_CG_STCG_Others_NetAmt2</vt:lpstr>
      <vt:lpstr>PTI_CG_STCG_Others_NetAmt3</vt:lpstr>
      <vt:lpstr>PTI_CG_STCG_Others_ShareAmt1</vt:lpstr>
      <vt:lpstr>PTI_CG_STCG_Others_ShareAmt2</vt:lpstr>
      <vt:lpstr>PTI_CG_STCG_Others_ShareAmt3</vt:lpstr>
      <vt:lpstr>PTI_CG_STCG_Others_TdsAmt1</vt:lpstr>
      <vt:lpstr>PTI_CG_STCG_Others_TdsAmt2</vt:lpstr>
      <vt:lpstr>PTI_CG_STCG_Others_TdsAmt3</vt:lpstr>
      <vt:lpstr>PTI_CG_STCG_SectionA_IncomeAmt1</vt:lpstr>
      <vt:lpstr>PTI_CG_STCG_SectionA_IncomeAmt2</vt:lpstr>
      <vt:lpstr>PTI_CG_STCG_SectionA_IncomeAmt3</vt:lpstr>
      <vt:lpstr>PTI_CG_STCG_SectionA_NetAmt1</vt:lpstr>
      <vt:lpstr>PTI_CG_STCG_SectionA_NetAmt2</vt:lpstr>
      <vt:lpstr>PTI_CG_STCG_SectionA_NetAmt3</vt:lpstr>
      <vt:lpstr>PTI_CG_STCG_SectionA_ShareAmt1</vt:lpstr>
      <vt:lpstr>PTI_CG_STCG_SectionA_ShareAmt2</vt:lpstr>
      <vt:lpstr>PTI_CG_STCG_SectionA_ShareAmt3</vt:lpstr>
      <vt:lpstr>PTI_CG_STCG_SectionA_TdsAmt1</vt:lpstr>
      <vt:lpstr>PTI_CG_STCG_SectionA_TdsAmt2</vt:lpstr>
      <vt:lpstr>PTI_CG_STCG_SectionA_TdsAmt3</vt:lpstr>
      <vt:lpstr>PTI_CG_STCG_ShareAmt1</vt:lpstr>
      <vt:lpstr>PTI_CG_STCG_ShareAmt2</vt:lpstr>
      <vt:lpstr>PTI_CG_STCG_ShareAmt3</vt:lpstr>
      <vt:lpstr>PTI_CG_STCGIncomeAmt1</vt:lpstr>
      <vt:lpstr>PTI_CG_STCGIncomeAmt2</vt:lpstr>
      <vt:lpstr>PTI_CG_STCGIncomeAmt3</vt:lpstr>
      <vt:lpstr>PTI_CG_STCGTDSAmt1</vt:lpstr>
      <vt:lpstr>PTI_CG_STCGTDSAmt2</vt:lpstr>
      <vt:lpstr>PTI_CG_STCGTDSAmt3</vt:lpstr>
      <vt:lpstr>PTI_HP_NetAmt1</vt:lpstr>
      <vt:lpstr>PTI_HP_NetAmt2</vt:lpstr>
      <vt:lpstr>PTI_HP_NetAmt3</vt:lpstr>
      <vt:lpstr>PTI_HP_ShareAmt1</vt:lpstr>
      <vt:lpstr>PTI_HP_ShareAmt2</vt:lpstr>
      <vt:lpstr>PTI_HP_ShareAmt3</vt:lpstr>
      <vt:lpstr>PTI_HPIncomeAmt1</vt:lpstr>
      <vt:lpstr>PTI_HPIncomeAmt2</vt:lpstr>
      <vt:lpstr>PTI_HPIncomeAmt3</vt:lpstr>
      <vt:lpstr>PTI_HPTDSAmt1</vt:lpstr>
      <vt:lpstr>PTI_HPTDSAmt2</vt:lpstr>
      <vt:lpstr>PTI_HPTDSAmt3</vt:lpstr>
      <vt:lpstr>PTI_Investment_UA_UB1</vt:lpstr>
      <vt:lpstr>PTI_Investment_UA_UB2</vt:lpstr>
      <vt:lpstr>PTI_Investment_UA_UB3</vt:lpstr>
      <vt:lpstr>PTI_NameOfBusiness1</vt:lpstr>
      <vt:lpstr>PTI_NameOfBusiness2</vt:lpstr>
      <vt:lpstr>PTI_NameOfBusiness3</vt:lpstr>
      <vt:lpstr>PTI_OS_Dividend_IncomeAmt1</vt:lpstr>
      <vt:lpstr>PTI_OS_Dividend_IncomeAmt2</vt:lpstr>
      <vt:lpstr>PTI_OS_Dividend_IncomeAmt3</vt:lpstr>
      <vt:lpstr>PTI_OS_Dividend_NetAmt1</vt:lpstr>
      <vt:lpstr>PTI_OS_Dividend_NetAmt2</vt:lpstr>
      <vt:lpstr>PTI_OS_Dividend_NetAmt3</vt:lpstr>
      <vt:lpstr>PTI_OS_Dividend_TdsAmt1</vt:lpstr>
      <vt:lpstr>PTI_OS_Dividend_TdsAmt2</vt:lpstr>
      <vt:lpstr>PTI_OS_Dividend_TdsAmt3</vt:lpstr>
      <vt:lpstr>PTI_OS_NetAmt1</vt:lpstr>
      <vt:lpstr>PTI_OS_NetAmt2</vt:lpstr>
      <vt:lpstr>PTI_OS_NetAmt3</vt:lpstr>
      <vt:lpstr>PTI_OS_Others_IncomeAmt1</vt:lpstr>
      <vt:lpstr>PTI_OS_Others_IncomeAmt2</vt:lpstr>
      <vt:lpstr>PTI_OS_Others_IncomeAmt3</vt:lpstr>
      <vt:lpstr>PTI_OS_Others_NetAmt1</vt:lpstr>
      <vt:lpstr>PTI_OS_Others_NetAmt2</vt:lpstr>
      <vt:lpstr>PTI_OS_Others_NetAmt3</vt:lpstr>
      <vt:lpstr>PTI_OS_Others_TdsAmt1</vt:lpstr>
      <vt:lpstr>PTI_OS_Others_TdsAmt2</vt:lpstr>
      <vt:lpstr>PTI_OS_Others_TdsAmt3</vt:lpstr>
      <vt:lpstr>PTI_OS_ShareAmt1</vt:lpstr>
      <vt:lpstr>PTI_OSIncomeAmt1</vt:lpstr>
      <vt:lpstr>PTI_OSIncomeAmt2</vt:lpstr>
      <vt:lpstr>PTI_OSIncomeAmt3</vt:lpstr>
      <vt:lpstr>PTI_OSTDSAmt1</vt:lpstr>
      <vt:lpstr>PTI_OSTDSAmt2</vt:lpstr>
      <vt:lpstr>PTI_OSTDSAmt3</vt:lpstr>
      <vt:lpstr>PTI_PAN1</vt:lpstr>
      <vt:lpstr>PTI_PAN2</vt:lpstr>
      <vt:lpstr>PTI_PAN3</vt:lpstr>
      <vt:lpstr>PTI_Total_NetIncome</vt:lpstr>
      <vt:lpstr>PTI_Us_iv_IncomeAmta1</vt:lpstr>
      <vt:lpstr>PTI_Us_iv_IncomeAmta2</vt:lpstr>
      <vt:lpstr>PTI_Us_iv_IncomeAmta3</vt:lpstr>
      <vt:lpstr>PTI_Us_iv_NetAmta1</vt:lpstr>
      <vt:lpstr>PTI_Us_iv_NetAmta2</vt:lpstr>
      <vt:lpstr>PTI_Us_iv_NetAmta3</vt:lpstr>
      <vt:lpstr>PTI_Us_iv_TdsAmta1</vt:lpstr>
      <vt:lpstr>PTI_Us_iv_TdsAmta2</vt:lpstr>
      <vt:lpstr>PTI_Us_iv_TdsAmta3</vt:lpstr>
      <vt:lpstr>PTI_Us_NetAmta1</vt:lpstr>
      <vt:lpstr>PTI_Us_NetAmta2</vt:lpstr>
      <vt:lpstr>PTI_Us_NetAmta3</vt:lpstr>
      <vt:lpstr>PTI_Us_NetAmtb1</vt:lpstr>
      <vt:lpstr>PTI_Us_NetAmtb2</vt:lpstr>
      <vt:lpstr>PTI_Us_NetAmtb3</vt:lpstr>
      <vt:lpstr>PTI_Us_NetAmtc1</vt:lpstr>
      <vt:lpstr>PTI_Us_NetAmtc2</vt:lpstr>
      <vt:lpstr>PTI_Us_NetAmtc3</vt:lpstr>
      <vt:lpstr>PTI_Usa1</vt:lpstr>
      <vt:lpstr>PTI_Usa2</vt:lpstr>
      <vt:lpstr>PTI_Usa3</vt:lpstr>
      <vt:lpstr>PTI_Usb1</vt:lpstr>
      <vt:lpstr>PTI_Usb2</vt:lpstr>
      <vt:lpstr>PTI_Usb3</vt:lpstr>
      <vt:lpstr>PTI_Usc1</vt:lpstr>
      <vt:lpstr>PTI_Usc2</vt:lpstr>
      <vt:lpstr>PTI_Usc3</vt:lpstr>
      <vt:lpstr>PTI_UsIncomeAmta1</vt:lpstr>
      <vt:lpstr>PTI_UsIncomeAmta2</vt:lpstr>
      <vt:lpstr>PTI_UsIncomeAmta3</vt:lpstr>
      <vt:lpstr>PTI_UsIncomeAmtb1</vt:lpstr>
      <vt:lpstr>PTI_UsIncomeAmtb2</vt:lpstr>
      <vt:lpstr>PTI_UsIncomeAmtb3</vt:lpstr>
      <vt:lpstr>PTI_UsIncomeAmtc1</vt:lpstr>
      <vt:lpstr>PTI_UsIncomeAmtc2</vt:lpstr>
      <vt:lpstr>PTI_UsIncomeAmtc3</vt:lpstr>
      <vt:lpstr>PTI_UsTDSAmta1</vt:lpstr>
      <vt:lpstr>PTI_UsTDSAmta2</vt:lpstr>
      <vt:lpstr>PTI_UsTDSAmta3</vt:lpstr>
      <vt:lpstr>PTI_UsTDSAmtb1</vt:lpstr>
      <vt:lpstr>PTI_UsTDSAmtb2</vt:lpstr>
      <vt:lpstr>PTI_UsTDSAmtb3</vt:lpstr>
      <vt:lpstr>PTI_UsTDSAmtc1</vt:lpstr>
      <vt:lpstr>PTI_UsTDSAmtc2</vt:lpstr>
      <vt:lpstr>PTI_UsTDSAmtc3</vt:lpstr>
      <vt:lpstr>Ptirptfrm.size</vt:lpstr>
      <vt:lpstr>Ptirptfrm1</vt:lpstr>
      <vt:lpstr>Ptirptfrm2</vt:lpstr>
      <vt:lpstr>Ptirptfrm3</vt:lpstr>
      <vt:lpstr>pwd</vt:lpstr>
      <vt:lpstr>QD_A</vt:lpstr>
      <vt:lpstr>QD_B</vt:lpstr>
      <vt:lpstr>QD_C</vt:lpstr>
      <vt:lpstr>QDFinishrByProd.AnyShortExces</vt:lpstr>
      <vt:lpstr>QDFinishrByProd.ClgStock</vt:lpstr>
      <vt:lpstr>QDFinishrByProd.ItemName</vt:lpstr>
      <vt:lpstr>QDFinishrByProd.OpeningStock</vt:lpstr>
      <vt:lpstr>QDFinishrByProd.PrevYrConsum</vt:lpstr>
      <vt:lpstr>QDFinishrByProd.PurchaseQty</vt:lpstr>
      <vt:lpstr>QDFinishrByProd.SaleQty</vt:lpstr>
      <vt:lpstr>QDFinishrByProd.UnitOfMeasure</vt:lpstr>
      <vt:lpstr>QDRawMaterial.AnyShortExces</vt:lpstr>
      <vt:lpstr>QDRawMaterial.ClgStock</vt:lpstr>
      <vt:lpstr>QDRawMaterial.ItemName</vt:lpstr>
      <vt:lpstr>QDRawMaterial.OpeningStock</vt:lpstr>
      <vt:lpstr>QDRawMaterial.PercentYld</vt:lpstr>
      <vt:lpstr>QDRawMaterial.PrevYrConsum</vt:lpstr>
      <vt:lpstr>QDRawMaterial.PurchaseQty</vt:lpstr>
      <vt:lpstr>QDRawMaterial.SaleQty</vt:lpstr>
      <vt:lpstr>QDRawMaterial.UnitOfMeasure</vt:lpstr>
      <vt:lpstr>QDRawMaterial.yldFinisProd</vt:lpstr>
      <vt:lpstr>QDTradingConcern.AnyShortExces</vt:lpstr>
      <vt:lpstr>QDTradingConcern.ClgStock</vt:lpstr>
      <vt:lpstr>QDTradingConcern.ItemName</vt:lpstr>
      <vt:lpstr>QDTradingConcern.OpeningStock</vt:lpstr>
      <vt:lpstr>QDTradingConcern.PurchaseQty</vt:lpstr>
      <vt:lpstr>QDTradingConcern.SaleQty</vt:lpstr>
      <vt:lpstr>QDTradingConcern.UnitOfMeasure</vt:lpstr>
      <vt:lpstr>Qtr_1</vt:lpstr>
      <vt:lpstr>Qtr_2</vt:lpstr>
      <vt:lpstr>Qtr_3</vt:lpstr>
      <vt:lpstr>Qtr_4</vt:lpstr>
      <vt:lpstr>Qtr_5</vt:lpstr>
      <vt:lpstr>QualifyingAmount80G</vt:lpstr>
      <vt:lpstr>qualifyingLimit</vt:lpstr>
      <vt:lpstr>Raw_Material</vt:lpstr>
      <vt:lpstr>RealizationTotalPeriod</vt:lpstr>
      <vt:lpstr>RebateOnAgrIncm</vt:lpstr>
      <vt:lpstr>RelevantClause_80GGA1</vt:lpstr>
      <vt:lpstr>RelevantClauseClaimed_80GGANew</vt:lpstr>
      <vt:lpstr>RentDTAA</vt:lpstr>
      <vt:lpstr>RES_Dropdown</vt:lpstr>
      <vt:lpstr>Resident_Button</vt:lpstr>
      <vt:lpstr>Residentialstatuscheck</vt:lpstr>
      <vt:lpstr>residue</vt:lpstr>
      <vt:lpstr>residue50Perc</vt:lpstr>
      <vt:lpstr>ResiStatus</vt:lpstr>
      <vt:lpstr>resStatus</vt:lpstr>
      <vt:lpstr>ReturnFileUnderSection</vt:lpstr>
      <vt:lpstr>ReturnFileUnderSection1</vt:lpstr>
      <vt:lpstr>ReturnFileUnderSection2</vt:lpstr>
      <vt:lpstr>rh.BFAllUs35Cl4Setoff_DTAARates</vt:lpstr>
      <vt:lpstr>rh.BFAllUs35Cl4Setoff6</vt:lpstr>
      <vt:lpstr>rh.BFlossPrevYrUndSameHeadSetoff_DTAARates</vt:lpstr>
      <vt:lpstr>rh.BFlossPrevYrUndSameHeadSetoff6</vt:lpstr>
      <vt:lpstr>rh.BFUnabsorbedDeprSetoff_DTAARates</vt:lpstr>
      <vt:lpstr>rh.BFUnabsorbedDeprSetoff6</vt:lpstr>
      <vt:lpstr>rh.BusLossSetoff4</vt:lpstr>
      <vt:lpstr>rh.BusLossSetoff4_DTAARates</vt:lpstr>
      <vt:lpstr>rh.HPlossCurYrSetoff4</vt:lpstr>
      <vt:lpstr>rh.HPlossCurYrSetoff4_DTAARates</vt:lpstr>
      <vt:lpstr>rh.IncOfCurYrAfterSetOff4</vt:lpstr>
      <vt:lpstr>rh.IncOfCurYrAfterSetOff4_DTAARates</vt:lpstr>
      <vt:lpstr>rh.IncOfCurYrAfterSetOffBFLosses_DTAARates</vt:lpstr>
      <vt:lpstr>rh.IncOfCurYrAfterSetOffBFLosses6</vt:lpstr>
      <vt:lpstr>rh.IncOfCurYrUnderThatHead4</vt:lpstr>
      <vt:lpstr>rh.IncOfCurYrUnderThatHead4_DTAARates</vt:lpstr>
      <vt:lpstr>rh.IncOfCurYrUndHeadFromCYLA_DTAARates</vt:lpstr>
      <vt:lpstr>rh.IncOfCurYrUndHeadFromCYLA6</vt:lpstr>
      <vt:lpstr>rh.OthSrcLossNoRaceHorseSetoff4</vt:lpstr>
      <vt:lpstr>rh.OthSrcLossNoRaceHorseSetoff4_DTAARates</vt:lpstr>
      <vt:lpstr>RngBacNo</vt:lpstr>
      <vt:lpstr>RngBacYes</vt:lpstr>
      <vt:lpstr>RngNone</vt:lpstr>
      <vt:lpstr>RoundDown_Value_frm_AMT</vt:lpstr>
      <vt:lpstr>S5A_AadhaarOfSpouse</vt:lpstr>
      <vt:lpstr>S5A_AmtTDSDeductedBP</vt:lpstr>
      <vt:lpstr>S5A_AmtTDSDeductedCG</vt:lpstr>
      <vt:lpstr>S5A_AmtTDSDeductedHP</vt:lpstr>
      <vt:lpstr>S5A_AmtTDSDeductedOS</vt:lpstr>
      <vt:lpstr>S5A_AmtTDSDeductedTotal</vt:lpstr>
      <vt:lpstr>S5A_BusHeadIncome</vt:lpstr>
      <vt:lpstr>S5A_CapGainHeadIncome</vt:lpstr>
      <vt:lpstr>S5A_HPHeadIncome</vt:lpstr>
      <vt:lpstr>S5A_IncRecvdUndHeadBP</vt:lpstr>
      <vt:lpstr>S5A_IncRecvdUndHeadCG</vt:lpstr>
      <vt:lpstr>S5A_IncRecvdUndHeadHP</vt:lpstr>
      <vt:lpstr>S5A_IncRecvdUndHeadOS</vt:lpstr>
      <vt:lpstr>S5A_IncRecvdUndHeadTotal</vt:lpstr>
      <vt:lpstr>S5A_NameOfSpouse</vt:lpstr>
      <vt:lpstr>S5A_OtherSourcesHeadIncome</vt:lpstr>
      <vt:lpstr>S5A_PANOfSpouse</vt:lpstr>
      <vt:lpstr>S5A_TDSApprndOfSpouseBP</vt:lpstr>
      <vt:lpstr>S5A_TDSApprndOfSpouseCG</vt:lpstr>
      <vt:lpstr>S5A_TDSApprndOfSpouseHP</vt:lpstr>
      <vt:lpstr>S5A_TDSApprndOfSpouseOS</vt:lpstr>
      <vt:lpstr>S5A_TDSApprndOfSpouseTotal</vt:lpstr>
      <vt:lpstr>S5A_TotalHeadIncome</vt:lpstr>
      <vt:lpstr>S5AR</vt:lpstr>
      <vt:lpstr>SAL.AddrDetail1</vt:lpstr>
      <vt:lpstr>SAL.AddrDetail2</vt:lpstr>
      <vt:lpstr>SAL.AllowancesNotExempt1</vt:lpstr>
      <vt:lpstr>SAL.AllowancesNotExempt2</vt:lpstr>
      <vt:lpstr>SAL.CityOrTownOrDistrict1</vt:lpstr>
      <vt:lpstr>SAL.CityOrTownOrDistrict2</vt:lpstr>
      <vt:lpstr>SAL.Deduction1</vt:lpstr>
      <vt:lpstr>SAL.DeductionUnder6Section1</vt:lpstr>
      <vt:lpstr>SAL.DeductionUnderSection1</vt:lpstr>
      <vt:lpstr>SAL.Entertainment_allowance_1</vt:lpstr>
      <vt:lpstr>SAL.ExemptUSectionOth1</vt:lpstr>
      <vt:lpstr>SAL.IncomeFromSalary1</vt:lpstr>
      <vt:lpstr>SAL.NameOfEmployer1</vt:lpstr>
      <vt:lpstr>SAL.NameOfEmployer2</vt:lpstr>
      <vt:lpstr>SAL.Netsalary1</vt:lpstr>
      <vt:lpstr>SAL.PANofEmployer1</vt:lpstr>
      <vt:lpstr>SAL.PANofEmployer2</vt:lpstr>
      <vt:lpstr>SAL.PinCode1</vt:lpstr>
      <vt:lpstr>SAL.PinCode2</vt:lpstr>
      <vt:lpstr>SAL.ProfitsinLieuOfSalary1</vt:lpstr>
      <vt:lpstr>SAL.ProfitsinLieuOfSalary2</vt:lpstr>
      <vt:lpstr>SAL.Salary1</vt:lpstr>
      <vt:lpstr>SAL.Salary1_Temp</vt:lpstr>
      <vt:lpstr>SAL.Salary2</vt:lpstr>
      <vt:lpstr>SAL.StateCode1</vt:lpstr>
      <vt:lpstr>SAL.StateCode2</vt:lpstr>
      <vt:lpstr>SAL.TotalGrossSalary</vt:lpstr>
      <vt:lpstr>SAL.TotESOP</vt:lpstr>
      <vt:lpstr>SAL.TotIncUnderHeadSalaries1</vt:lpstr>
      <vt:lpstr>SAL.ValueOfPerquisites1</vt:lpstr>
      <vt:lpstr>SAL.ValueOfPerquisites2</vt:lpstr>
      <vt:lpstr>SAL.ValueOfPerquisitesA1</vt:lpstr>
      <vt:lpstr>SAL.ValueOfPerquisitesA2</vt:lpstr>
      <vt:lpstr>SAL.ZipCode1</vt:lpstr>
      <vt:lpstr>SAL.ZipCode2</vt:lpstr>
      <vt:lpstr>Salary.Amount1</vt:lpstr>
      <vt:lpstr>Salary.Description1</vt:lpstr>
      <vt:lpstr>salary.HPlossCurYrSetoff1</vt:lpstr>
      <vt:lpstr>salary.IncOfCurYrAfterSetOff1</vt:lpstr>
      <vt:lpstr>salary.IncOfCurYrAfterSetOffBFLosses</vt:lpstr>
      <vt:lpstr>salary.IncOfCurYrUnderThatHead1</vt:lpstr>
      <vt:lpstr>salary.IncOfCurYrUndHeadFromCYLA</vt:lpstr>
      <vt:lpstr>Salary.Nature1</vt:lpstr>
      <vt:lpstr>Salary.OthersAllowance</vt:lpstr>
      <vt:lpstr>Salary.OthersAllowance1</vt:lpstr>
      <vt:lpstr>Salary.OthersAllowance1XCS</vt:lpstr>
      <vt:lpstr>Salary.OthersAllowanceXCS</vt:lpstr>
      <vt:lpstr>salary.OthSrcLossNoRaceHorseSetoff1</vt:lpstr>
      <vt:lpstr>Salary.ProfitAmount1</vt:lpstr>
      <vt:lpstr>Salary.ProfitAmount2</vt:lpstr>
      <vt:lpstr>Salary.ProfitDescription1</vt:lpstr>
      <vt:lpstr>Salary.ProfitDescription2</vt:lpstr>
      <vt:lpstr>Salary.ProfitSection1</vt:lpstr>
      <vt:lpstr>Salary.ProfitSection2</vt:lpstr>
      <vt:lpstr>Salary.SalaryAmount1</vt:lpstr>
      <vt:lpstr>Salary.SalaryAmount2</vt:lpstr>
      <vt:lpstr>Salary.salaryDescription1</vt:lpstr>
      <vt:lpstr>Salary.salaryDescription2</vt:lpstr>
      <vt:lpstr>Salary.Section1</vt:lpstr>
      <vt:lpstr>Salary.Section2</vt:lpstr>
      <vt:lpstr>Salary.ValueAmount1</vt:lpstr>
      <vt:lpstr>Salary.ValueAmount2</vt:lpstr>
      <vt:lpstr>Salary.ValueDescription1</vt:lpstr>
      <vt:lpstr>Salary.ValueDescription2</vt:lpstr>
      <vt:lpstr>Salary.ValueSection1</vt:lpstr>
      <vt:lpstr>Salary.ValueSection2</vt:lpstr>
      <vt:lpstr>Salaryded</vt:lpstr>
      <vt:lpstr>salarydropdown1</vt:lpstr>
      <vt:lpstr>salarydropdown2</vt:lpstr>
      <vt:lpstr>salarydropdown3</vt:lpstr>
      <vt:lpstr>salaryincome.bf</vt:lpstr>
      <vt:lpstr>salaryincome.bp</vt:lpstr>
      <vt:lpstr>salaryincome.hp</vt:lpstr>
      <vt:lpstr>salaryincome.os</vt:lpstr>
      <vt:lpstr>salaryloss.bf</vt:lpstr>
      <vt:lpstr>SalarySectionCount</vt:lpstr>
      <vt:lpstr>SalarySectionItem</vt:lpstr>
      <vt:lpstr>SalePriceperShare_112A</vt:lpstr>
      <vt:lpstr>SalePriceperShare_115AD</vt:lpstr>
      <vt:lpstr>salrptfrm1</vt:lpstr>
      <vt:lpstr>salrptfrm2</vt:lpstr>
      <vt:lpstr>SCH_80A</vt:lpstr>
      <vt:lpstr>SCH_80B</vt:lpstr>
      <vt:lpstr>SCH_80C</vt:lpstr>
      <vt:lpstr>SCH_80D</vt:lpstr>
      <vt:lpstr>SCH_HP</vt:lpstr>
      <vt:lpstr>SCH_IF</vt:lpstr>
      <vt:lpstr>SCH_IT</vt:lpstr>
      <vt:lpstr>SCH_S</vt:lpstr>
      <vt:lpstr>SCH_SI</vt:lpstr>
      <vt:lpstr>SCH_SPI</vt:lpstr>
      <vt:lpstr>SCH_TCS</vt:lpstr>
      <vt:lpstr>SCH_TDS1</vt:lpstr>
      <vt:lpstr>SCH_TDS2</vt:lpstr>
      <vt:lpstr>SCH_TDS3</vt:lpstr>
      <vt:lpstr>SchAL.A.Address_Area</vt:lpstr>
      <vt:lpstr>SchAL.A.Address_City</vt:lpstr>
      <vt:lpstr>SchAL.A.Address_Country</vt:lpstr>
      <vt:lpstr>SchAL.A.Address_Flat</vt:lpstr>
      <vt:lpstr>SchAL.A.Address_Pin</vt:lpstr>
      <vt:lpstr>SchAL.A.Address_Road</vt:lpstr>
      <vt:lpstr>SchAL.A.Address_State</vt:lpstr>
      <vt:lpstr>SchAL.A.Address_Village</vt:lpstr>
      <vt:lpstr>SchAL.A.Address_Zip</vt:lpstr>
      <vt:lpstr>SchAL.A.Amount</vt:lpstr>
      <vt:lpstr>SchAL.A.Description</vt:lpstr>
      <vt:lpstr>SchAL.B.Art</vt:lpstr>
      <vt:lpstr>SchAL.B.Bank</vt:lpstr>
      <vt:lpstr>SchAL.B.Cash</vt:lpstr>
      <vt:lpstr>SchAL.B.Insurance</vt:lpstr>
      <vt:lpstr>SchAL.B.Jwellery</vt:lpstr>
      <vt:lpstr>SchAL.B.Loans</vt:lpstr>
      <vt:lpstr>SchAL.B.Share</vt:lpstr>
      <vt:lpstr>SchAL.B.Vehicles</vt:lpstr>
      <vt:lpstr>SchAL.Button1</vt:lpstr>
      <vt:lpstr>SchAL.Button3</vt:lpstr>
      <vt:lpstr>SchAL.C.Address_Area</vt:lpstr>
      <vt:lpstr>SchAL.C.Address_City</vt:lpstr>
      <vt:lpstr>SchAL.C.Address_Country</vt:lpstr>
      <vt:lpstr>SchAL.C.Address_Flat</vt:lpstr>
      <vt:lpstr>SchAL.C.Address_Pin</vt:lpstr>
      <vt:lpstr>SchAL.C.Address_Road</vt:lpstr>
      <vt:lpstr>SchAL.C.Address_State</vt:lpstr>
      <vt:lpstr>SchAL.C.Address_Village</vt:lpstr>
      <vt:lpstr>SchAL.C.Address_Zip</vt:lpstr>
      <vt:lpstr>SchAL.C.Investment</vt:lpstr>
      <vt:lpstr>SchAL.C.Name</vt:lpstr>
      <vt:lpstr>SchAL.C.PAN</vt:lpstr>
      <vt:lpstr>SchAL.Liability</vt:lpstr>
      <vt:lpstr>SchBA.AccntBalance</vt:lpstr>
      <vt:lpstr>SchBA.AcntNo</vt:lpstr>
      <vt:lpstr>SchBA.AcntStatus</vt:lpstr>
      <vt:lpstr>SchBA.BankName</vt:lpstr>
      <vt:lpstr>SchBA.IFSC</vt:lpstr>
      <vt:lpstr>SchBA.JointHoderName</vt:lpstr>
      <vt:lpstr>SchButton.act</vt:lpstr>
      <vt:lpstr>ScheduleEI_Button1</vt:lpstr>
      <vt:lpstr>ScheduleEI_Button2</vt:lpstr>
      <vt:lpstr>ScheduleEI_Button3</vt:lpstr>
      <vt:lpstr>SchEI_AgriculturalLand</vt:lpstr>
      <vt:lpstr>SCHEI_DTAA_AmountOfIncome</vt:lpstr>
      <vt:lpstr>SCHEI_DTAA_Article</vt:lpstr>
      <vt:lpstr>SCHEI_DTAA_CountryCode</vt:lpstr>
      <vt:lpstr>SCHEI_DTAA_HeadOfIncome</vt:lpstr>
      <vt:lpstr>SCHEI_DTAA_NatureOfIncome</vt:lpstr>
      <vt:lpstr>SchEI_IrrigatedOrRainFed</vt:lpstr>
      <vt:lpstr>SchEI_OwedOrLease</vt:lpstr>
      <vt:lpstr>SCHEI_Pass_Through_Income</vt:lpstr>
      <vt:lpstr>SchEI_Pincode</vt:lpstr>
      <vt:lpstr>SchEI_TotalIncomeDTAA</vt:lpstr>
      <vt:lpstr>SCHEI_TRCObtained</vt:lpstr>
      <vt:lpstr>SchFA_Nature</vt:lpstr>
      <vt:lpstr>scvia.Section80C</vt:lpstr>
      <vt:lpstr>scvia.Section80C_Calc</vt:lpstr>
      <vt:lpstr>scvia.Section80CCC</vt:lpstr>
      <vt:lpstr>scvia.Section80CCC_Calc</vt:lpstr>
      <vt:lpstr>scvia.Section80CCD</vt:lpstr>
      <vt:lpstr>scvia.Section80CCD_Calc</vt:lpstr>
      <vt:lpstr>scvia.Section80CCD_SE</vt:lpstr>
      <vt:lpstr>scvia.Section80CCD_SE_Calc</vt:lpstr>
      <vt:lpstr>scvia.Section80CCD1B_SE</vt:lpstr>
      <vt:lpstr>scvia.Section80CCD1B_SE_Calc</vt:lpstr>
      <vt:lpstr>scvia.Section80CCG</vt:lpstr>
      <vt:lpstr>scvia.Section80CCG_Calc</vt:lpstr>
      <vt:lpstr>scvia.Section80D</vt:lpstr>
      <vt:lpstr>scvia.Section80D_Calc</vt:lpstr>
      <vt:lpstr>scvia.Section80DD</vt:lpstr>
      <vt:lpstr>scvia.Section80DD_Calc</vt:lpstr>
      <vt:lpstr>scvia.Section80DDB</vt:lpstr>
      <vt:lpstr>scvia.Section80DDB_Calc</vt:lpstr>
      <vt:lpstr>scvia.Section80DValue</vt:lpstr>
      <vt:lpstr>scvia.Section80DValue_Calc</vt:lpstr>
      <vt:lpstr>scvia.Section80E</vt:lpstr>
      <vt:lpstr>scvia.Section80E_Calc</vt:lpstr>
      <vt:lpstr>scvia.Section80EE</vt:lpstr>
      <vt:lpstr>scvia.Section80EE_Calc</vt:lpstr>
      <vt:lpstr>scvia.Section80EEA</vt:lpstr>
      <vt:lpstr>scvia.Section80EEA_Calc</vt:lpstr>
      <vt:lpstr>scvia.Section80EEB</vt:lpstr>
      <vt:lpstr>scvia.Section80EEB_Calc</vt:lpstr>
      <vt:lpstr>scvia.Section80G</vt:lpstr>
      <vt:lpstr>scvia.Section80G_Calc</vt:lpstr>
      <vt:lpstr>scvia.Section80GG</vt:lpstr>
      <vt:lpstr>scvia.Section80GG_Calc</vt:lpstr>
      <vt:lpstr>scvia.Section80GG_CalcNew</vt:lpstr>
      <vt:lpstr>scvia.Section80GGC</vt:lpstr>
      <vt:lpstr>scvia.Section80GGC_Calc</vt:lpstr>
      <vt:lpstr>scvia.Section80GGNew</vt:lpstr>
      <vt:lpstr>scvia.Section80IA</vt:lpstr>
      <vt:lpstr>scvia.Section80IA_Calc</vt:lpstr>
      <vt:lpstr>scvia.Section80IAB</vt:lpstr>
      <vt:lpstr>scvia.Section80IAB_Calc</vt:lpstr>
      <vt:lpstr>scvia.Section80IB</vt:lpstr>
      <vt:lpstr>scvia.Section80IB_Calc</vt:lpstr>
      <vt:lpstr>scvia.Section80IBA</vt:lpstr>
      <vt:lpstr>scvia.Section80IBA_Calc</vt:lpstr>
      <vt:lpstr>scvia.Section80IC</vt:lpstr>
      <vt:lpstr>scvia.Section80IC_Calc</vt:lpstr>
      <vt:lpstr>scvia.Section80ID</vt:lpstr>
      <vt:lpstr>scvia.Section80ID_Calc</vt:lpstr>
      <vt:lpstr>scvia.Section80JJA</vt:lpstr>
      <vt:lpstr>scvia.Section80JJA_Calc</vt:lpstr>
      <vt:lpstr>scvia.Section80JJAA</vt:lpstr>
      <vt:lpstr>scvia.Section80JJAA_Calc</vt:lpstr>
      <vt:lpstr>scvia.Section80QQB</vt:lpstr>
      <vt:lpstr>scvia.Section80QQB_Calc</vt:lpstr>
      <vt:lpstr>scvia.Section80RRB</vt:lpstr>
      <vt:lpstr>scvia.Section80RRB_Calc</vt:lpstr>
      <vt:lpstr>scvia.Section80TTA</vt:lpstr>
      <vt:lpstr>scvia.Section80TTA_Calc</vt:lpstr>
      <vt:lpstr>scvia.Section80TTB</vt:lpstr>
      <vt:lpstr>scvia.Section80TTB_Calc</vt:lpstr>
      <vt:lpstr>scvia.Section80U</vt:lpstr>
      <vt:lpstr>scvia.Section80U_Calc</vt:lpstr>
      <vt:lpstr>scvia.TotalChapVIADeductions</vt:lpstr>
      <vt:lpstr>scvia.TotPartBchapterVIA</vt:lpstr>
      <vt:lpstr>scvia.TotPartBchapterVIA_Calc</vt:lpstr>
      <vt:lpstr>scvia.TotPartCAandDchapterVIA</vt:lpstr>
      <vt:lpstr>scvia.TotPartCAandDchapterVIA_Calc</vt:lpstr>
      <vt:lpstr>scvia.TotPartCchapterVIA</vt:lpstr>
      <vt:lpstr>scvia.TotPartCchapterVIA_Calc</vt:lpstr>
      <vt:lpstr>scvia.UsrTotalChapVIADeductions</vt:lpstr>
      <vt:lpstr>Sec44AD.NOBCode</vt:lpstr>
      <vt:lpstr>Sec44AD.NOBCode1</vt:lpstr>
      <vt:lpstr>Sec44AD.NOBCode2</vt:lpstr>
      <vt:lpstr>Sec44AD.NOBDescription</vt:lpstr>
      <vt:lpstr>Sec44AD.NOBDescription1</vt:lpstr>
      <vt:lpstr>Sec44AD.NOBDescription2</vt:lpstr>
      <vt:lpstr>Sec44AD.NOBName</vt:lpstr>
      <vt:lpstr>Sec44AD.NOBName1</vt:lpstr>
      <vt:lpstr>Sec44AD.NOBName2</vt:lpstr>
      <vt:lpstr>Sec44AE.OLH</vt:lpstr>
      <vt:lpstr>Sec44AE.RegNo</vt:lpstr>
      <vt:lpstr>Sec44AE.TonnageCpct</vt:lpstr>
      <vt:lpstr>Sec56DTAA</vt:lpstr>
      <vt:lpstr>Sec80DDBref</vt:lpstr>
      <vt:lpstr>Sec80DDref</vt:lpstr>
      <vt:lpstr>Sec80Uref</vt:lpstr>
      <vt:lpstr>Section_AmountLtcgB10</vt:lpstr>
      <vt:lpstr>Section_AmountLtcgB9</vt:lpstr>
      <vt:lpstr>Section_AmountStcgA8</vt:lpstr>
      <vt:lpstr>Section_code</vt:lpstr>
      <vt:lpstr>Section_CodeSLtcgB10</vt:lpstr>
      <vt:lpstr>Section_CodeSLtcgB9</vt:lpstr>
      <vt:lpstr>Section_CodeStcgA8</vt:lpstr>
      <vt:lpstr>Section_LTCGbreakup</vt:lpstr>
      <vt:lpstr>Section_STCGbreakup</vt:lpstr>
      <vt:lpstr>section234A</vt:lpstr>
      <vt:lpstr>Section80DD</vt:lpstr>
      <vt:lpstr>Section80DDB</vt:lpstr>
      <vt:lpstr>Section80U</vt:lpstr>
      <vt:lpstr>SectionAmountDtaaOS</vt:lpstr>
      <vt:lpstr>SectionAmountPTIOS</vt:lpstr>
      <vt:lpstr>Select</vt:lpstr>
      <vt:lpstr>Select1</vt:lpstr>
      <vt:lpstr>SELECT80D</vt:lpstr>
      <vt:lpstr>SELECT80DB</vt:lpstr>
      <vt:lpstr>SELECT80DC</vt:lpstr>
      <vt:lpstr>SELECT80DD</vt:lpstr>
      <vt:lpstr>SELECT80DDB</vt:lpstr>
      <vt:lpstr>SELECT80U</vt:lpstr>
      <vt:lpstr>Selection80D</vt:lpstr>
      <vt:lpstr>Selection80D_B</vt:lpstr>
      <vt:lpstr>Selection80D_C</vt:lpstr>
      <vt:lpstr>Self_And_Family_80D</vt:lpstr>
      <vt:lpstr>Senior_Citizen_80D</vt:lpstr>
      <vt:lpstr>SEZA10.AssmtYrUnit</vt:lpstr>
      <vt:lpstr>SEZA10.DedFromUndertaking</vt:lpstr>
      <vt:lpstr>SEZA10.TotalDedUs10Sub</vt:lpstr>
      <vt:lpstr>Share_Acquired_Cost</vt:lpstr>
      <vt:lpstr>Share_Acquired_Count</vt:lpstr>
      <vt:lpstr>Share_Acquired_Date</vt:lpstr>
      <vt:lpstr>Share_Acquired_FaceValue</vt:lpstr>
      <vt:lpstr>Share_Acquired_Issue</vt:lpstr>
      <vt:lpstr>Share_CB_Cost</vt:lpstr>
      <vt:lpstr>Share_CB_Count</vt:lpstr>
      <vt:lpstr>Share_NameofCompany</vt:lpstr>
      <vt:lpstr>Share_OP_Cost</vt:lpstr>
      <vt:lpstr>Share_OP_Count</vt:lpstr>
      <vt:lpstr>Share_PAN</vt:lpstr>
      <vt:lpstr>Share_Transferred_Count</vt:lpstr>
      <vt:lpstr>Share_Transferred_Sale</vt:lpstr>
      <vt:lpstr>Share_TypeofCompany</vt:lpstr>
      <vt:lpstr>ShareAcq_112A</vt:lpstr>
      <vt:lpstr>ShareAcq_115AD_1</vt:lpstr>
      <vt:lpstr>shee6.NonComp40aiiChapXVIIBAmt</vt:lpstr>
      <vt:lpstr>Sheet.Code3</vt:lpstr>
      <vt:lpstr>sheet.EmployerCategory1</vt:lpstr>
      <vt:lpstr>sheet.EmployerCategory2</vt:lpstr>
      <vt:lpstr>Sheet1.115H</vt:lpstr>
      <vt:lpstr>sheet1.adhaarenrol</vt:lpstr>
      <vt:lpstr>sheet1.adhaarflag</vt:lpstr>
      <vt:lpstr>sheet1.adhaarno</vt:lpstr>
      <vt:lpstr>Sheet1.AggrigateAmount</vt:lpstr>
      <vt:lpstr>Sheet1.AggrigateAmount1</vt:lpstr>
      <vt:lpstr>Sheet1.AggrigateAmountFlag</vt:lpstr>
      <vt:lpstr>Sheet1.AggrigateAmountFlag1</vt:lpstr>
      <vt:lpstr>sheet1.AsseseeRepFlg</vt:lpstr>
      <vt:lpstr>sheet1.AudFrmAadhaar</vt:lpstr>
      <vt:lpstr>sheet1.AudFrmName</vt:lpstr>
      <vt:lpstr>sheet1.AudFrmPAN</vt:lpstr>
      <vt:lpstr>sheet1.AudFrmRegNo</vt:lpstr>
      <vt:lpstr>sheet1.AuditAccountantFlg</vt:lpstr>
      <vt:lpstr>sheet1.AuditDate</vt:lpstr>
      <vt:lpstr>sheet1.AuditDateSec92E</vt:lpstr>
      <vt:lpstr>sheet1.AuditedSection</vt:lpstr>
      <vt:lpstr>sheet1.AuditorMemNo</vt:lpstr>
      <vt:lpstr>sheet1.AuditorName</vt:lpstr>
      <vt:lpstr>sheet1.AuditReportFurnishDate</vt:lpstr>
      <vt:lpstr>sheet1.AuditYN</vt:lpstr>
      <vt:lpstr>sheet1.capacityassessee</vt:lpstr>
      <vt:lpstr>sheet1.CityOrTownOrDistrict</vt:lpstr>
      <vt:lpstr>Sheet1.CompanyName</vt:lpstr>
      <vt:lpstr>Sheet1.CompanyType</vt:lpstr>
      <vt:lpstr>Sheet1.CompPAN</vt:lpstr>
      <vt:lpstr>sheet1.CountryCode</vt:lpstr>
      <vt:lpstr>sheet1.DateOfAudit</vt:lpstr>
      <vt:lpstr>Sheet1.DepositAmount</vt:lpstr>
      <vt:lpstr>Sheet1.DepositAmountFlag</vt:lpstr>
      <vt:lpstr>Sheet1.DIN</vt:lpstr>
      <vt:lpstr>sheet1.DOB</vt:lpstr>
      <vt:lpstr>sheet1.DOC</vt:lpstr>
      <vt:lpstr>sheet1.EmailAddress</vt:lpstr>
      <vt:lpstr>sheet1.EmailAddressSec</vt:lpstr>
      <vt:lpstr>Sheet1.FirmPAN</vt:lpstr>
      <vt:lpstr>sheet1.FirstName</vt:lpstr>
      <vt:lpstr>sheet1.Foreign_Exchange</vt:lpstr>
      <vt:lpstr>sheet1.Gender1</vt:lpstr>
      <vt:lpstr>sheet1.LiableSec44AAflg</vt:lpstr>
      <vt:lpstr>sheet1.LiableSec44ABflg</vt:lpstr>
      <vt:lpstr>sheet1.LiableSec44AEflg</vt:lpstr>
      <vt:lpstr>sheet1.LiableSec5cflg</vt:lpstr>
      <vt:lpstr>sheet1.LiableSec92Eflg</vt:lpstr>
      <vt:lpstr>sheet1.LiableSec92Eflgdia</vt:lpstr>
      <vt:lpstr>sheet1.LiableSecAggrigate1flg</vt:lpstr>
      <vt:lpstr>sheet1.LiableSecAggrigateflg</vt:lpstr>
      <vt:lpstr>sheet1.LocalityOrArea</vt:lpstr>
      <vt:lpstr>sheet1.MiddleName</vt:lpstr>
      <vt:lpstr>sheet1.MobileNo</vt:lpstr>
      <vt:lpstr>sheet1.MobileNoSec</vt:lpstr>
      <vt:lpstr>Sheet1.NameOfFirm</vt:lpstr>
      <vt:lpstr>sheet1.NoticeDate</vt:lpstr>
      <vt:lpstr>sheet1.NRI_PE</vt:lpstr>
      <vt:lpstr>sheet1.NRI_SEP</vt:lpstr>
      <vt:lpstr>sheet1.NRI_SEP_AggrPayment</vt:lpstr>
      <vt:lpstr>sheet1.NRI_SEP_Usr</vt:lpstr>
      <vt:lpstr>sheet1.OrigRetFiledDate</vt:lpstr>
      <vt:lpstr>sheet1.PAN</vt:lpstr>
      <vt:lpstr>sheet1.PassportNo</vt:lpstr>
      <vt:lpstr>sheet1.PhoneNo</vt:lpstr>
      <vt:lpstr>sheet1.PinCode</vt:lpstr>
      <vt:lpstr>sheet1.PortugeseCC5A</vt:lpstr>
      <vt:lpstr>sheet1.ReceiptNo</vt:lpstr>
      <vt:lpstr>sheet1.RepAadhar</vt:lpstr>
      <vt:lpstr>sheet1.RepAddress</vt:lpstr>
      <vt:lpstr>sheet1.RepCapacity</vt:lpstr>
      <vt:lpstr>sheet1.RepName</vt:lpstr>
      <vt:lpstr>sheet1.RepPAN</vt:lpstr>
      <vt:lpstr>sheet1.ResidenceName</vt:lpstr>
      <vt:lpstr>sheet1.ResidenceNo</vt:lpstr>
      <vt:lpstr>sheet1.ResidentialStatus1</vt:lpstr>
      <vt:lpstr>sheet1.ResidentialStatus1_Condition</vt:lpstr>
      <vt:lpstr>sheet1.ReturnFileSec</vt:lpstr>
      <vt:lpstr>sheet1.ReturnFileSec1</vt:lpstr>
      <vt:lpstr>sheet1.RoadOrStreet</vt:lpstr>
      <vt:lpstr>sheet1.SeventhProvisoFlag</vt:lpstr>
      <vt:lpstr>Sheet1.Shares</vt:lpstr>
      <vt:lpstr>sheet1.StateCode1</vt:lpstr>
      <vt:lpstr>sheet1.Status</vt:lpstr>
      <vt:lpstr>sheet1.STDcode</vt:lpstr>
      <vt:lpstr>sheet1.SurNameOrOrgName</vt:lpstr>
      <vt:lpstr>Sheet1.UniqueNo</vt:lpstr>
      <vt:lpstr>sheet1.ZipCode</vt:lpstr>
      <vt:lpstr>sheet10.Inc115BBF</vt:lpstr>
      <vt:lpstr>sheet10.Inc115BBG</vt:lpstr>
      <vt:lpstr>sheet10.IncRecCredPLOthHeads1</vt:lpstr>
      <vt:lpstr>sheet10.IncRecCredPLOthHeads2</vt:lpstr>
      <vt:lpstr>sheet10.IncRecCredPLOthHeads3</vt:lpstr>
      <vt:lpstr>sheet10.IncRecCredPLOthHeads4</vt:lpstr>
      <vt:lpstr>sheet10.IncRecCredPLOthHeads4Div</vt:lpstr>
      <vt:lpstr>sheet10.IncRecCredPLOthHeads4OthDiv</vt:lpstr>
      <vt:lpstr>sheet10.NetPLFromSpecBus</vt:lpstr>
      <vt:lpstr>sheet10.NetPLFromSpecifiedBus</vt:lpstr>
      <vt:lpstr>sheet10.PLUs44sChapXIIG</vt:lpstr>
      <vt:lpstr>sheet10.ProfBfrTaxPL</vt:lpstr>
      <vt:lpstr>sheet11.AdjustedPLOthThanSpecBus</vt:lpstr>
      <vt:lpstr>sheet11.AdjustPLAfterDeprOthSpecInc</vt:lpstr>
      <vt:lpstr>sheet11.AmtAllowUs35ACt</vt:lpstr>
      <vt:lpstr>sheet11.AmtDebPLDisallowUs36</vt:lpstr>
      <vt:lpstr>sheet11.AmtDebPLDisallowUs37</vt:lpstr>
      <vt:lpstr>sheet11.AmtDebPLDisallowUs40</vt:lpstr>
      <vt:lpstr>sheet11.AmtDebPLDisallowUs40A</vt:lpstr>
      <vt:lpstr>sheet11.AmtDebPLDisallowUs43B</vt:lpstr>
      <vt:lpstr>sheet11.AmtDisallUs40NowAllow</vt:lpstr>
      <vt:lpstr>sheet11.AmtDisallUs43BNowAllow</vt:lpstr>
      <vt:lpstr>sheet11.AnyOthAmtAllDeduct</vt:lpstr>
      <vt:lpstr>sheet11.AnyOthIncNotInclInExpDisallowPL</vt:lpstr>
      <vt:lpstr>sheet11.AOPBOISharInc</vt:lpstr>
      <vt:lpstr>sheet11.BalancePLOthThanSpecBus</vt:lpstr>
      <vt:lpstr>sheet11.DebPL35ACAmt</vt:lpstr>
      <vt:lpstr>sheet11.DebPLUs35ExcessAmt</vt:lpstr>
      <vt:lpstr>sheet11.DeductUs32_1_iii</vt:lpstr>
      <vt:lpstr>sheet11.DeductUs32AD</vt:lpstr>
      <vt:lpstr>sheet11.DeemIncUs32AD</vt:lpstr>
      <vt:lpstr>sheet11.DeemIncUs3380HHD80IA</vt:lpstr>
      <vt:lpstr>sheet11.DeemIncUs33AB</vt:lpstr>
      <vt:lpstr>sheet11.DeemIncUs33ABA</vt:lpstr>
      <vt:lpstr>sheet11.DeemIncUs35ABA</vt:lpstr>
      <vt:lpstr>sheet11.DeemIncUs35ABB</vt:lpstr>
      <vt:lpstr>sheet11.DeemIncUs40A</vt:lpstr>
      <vt:lpstr>sheet11.DeemIncUs41</vt:lpstr>
      <vt:lpstr>sheet11.DeemIncUs43CA</vt:lpstr>
      <vt:lpstr>sheet11.DeemIncUs72A</vt:lpstr>
      <vt:lpstr>sheet11.DeemIncUs80HHD</vt:lpstr>
      <vt:lpstr>sheet11.DeemIncUs80IA</vt:lpstr>
      <vt:lpstr>sheet11.DepreciationAllowUs32_1_i</vt:lpstr>
      <vt:lpstr>sheet11.DepreciationAllowUs32_1_ii</vt:lpstr>
      <vt:lpstr>sheet11.DepreciationDebPLCosAct</vt:lpstr>
      <vt:lpstr>sheet11.ExcessAmtDeduct35AC</vt:lpstr>
      <vt:lpstr>sheet11.ExpDebToPLDisAllowed</vt:lpstr>
      <vt:lpstr>sheet11.ExpDebToPLExemptInc</vt:lpstr>
      <vt:lpstr>sheet11.ExpDebToPLOth115BF</vt:lpstr>
      <vt:lpstr>sheet11.ExpDebToPLOth115BG</vt:lpstr>
      <vt:lpstr>sheet11.ExpDebToPLOthHeads1</vt:lpstr>
      <vt:lpstr>sheet11.ExpDebToPLOthHeads2</vt:lpstr>
      <vt:lpstr>sheet11.ExpDebToPLOthHeads3</vt:lpstr>
      <vt:lpstr>sheet11.ExpDebToPLOthHeads4</vt:lpstr>
      <vt:lpstr>sheet11.FirmShareInc</vt:lpstr>
      <vt:lpstr>sheet11.InterestDisAllowUs23SMEAct</vt:lpstr>
      <vt:lpstr>sheet11.OthExempInc</vt:lpstr>
      <vt:lpstr>sheet11.OthExempInca</vt:lpstr>
      <vt:lpstr>sheet11.OthExempIncan</vt:lpstr>
      <vt:lpstr>sheet11.OthExempIncb</vt:lpstr>
      <vt:lpstr>sheet11.OthExempIncbn</vt:lpstr>
      <vt:lpstr>sheet11.OthExempIncc</vt:lpstr>
      <vt:lpstr>sheet11.OthExempInccn</vt:lpstr>
      <vt:lpstr>sheet11.OthItemDisallowUs28To44DA</vt:lpstr>
      <vt:lpstr>sheet11.PLAftAdjDedBusOthThanSpec</vt:lpstr>
      <vt:lpstr>Sheet11.Salaries80CCD2</vt:lpstr>
      <vt:lpstr>sheet11.Section44AD</vt:lpstr>
      <vt:lpstr>sheet11.Section44ADA</vt:lpstr>
      <vt:lpstr>sheet11.Section44AE</vt:lpstr>
      <vt:lpstr>sheet11.Section44B</vt:lpstr>
      <vt:lpstr>Sheet11.Section44BB</vt:lpstr>
      <vt:lpstr>sheet11.Section44BBA</vt:lpstr>
      <vt:lpstr>sheet11.TotAfterAddToPLDeprOthSpecInc</vt:lpstr>
      <vt:lpstr>sheet11.TotDeductionAmts</vt:lpstr>
      <vt:lpstr>sheet11.TotDeprAllowITAct</vt:lpstr>
      <vt:lpstr>sheet11.TotExempIncPL</vt:lpstr>
      <vt:lpstr>sheet11.TotExpDebPL</vt:lpstr>
      <vt:lpstr>sheet12.AdditionUs28to44DA</vt:lpstr>
      <vt:lpstr>sheet12.AddSec2844DA</vt:lpstr>
      <vt:lpstr>sheet12.AdjustedPLFrmSpecifiedBus</vt:lpstr>
      <vt:lpstr>sheet12.AdjustedPLFrmSpecuBus</vt:lpstr>
      <vt:lpstr>sheet12.BusLossSetoffa</vt:lpstr>
      <vt:lpstr>sheet12.BusLossSetoffb</vt:lpstr>
      <vt:lpstr>sheet12.ChapterXIIG</vt:lpstr>
      <vt:lpstr>sheet12.DedSec2844DA</vt:lpstr>
      <vt:lpstr>sheet12.DeductUs28to44DA</vt:lpstr>
      <vt:lpstr>sheet12.DeductUs35AD</vt:lpstr>
      <vt:lpstr>sheet12.DeductUs35AD1</vt:lpstr>
      <vt:lpstr>sheet12.DeductUs35AD1A</vt:lpstr>
      <vt:lpstr>sheet12.IncChrgUnHdProftGain</vt:lpstr>
      <vt:lpstr>sheet12.IncOfCurYrAfterSetOffa</vt:lpstr>
      <vt:lpstr>sheet12.IncOfCurYrAfterSetOffb</vt:lpstr>
      <vt:lpstr>sheet12.IncOfCurYrUnderThatHeada</vt:lpstr>
      <vt:lpstr>sheet12.IncOfCurYrUnderThatHeadb</vt:lpstr>
      <vt:lpstr>sheet12.LossRemainSetOffOnBus</vt:lpstr>
      <vt:lpstr>sheet12.LossSetOffOnBusLoss</vt:lpstr>
      <vt:lpstr>sheet12.NetPLAftAdjBusOthThanSpec</vt:lpstr>
      <vt:lpstr>sheet12.NetPLBusOthThanSpec7A7B7C</vt:lpstr>
      <vt:lpstr>sheet12.NetPLFrmSpecBus</vt:lpstr>
      <vt:lpstr>sheet12.NetPLFrmSpecifiedBus</vt:lpstr>
      <vt:lpstr>sheet12.ProfLossFromSpecifiedBus</vt:lpstr>
      <vt:lpstr>sheet12.Section44BBB</vt:lpstr>
      <vt:lpstr>sheet12.Section44D</vt:lpstr>
      <vt:lpstr>sheet12.Section44DA</vt:lpstr>
      <vt:lpstr>sheet12.TotDeemedProfitBusUs</vt:lpstr>
      <vt:lpstr>sheet12.TotLossSetOffOnBus</vt:lpstr>
      <vt:lpstr>sheet16.BalBusLossAftSetoff</vt:lpstr>
      <vt:lpstr>sheet16.BalHPlossCurYrAftSetoff</vt:lpstr>
      <vt:lpstr>sheet16.BalOthSrcLossNoRaceHorseAftSetoff</vt:lpstr>
      <vt:lpstr>sheet16.IncomeOfCurrYrAftCYLABFLA</vt:lpstr>
      <vt:lpstr>sheet16.TotAllUs35cl4Setoff</vt:lpstr>
      <vt:lpstr>sheet16.TotBFLossSetoff</vt:lpstr>
      <vt:lpstr>sheet16.TotBusLossSetoff</vt:lpstr>
      <vt:lpstr>sheet16.TotHPlossCurYrSetoff</vt:lpstr>
      <vt:lpstr>sheet16.TotOthSrcLossNoRaceHorseSetoff</vt:lpstr>
      <vt:lpstr>sheet16.TotUnabsorbedDeprSetoff</vt:lpstr>
      <vt:lpstr>sheet2.CapResr</vt:lpstr>
      <vt:lpstr>sheet2.CapWrkProg</vt:lpstr>
      <vt:lpstr>Sheet2.Code1</vt:lpstr>
      <vt:lpstr>Sheet2.Code2</vt:lpstr>
      <vt:lpstr>sheet2.Debenture</vt:lpstr>
      <vt:lpstr>sheet2.DeferredTax</vt:lpstr>
      <vt:lpstr>sheet2.Depreciation</vt:lpstr>
      <vt:lpstr>sheet2.EquityShares</vt:lpstr>
      <vt:lpstr>sheet2.ForeignCurrLoan</vt:lpstr>
      <vt:lpstr>sheet2.FrmBank</vt:lpstr>
      <vt:lpstr>sheet2.FrmBank1</vt:lpstr>
      <vt:lpstr>sheet2.FrmOthrs</vt:lpstr>
      <vt:lpstr>sheet2.FrmOthrs1</vt:lpstr>
      <vt:lpstr>sheet2.GovOthSecUnQoted</vt:lpstr>
      <vt:lpstr>sheet2.GovtOthSecQuoted</vt:lpstr>
      <vt:lpstr>sheet2.GrossBlock</vt:lpstr>
      <vt:lpstr>sheet2.NetBlock</vt:lpstr>
      <vt:lpstr>sheet2.OthResr</vt:lpstr>
      <vt:lpstr>sheet2.PreferShares</vt:lpstr>
      <vt:lpstr>sheet2.PropCap</vt:lpstr>
      <vt:lpstr>sheet2.RevResr</vt:lpstr>
      <vt:lpstr>sheet2.StatResr</vt:lpstr>
      <vt:lpstr>sheet2.TotFixedAsset</vt:lpstr>
      <vt:lpstr>sheet2.TotFundSrc</vt:lpstr>
      <vt:lpstr>sheet2.TotInvestments</vt:lpstr>
      <vt:lpstr>sheet2.TotLoanFund</vt:lpstr>
      <vt:lpstr>sheet2.TotLongTermInv</vt:lpstr>
      <vt:lpstr>sheet2.TotPropFund</vt:lpstr>
      <vt:lpstr>sheet2.TotResrNSurp</vt:lpstr>
      <vt:lpstr>sheet2.TotRupeeLoan</vt:lpstr>
      <vt:lpstr>sheet2.TotSecrLoan</vt:lpstr>
      <vt:lpstr>sheet2.TotTradeInv</vt:lpstr>
      <vt:lpstr>sheet2.TotUnSecrLoan</vt:lpstr>
      <vt:lpstr>Sheet20.Agriculturalinc</vt:lpstr>
      <vt:lpstr>Sheet20.ExpenditureOnAgriculture</vt:lpstr>
      <vt:lpstr>Sheet20.NetAgriculturalIncome</vt:lpstr>
      <vt:lpstr>Sheet20.scei.DividendInc</vt:lpstr>
      <vt:lpstr>Sheet20.scei.InterestInc</vt:lpstr>
      <vt:lpstr>Sheet20.scei.LTCGWhereSTTPaid</vt:lpstr>
      <vt:lpstr>Sheet20.scei.NetAgriIncOrOthrIncRule7</vt:lpstr>
      <vt:lpstr>Sheet20.scei.Others</vt:lpstr>
      <vt:lpstr>Sheet20.scei.ShareOfProfitFirmAOP</vt:lpstr>
      <vt:lpstr>Sheet20.scei.TotalExemptInc</vt:lpstr>
      <vt:lpstr>Sheet20.UnabsorbedAgriculturalloss</vt:lpstr>
      <vt:lpstr>sheet3.AccrIntNotDue</vt:lpstr>
      <vt:lpstr>sheet3.AccrIntonLeasedAsset</vt:lpstr>
      <vt:lpstr>sheet3.AccumaltedLosses</vt:lpstr>
      <vt:lpstr>sheet3.AdvRecoverable</vt:lpstr>
      <vt:lpstr>sheet3.BalWithRevAuth</vt:lpstr>
      <vt:lpstr>sheet3.BankBal</vt:lpstr>
      <vt:lpstr>sheet3.CashBalAmt</vt:lpstr>
      <vt:lpstr>sheet3.CashinHand</vt:lpstr>
      <vt:lpstr>sheet3.DefTaxAsset</vt:lpstr>
      <vt:lpstr>sheet3.Deposits</vt:lpstr>
      <vt:lpstr>sheet3.ELSuperAnnGratProvision</vt:lpstr>
      <vt:lpstr>sheet3.FinOrTradGood</vt:lpstr>
      <vt:lpstr>sheet3.ITProvision</vt:lpstr>
      <vt:lpstr>sheet3.LiabForLeasedAsset</vt:lpstr>
      <vt:lpstr>sheet3.MiscExpndr</vt:lpstr>
      <vt:lpstr>sheet3.NetCurrAsset</vt:lpstr>
      <vt:lpstr>sheet3.OthCurrAsset</vt:lpstr>
      <vt:lpstr>sheet3.OthProvision</vt:lpstr>
      <vt:lpstr>sheet3.RawMatl</vt:lpstr>
      <vt:lpstr>sheet3.SndryDebtors</vt:lpstr>
      <vt:lpstr>sheet3.StkInProcess</vt:lpstr>
      <vt:lpstr>sheet3.StoresConsumables</vt:lpstr>
      <vt:lpstr>sheet3.SundryCred</vt:lpstr>
      <vt:lpstr>sheet3.TotCashOrBankBal</vt:lpstr>
      <vt:lpstr>sheet3.TotCurrAsset</vt:lpstr>
      <vt:lpstr>sheet3.TotCurrAssetLoanAdv</vt:lpstr>
      <vt:lpstr>sheet3.TotCurrLiabilities</vt:lpstr>
      <vt:lpstr>sheet3.TotCurrLiabilitiesProvision</vt:lpstr>
      <vt:lpstr>sheet3.TotFundApply</vt:lpstr>
      <vt:lpstr>sheet3.TotInventries</vt:lpstr>
      <vt:lpstr>sheet3.TotLoanAdv</vt:lpstr>
      <vt:lpstr>sheet3.TotMiscAdjust</vt:lpstr>
      <vt:lpstr>sheet3.TotProvisions</vt:lpstr>
      <vt:lpstr>sheet3.TotStkInTradAmt</vt:lpstr>
      <vt:lpstr>sheet3.TotSundryCrdAmt</vt:lpstr>
      <vt:lpstr>sheet3.TotSundryDbtAmt</vt:lpstr>
      <vt:lpstr>sheet3.WTProvision</vt:lpstr>
      <vt:lpstr>Sheet44AE.NoOfMonths</vt:lpstr>
      <vt:lpstr>Sheet44AE.PresumptiveIncome</vt:lpstr>
      <vt:lpstr>sheet5.ChangeInAcctMethFlg</vt:lpstr>
      <vt:lpstr>sheet5.MethodOfAcct</vt:lpstr>
      <vt:lpstr>sheet5.ProfDeviatDueAcctMeth</vt:lpstr>
      <vt:lpstr>sheet5.ProfDeviatDueAcctMethb</vt:lpstr>
      <vt:lpstr>sheet5.ValFinishedGoods</vt:lpstr>
      <vt:lpstr>sheet5.ValRawMaterial</vt:lpstr>
      <vt:lpstr>sheet6.AppGratFundAmt</vt:lpstr>
      <vt:lpstr>sheet6.AppSuperAnnFundAmt</vt:lpstr>
      <vt:lpstr>sheet6.BadDebtDoubtAmt</vt:lpstr>
      <vt:lpstr>sheet6.BadDebtDoubtProvn</vt:lpstr>
      <vt:lpstr>sheet6.BusOrProfessnExp</vt:lpstr>
      <vt:lpstr>sheet6.CapitalNatureExp</vt:lpstr>
      <vt:lpstr>sheet6.CapReceipt</vt:lpstr>
      <vt:lpstr>sheet6.ChngStockValMetFlg</vt:lpstr>
      <vt:lpstr>sheet6.ContigentLiability</vt:lpstr>
      <vt:lpstr>sheet6.EffectOnPL</vt:lpstr>
      <vt:lpstr>sheet6.EffectOnPL4e</vt:lpstr>
      <vt:lpstr>sheet6.EmpBonusCommSum</vt:lpstr>
      <vt:lpstr>sheet6.EmpContributionCredits</vt:lpstr>
      <vt:lpstr>sheet6.EmpHealthInsurPrem</vt:lpstr>
      <vt:lpstr>sheet6.FamPlanPromoExp</vt:lpstr>
      <vt:lpstr>sheet6.IntOnBorrCap</vt:lpstr>
      <vt:lpstr>sheet6.LawVoilatPenalExp</vt:lpstr>
      <vt:lpstr>sheet6.MarketLoss</vt:lpstr>
      <vt:lpstr>sheet6.NonComp40aibChapXVIIBAmt</vt:lpstr>
      <vt:lpstr>sheet6.NonComp40aiiiChapXVIIBAmt</vt:lpstr>
      <vt:lpstr>sheet6.NonCompChapXVIIBAmt</vt:lpstr>
      <vt:lpstr>sheet6.OffenceExp</vt:lpstr>
      <vt:lpstr>sheet6.OthAmtNotAllowUs37</vt:lpstr>
      <vt:lpstr>sheet6.OthDisallowances</vt:lpstr>
      <vt:lpstr>sheet6.OthFundAmt</vt:lpstr>
      <vt:lpstr>sheet6.OthItemInc</vt:lpstr>
      <vt:lpstr>sheet6.OthPenalFineExp</vt:lpstr>
      <vt:lpstr>sheet6.PensionSchemeSec80CCD</vt:lpstr>
      <vt:lpstr>sheet6.PersonalExp</vt:lpstr>
      <vt:lpstr>sheet6.PoliticPartyExp</vt:lpstr>
      <vt:lpstr>sheet6.PrevYrEscalClaim</vt:lpstr>
      <vt:lpstr>sheet6.ProformaCreditsDue</vt:lpstr>
      <vt:lpstr>sheet6.RecogPFContribAmt</vt:lpstr>
      <vt:lpstr>sheet6.Section28Items</vt:lpstr>
      <vt:lpstr>sheet6.SecuritiesPaidAmt</vt:lpstr>
      <vt:lpstr>sheet6.SpecResrvTranfr</vt:lpstr>
      <vt:lpstr>sheet6.StkInsurPrem</vt:lpstr>
      <vt:lpstr>sheet6.TaxAmtOnProfits</vt:lpstr>
      <vt:lpstr>sheet6.TotAmtDisallUs36</vt:lpstr>
      <vt:lpstr>sheet6.TotAmtDisallUs37</vt:lpstr>
      <vt:lpstr>sheet6.TotNoCredToPLAmt</vt:lpstr>
      <vt:lpstr>sheet6.ZeroCoupBondDisc</vt:lpstr>
      <vt:lpstr>sheet7.AmountOfExpenditure14A</vt:lpstr>
      <vt:lpstr>sheet7.AmtDisallUs40PyNowAll</vt:lpstr>
      <vt:lpstr>sheet7.AmtGT20kCash</vt:lpstr>
      <vt:lpstr>sheet7.AmtPaidUs40A2b</vt:lpstr>
      <vt:lpstr>sheet7.CGST</vt:lpstr>
      <vt:lpstr>sheet7.ContToEmpPFSFGF</vt:lpstr>
      <vt:lpstr>sheet7.ContToEmpPFSFGF1</vt:lpstr>
      <vt:lpstr>sheet7.ContToSetupTrust</vt:lpstr>
      <vt:lpstr>sheet7.DeemedProfUs33AB</vt:lpstr>
      <vt:lpstr>sheet7.DeemedProfUs33ABA</vt:lpstr>
      <vt:lpstr>sheet7.DeemedProfUs33ABs</vt:lpstr>
      <vt:lpstr>sheet7.EmpBonusComm</vt:lpstr>
      <vt:lpstr>sheet7.EmpBonusComm1</vt:lpstr>
      <vt:lpstr>sheet7.IGST</vt:lpstr>
      <vt:lpstr>sheet7.IntPayaleToFI</vt:lpstr>
      <vt:lpstr>sheet7.IntPayaleToFI1</vt:lpstr>
      <vt:lpstr>sheet7.IntPayaleToFI1_11da</vt:lpstr>
      <vt:lpstr>sheet7.IntPayaleToFISchBank</vt:lpstr>
      <vt:lpstr>sheet7.IntPayaleToFISchBank1</vt:lpstr>
      <vt:lpstr>sheet7.IntSalBonPartner</vt:lpstr>
      <vt:lpstr>sheet7.LeaveEncashPayable</vt:lpstr>
      <vt:lpstr>sheet7.LeaveEncashPayable1</vt:lpstr>
      <vt:lpstr>sheet7.OthDisallow</vt:lpstr>
      <vt:lpstr>sheet7.OthDisallow1</vt:lpstr>
      <vt:lpstr>sheet7.OthDutyTaxCess</vt:lpstr>
      <vt:lpstr>sheet7.PriorAmtIncCrDrPL</vt:lpstr>
      <vt:lpstr>sheet7.ProfTaxAmtUs41</vt:lpstr>
      <vt:lpstr>sheet7.ProvPmtGrat</vt:lpstr>
      <vt:lpstr>sheet7.RailwayAssets</vt:lpstr>
      <vt:lpstr>sheet7.RailwayAssetsPayable</vt:lpstr>
      <vt:lpstr>sheet7.RolyatyOrServiceFee</vt:lpstr>
      <vt:lpstr>sheet7.Section92CE_Flag</vt:lpstr>
      <vt:lpstr>sheet7.ServiceTax</vt:lpstr>
      <vt:lpstr>sheet7.SGST</vt:lpstr>
      <vt:lpstr>sheet7.TaxDutyCesAmt</vt:lpstr>
      <vt:lpstr>sheet7.TaxDutyCesAmt1</vt:lpstr>
      <vt:lpstr>sheet7.TotAmtDisallUs40</vt:lpstr>
      <vt:lpstr>sheet7.TotAmtDisallUs40A</vt:lpstr>
      <vt:lpstr>sheet7.TotAmtUs43b</vt:lpstr>
      <vt:lpstr>sheet7.TotAmtUs43b1</vt:lpstr>
      <vt:lpstr>sheet7.TotExciseCustomsVAT</vt:lpstr>
      <vt:lpstr>sheet7.UnionExciseDuty</vt:lpstr>
      <vt:lpstr>sheet7.UTGST</vt:lpstr>
      <vt:lpstr>sheet7.VATorSaleTax</vt:lpstr>
      <vt:lpstr>sheet7.WTAmt</vt:lpstr>
      <vt:lpstr>Sheet8b.AggregateIncome</vt:lpstr>
      <vt:lpstr>Sheet8b.AggregateIncomeNew</vt:lpstr>
      <vt:lpstr>Sheet8b.BalanceAfterSetoffLosses</vt:lpstr>
      <vt:lpstr>Sheet8b.BroughtFwdLossesSetoff</vt:lpstr>
      <vt:lpstr>Sheet8b.CurrentYearLoss</vt:lpstr>
      <vt:lpstr>Sheet8b.DeductionsUnder10Aor10AA</vt:lpstr>
      <vt:lpstr>Sheet8b.DeductionsUnderScheduleVIA</vt:lpstr>
      <vt:lpstr>Sheet8b.Deemed115JC</vt:lpstr>
      <vt:lpstr>Sheet8b.FromOwnRaceHorse</vt:lpstr>
      <vt:lpstr>Sheet8b.GrossTotalIncome</vt:lpstr>
      <vt:lpstr>Sheet8b.IncChargeableTaxSplRates</vt:lpstr>
      <vt:lpstr>Sheet8b.IncChargeTaxSplRate111A112</vt:lpstr>
      <vt:lpstr>sheet8b.IncomeChargeableToTaxUs111A</vt:lpstr>
      <vt:lpstr>Sheet8b.IncomeFromHP</vt:lpstr>
      <vt:lpstr>Sheet8b.LongTerm</vt:lpstr>
      <vt:lpstr>Sheet8b.LongTermNP</vt:lpstr>
      <vt:lpstr>Sheet8b.LongTermP</vt:lpstr>
      <vt:lpstr>Sheet8b.LossesOfCurrentYearCarriedFwd</vt:lpstr>
      <vt:lpstr>Sheet8b.LTCGspecialrate</vt:lpstr>
      <vt:lpstr>Sheet8b.NetAgricultureIncomeOrOtherIncomeForRate</vt:lpstr>
      <vt:lpstr>Sheet8b.OtherSrcThanOwnRaceHorse</vt:lpstr>
      <vt:lpstr>Sheet8b.PartBchapterVIA</vt:lpstr>
      <vt:lpstr>Sheet8b.PartCchapterVIA</vt:lpstr>
      <vt:lpstr>Sheet8b.ProfGainNoSpecBus</vt:lpstr>
      <vt:lpstr>Sheet8b.ProfGainSpecBus</vt:lpstr>
      <vt:lpstr>Sheet8b.ProfGainSpecifiedBus</vt:lpstr>
      <vt:lpstr>Sheet8b.Salaries</vt:lpstr>
      <vt:lpstr>Sheet8b.ShortTerm30</vt:lpstr>
      <vt:lpstr>Sheet8b.ShortTermOther</vt:lpstr>
      <vt:lpstr>Sheet8b.ShortTermUs111A</vt:lpstr>
      <vt:lpstr>Sheet8b.STCGspecialrate</vt:lpstr>
      <vt:lpstr>Sheet8b.TaxOnIncome115BF</vt:lpstr>
      <vt:lpstr>Sheet8b.TotalCapGains</vt:lpstr>
      <vt:lpstr>Sheet8b.TotalIncome</vt:lpstr>
      <vt:lpstr>Sheet8b.TotalShortTerm</vt:lpstr>
      <vt:lpstr>Sheet8b.TotalTI</vt:lpstr>
      <vt:lpstr>Sheet8b.TotIncFromOS</vt:lpstr>
      <vt:lpstr>Sheet8b.TotProfBusGain</vt:lpstr>
      <vt:lpstr>Sheet8b.WinLotteriesRacesGambling</vt:lpstr>
      <vt:lpstr>sheet9.AdjustedPLFrmSpecifiedBus</vt:lpstr>
      <vt:lpstr>Sheet9.AdvanceTax</vt:lpstr>
      <vt:lpstr>Sheet9.AggregateTaxInterestLiability</vt:lpstr>
      <vt:lpstr>sheet9.AssesseeVerName</vt:lpstr>
      <vt:lpstr>Sheet9.BalTaxPayable</vt:lpstr>
      <vt:lpstr>Sheet9.BalTaxPayable1</vt:lpstr>
      <vt:lpstr>Sheet9.BfrSurcharge_ii</vt:lpstr>
      <vt:lpstr>Sheet9.Capacity</vt:lpstr>
      <vt:lpstr>Sheet9.CheckBox</vt:lpstr>
      <vt:lpstr>sheet9.CreditUS115JD</vt:lpstr>
      <vt:lpstr>sheet9.Date</vt:lpstr>
      <vt:lpstr>sheet9.deemeds</vt:lpstr>
      <vt:lpstr>Sheet9.EducationCess</vt:lpstr>
      <vt:lpstr>sheet9.EducationCess_DI</vt:lpstr>
      <vt:lpstr>sheet9.FatherName</vt:lpstr>
      <vt:lpstr>Sheet9.GrossTaxLiability</vt:lpstr>
      <vt:lpstr>sheet9.GrossTaxPayable</vt:lpstr>
      <vt:lpstr>sheet9.GrossTaxPayable_3</vt:lpstr>
      <vt:lpstr>sheet9.GrossTaxPayable_3b</vt:lpstr>
      <vt:lpstr>sheet9.GrossTaxPayable_3c</vt:lpstr>
      <vt:lpstr>Sheet9.IBAN</vt:lpstr>
      <vt:lpstr>Sheet9.IBANACCNO</vt:lpstr>
      <vt:lpstr>Sheet9.IBANBANK</vt:lpstr>
      <vt:lpstr>Sheet9.IBANCOUNTRY</vt:lpstr>
      <vt:lpstr>Sheet9.IBANSELECT</vt:lpstr>
      <vt:lpstr>Sheet9.IdentificationNoOfTRP</vt:lpstr>
      <vt:lpstr>Sheet9.IntrstPayUs234A</vt:lpstr>
      <vt:lpstr>Sheet9.IntrstPayUs234B</vt:lpstr>
      <vt:lpstr>Sheet9.IntrstPayUs234C</vt:lpstr>
      <vt:lpstr>Sheet9.IntrstPayUs234F</vt:lpstr>
      <vt:lpstr>Sheet9.NameOfTRP</vt:lpstr>
      <vt:lpstr>Sheet9.NetTaxLiability</vt:lpstr>
      <vt:lpstr>Sheet9.NumofBankAccounts</vt:lpstr>
      <vt:lpstr>Sheet9.OthBankAccountNumber</vt:lpstr>
      <vt:lpstr>Sheet9.OthBankName</vt:lpstr>
      <vt:lpstr>Sheet9.OthCashDeposited</vt:lpstr>
      <vt:lpstr>Sheet9.OthMICRCode</vt:lpstr>
      <vt:lpstr>sheet9.PAN</vt:lpstr>
      <vt:lpstr>sheet9.RebateOnAgriInc</vt:lpstr>
      <vt:lpstr>Sheet9.RebateUs88E</vt:lpstr>
      <vt:lpstr>Sheet9.RefundDue</vt:lpstr>
      <vt:lpstr>Sheet9.ReImbFrmGov</vt:lpstr>
      <vt:lpstr>Sheet9.Section89</vt:lpstr>
      <vt:lpstr>Sheet9.Section89A</vt:lpstr>
      <vt:lpstr>Sheet9.Section89New</vt:lpstr>
      <vt:lpstr>Sheet9.Section90</vt:lpstr>
      <vt:lpstr>Sheet9.Section91</vt:lpstr>
      <vt:lpstr>Sheet9.SelfAssessmentTax</vt:lpstr>
      <vt:lpstr>Sheet9.Surcharge_i</vt:lpstr>
      <vt:lpstr>Sheet9.Surcharge_iBfr</vt:lpstr>
      <vt:lpstr>Sheet9.Surcharge_ii</vt:lpstr>
      <vt:lpstr>Sheet9.SurchargeOnTaxPayable</vt:lpstr>
      <vt:lpstr>Sheet9.TaxAtNormalRatesOnAggrInc</vt:lpstr>
      <vt:lpstr>sheet9.TaxAtSpecialRates</vt:lpstr>
      <vt:lpstr>sheet9.TaxDeemedTISec115JC</vt:lpstr>
      <vt:lpstr>sheet9.TaxPayableOnTotInc</vt:lpstr>
      <vt:lpstr>sheet9.TaxPayAfterCreditUs115JD</vt:lpstr>
      <vt:lpstr>Sheet9.TCS</vt:lpstr>
      <vt:lpstr>Sheet9.TDS</vt:lpstr>
      <vt:lpstr>Sheet9.TotalIntrstPay</vt:lpstr>
      <vt:lpstr>sheet9.TotalTax_DI</vt:lpstr>
      <vt:lpstr>Sheet9.TotalTaxesPaid</vt:lpstr>
      <vt:lpstr>Sheet9.TotTaxRelief</vt:lpstr>
      <vt:lpstr>SI.SecCode</vt:lpstr>
      <vt:lpstr>SI.SecCode1</vt:lpstr>
      <vt:lpstr>SI.SplRateInc</vt:lpstr>
      <vt:lpstr>SI.SplRateInc1</vt:lpstr>
      <vt:lpstr>SI.SplRateIncCalc</vt:lpstr>
      <vt:lpstr>SI.SplRateIncCalc1</vt:lpstr>
      <vt:lpstr>SI.SplRateIncTax</vt:lpstr>
      <vt:lpstr>SI.SplRateIncTax1</vt:lpstr>
      <vt:lpstr>SI.SplRatePercent</vt:lpstr>
      <vt:lpstr>SI.SplRatePercent1</vt:lpstr>
      <vt:lpstr>SI.TotSplRateChargeableTax</vt:lpstr>
      <vt:lpstr>SI.TotSplRateIncome</vt:lpstr>
      <vt:lpstr>SI.TotSplRateIncTax</vt:lpstr>
      <vt:lpstr>SI_111</vt:lpstr>
      <vt:lpstr>SI_111_taxableInc</vt:lpstr>
      <vt:lpstr>SI_112A_Tax</vt:lpstr>
      <vt:lpstr>SI_115BBC</vt:lpstr>
      <vt:lpstr>SI_115BBE</vt:lpstr>
      <vt:lpstr>SI_115Ea</vt:lpstr>
      <vt:lpstr>SI_PTI_115BBC</vt:lpstr>
      <vt:lpstr>SI_PTI_115EA</vt:lpstr>
      <vt:lpstr>SI_PTI115BBE</vt:lpstr>
      <vt:lpstr>SI_Section115AD</vt:lpstr>
      <vt:lpstr>Source_111_OS</vt:lpstr>
      <vt:lpstr>Source_56_OS</vt:lpstr>
      <vt:lpstr>Source_56i_OS</vt:lpstr>
      <vt:lpstr>Source_5A1ai</vt:lpstr>
      <vt:lpstr>Source_5A1aii_OS</vt:lpstr>
      <vt:lpstr>Source_5A1aiia_OS</vt:lpstr>
      <vt:lpstr>Source_5A1aiiaa_OS</vt:lpstr>
      <vt:lpstr>Source_5A1aiiaaP_OS</vt:lpstr>
      <vt:lpstr>Source_5A1aiiab_OS</vt:lpstr>
      <vt:lpstr>Source_5A1aiiac_OS</vt:lpstr>
      <vt:lpstr>Source_5A1aiiacP_OS</vt:lpstr>
      <vt:lpstr>Source_5A1aiii_OS</vt:lpstr>
      <vt:lpstr>Source_5A1ba_OS</vt:lpstr>
      <vt:lpstr>Source_5A1bB_OS</vt:lpstr>
      <vt:lpstr>Source_5A1C1ab_OS</vt:lpstr>
      <vt:lpstr>Source_5A1C1b_OS</vt:lpstr>
      <vt:lpstr>Source_5ACA1a_OS</vt:lpstr>
      <vt:lpstr>Source_5AD1i_OS</vt:lpstr>
      <vt:lpstr>Source_5AD1iDiv_OS</vt:lpstr>
      <vt:lpstr>Source_5AD1iP_OS</vt:lpstr>
      <vt:lpstr>Source_5BBA_OS</vt:lpstr>
      <vt:lpstr>Source_5BBC_OS</vt:lpstr>
      <vt:lpstr>Source_5BBDA_OS</vt:lpstr>
      <vt:lpstr>Source_5BBF_OS</vt:lpstr>
      <vt:lpstr>Source_5BBG_OS</vt:lpstr>
      <vt:lpstr>Source_5Ea_OS</vt:lpstr>
      <vt:lpstr>SPI.AadhaarofSpecPerson</vt:lpstr>
      <vt:lpstr>SPI.AmtIncluded</vt:lpstr>
      <vt:lpstr>SPI.NatureOfInc</vt:lpstr>
      <vt:lpstr>SPI.PANofSpecPerson</vt:lpstr>
      <vt:lpstr>SPI.ReltnShip</vt:lpstr>
      <vt:lpstr>SPI.SpecifiedPersonName</vt:lpstr>
      <vt:lpstr>SPI.Total</vt:lpstr>
      <vt:lpstr>splRateInc115BB</vt:lpstr>
      <vt:lpstr>splRateInc115BBDA</vt:lpstr>
      <vt:lpstr>splRateInc1A</vt:lpstr>
      <vt:lpstr>splRateInc21</vt:lpstr>
      <vt:lpstr>splRateInc22</vt:lpstr>
      <vt:lpstr>SRCamt</vt:lpstr>
      <vt:lpstr>State</vt:lpstr>
      <vt:lpstr>State_Code_80GGA</vt:lpstr>
      <vt:lpstr>State_Code_80GGANew</vt:lpstr>
      <vt:lpstr>State80G</vt:lpstr>
      <vt:lpstr>Status</vt:lpstr>
      <vt:lpstr>STCG.A.NRI</vt:lpstr>
      <vt:lpstr>STCG.A_AcqDate1</vt:lpstr>
      <vt:lpstr>STCG.A1e_CapgainonAssets</vt:lpstr>
      <vt:lpstr>STCG.A20ia_FullConsideration</vt:lpstr>
      <vt:lpstr>STCG.A20ia_FullConsideration11UAEi</vt:lpstr>
      <vt:lpstr>STCG.A20ib_NetWorthOfDivision</vt:lpstr>
      <vt:lpstr>STCG.A20ic_CapgainonAssets</vt:lpstr>
      <vt:lpstr>STCG.A20iia_FullConsideration11UAEii</vt:lpstr>
      <vt:lpstr>STCG.A2ia_FullConsideration</vt:lpstr>
      <vt:lpstr>STCG.A2ibi_AquisitCost</vt:lpstr>
      <vt:lpstr>STCG.A2ibii_ImproveCost</vt:lpstr>
      <vt:lpstr>STCG.A2ibiii_ExpOnTrans</vt:lpstr>
      <vt:lpstr>STCG.A2ibiv_TotalDedn</vt:lpstr>
      <vt:lpstr>STCG.A2ic_BalanceCG</vt:lpstr>
      <vt:lpstr>STCG.A2id_LossSec94of7Or94of8</vt:lpstr>
      <vt:lpstr>STCG.A2ie_CapgainonAssets</vt:lpstr>
      <vt:lpstr>STCG.A2iia_FullConsideration</vt:lpstr>
      <vt:lpstr>STCG.A2iibi_AquisitCost</vt:lpstr>
      <vt:lpstr>STCG.A2iibii_ImproveCost</vt:lpstr>
      <vt:lpstr>STCG.A2iibiii_ExpOnTrans</vt:lpstr>
      <vt:lpstr>STCG.A2iibiv_TotalDedn</vt:lpstr>
      <vt:lpstr>STCG.A2iic_BalanceCG</vt:lpstr>
      <vt:lpstr>STCG.A2iid_LossSec94of7Or94of8</vt:lpstr>
      <vt:lpstr>STCG.A2iie_CapgainonAssets</vt:lpstr>
      <vt:lpstr>STCG.A3a_NRItaxSTTPaid</vt:lpstr>
      <vt:lpstr>STCG.A3b_NRItaxSTTNotPaid</vt:lpstr>
      <vt:lpstr>STCG.A4a_FullConsideration</vt:lpstr>
      <vt:lpstr>STCG.A4aia_FullConsideration</vt:lpstr>
      <vt:lpstr>STCG.A4aib_FullMarketvalue</vt:lpstr>
      <vt:lpstr>STCG.A4aic_FullConsideration50CA</vt:lpstr>
      <vt:lpstr>STCG.A4aii_FullConsiderationS</vt:lpstr>
      <vt:lpstr>STCG.A4bi_AquisitCost</vt:lpstr>
      <vt:lpstr>STCG.A4bii_ImproveCost</vt:lpstr>
      <vt:lpstr>STCG.A4biii_ExpOnTrans</vt:lpstr>
      <vt:lpstr>STCG.A4biv_TotalDedn</vt:lpstr>
      <vt:lpstr>STCG.A4c_BalanceCG</vt:lpstr>
      <vt:lpstr>STCG.A4d_LossSec94of7Or94of8</vt:lpstr>
      <vt:lpstr>STCG.A4e_CapgainonAssets</vt:lpstr>
      <vt:lpstr>STCG.A5a_FullConsideration</vt:lpstr>
      <vt:lpstr>STCG.A5aia_FullConsideration</vt:lpstr>
      <vt:lpstr>STCG.A5aib_Fullmarketvalue</vt:lpstr>
      <vt:lpstr>STCG.A5aic_FullConsideration50CA</vt:lpstr>
      <vt:lpstr>STCG.A5aii_FullConsideration</vt:lpstr>
      <vt:lpstr>STCG.A5bi_AquisitCost</vt:lpstr>
      <vt:lpstr>STCG.A5bii_ImproveCost</vt:lpstr>
      <vt:lpstr>STCG.A5biii_ExpOnTrans</vt:lpstr>
      <vt:lpstr>STCG.A5biv_TotalDedn</vt:lpstr>
      <vt:lpstr>STCG.A5c_BalanceCG</vt:lpstr>
      <vt:lpstr>STCG.A5d_LossSec94of7Or94of8</vt:lpstr>
      <vt:lpstr>STCG.A5e_CapgainonAssets</vt:lpstr>
      <vt:lpstr>STCG.A5e_ExemptionGrandTotal</vt:lpstr>
      <vt:lpstr>STCG.A5ei_ExemptionAmount</vt:lpstr>
      <vt:lpstr>STCG.A5eii_ExemptionAmount</vt:lpstr>
      <vt:lpstr>STCG.A5eiii_ExemptionAmount</vt:lpstr>
      <vt:lpstr>STCG.A6_AmountDeemedOth</vt:lpstr>
      <vt:lpstr>STCG.A6_AmtDeemedCGSec54</vt:lpstr>
      <vt:lpstr>STCG.A6_StatusUnutilizedCG</vt:lpstr>
      <vt:lpstr>STCG.A7_AmtDeemed</vt:lpstr>
      <vt:lpstr>STCG.A7_AmtNotUsed_1</vt:lpstr>
      <vt:lpstr>STCG.A7_AmtUtilised_1</vt:lpstr>
      <vt:lpstr>STCG.A7_AsstAcquiredYer_1</vt:lpstr>
      <vt:lpstr>STCG.A7_DeductionSection_1</vt:lpstr>
      <vt:lpstr>STCG.A7_PreviousYer_1</vt:lpstr>
      <vt:lpstr>STCG.A7_Sl_1</vt:lpstr>
      <vt:lpstr>STCG.A7_TotalSTCG</vt:lpstr>
      <vt:lpstr>STCG.A7i_ExemptionAmount</vt:lpstr>
      <vt:lpstr>STCG.A7ii_ExemptionAmount</vt:lpstr>
      <vt:lpstr>STCG.A7iii_ExemptionAmount</vt:lpstr>
      <vt:lpstr>STCG.A7iv_ExemptionAmount</vt:lpstr>
      <vt:lpstr>STCG.A8_AmtI</vt:lpstr>
      <vt:lpstr>STCG.A8_ApplRate</vt:lpstr>
      <vt:lpstr>STCG.A8_CertiStatus</vt:lpstr>
      <vt:lpstr>STCG.A8_Country</vt:lpstr>
      <vt:lpstr>STCG.A8_DeemedStcgOnAssets</vt:lpstr>
      <vt:lpstr>STCG.A8_DTAA_Article</vt:lpstr>
      <vt:lpstr>STCG.A8_IA1tA6</vt:lpstr>
      <vt:lpstr>STCG.A8_ItemNo</vt:lpstr>
      <vt:lpstr>STCG.A8_PassThroughIncome</vt:lpstr>
      <vt:lpstr>STCG.A8_PassThroughIncome_ApplicableRate</vt:lpstr>
      <vt:lpstr>STCG.A8_PassThroughIncome15</vt:lpstr>
      <vt:lpstr>STCG.A8_PassThroughIncome15Oth1A</vt:lpstr>
      <vt:lpstr>STCG.A8_PassThroughIncome30</vt:lpstr>
      <vt:lpstr>STCG.A8_RateIT</vt:lpstr>
      <vt:lpstr>STCG.A8_RatePTreaty</vt:lpstr>
      <vt:lpstr>STCG.A8_SecIT</vt:lpstr>
      <vt:lpstr>STCG.A8_StcgAmt</vt:lpstr>
      <vt:lpstr>STCG.A8_StcgDTAA</vt:lpstr>
      <vt:lpstr>STCG.A8b_StcgDTAA</vt:lpstr>
      <vt:lpstr>STCG.Aai_FullConsideration1</vt:lpstr>
      <vt:lpstr>STCG.Aaii_PropertyValuation1</vt:lpstr>
      <vt:lpstr>STCG.Aaiii_FullConsiderationFiftyC_Temp</vt:lpstr>
      <vt:lpstr>STCG.Aaiii_FullConsiderationFiftyC1</vt:lpstr>
      <vt:lpstr>STCG.AB_SaleTrfDate1</vt:lpstr>
      <vt:lpstr>STCG.Abi_AquisitCost1</vt:lpstr>
      <vt:lpstr>STCG.Abii_ImproveCost1</vt:lpstr>
      <vt:lpstr>STCG.Abiii_ExpOnTrans1</vt:lpstr>
      <vt:lpstr>STCG.Abiv_TotalDedn1</vt:lpstr>
      <vt:lpstr>STCG.Ac_BalanceCG1</vt:lpstr>
      <vt:lpstr>STCG.Ad_ExemptionGrandTotal1</vt:lpstr>
      <vt:lpstr>STCG.Adi_ExemptionAmount1</vt:lpstr>
      <vt:lpstr>STCG.Adii_ExemptionAmount1</vt:lpstr>
      <vt:lpstr>STCG.Adiii_ExemptionAmount1</vt:lpstr>
      <vt:lpstr>STCG.Adiv_ExemptionAmount1</vt:lpstr>
      <vt:lpstr>STCG.Ae_CapgainonAssets1</vt:lpstr>
      <vt:lpstr>stcg.BFAllUs35Cl4Setoff3</vt:lpstr>
      <vt:lpstr>stcg.BFAllUs35Cl4Setoff3a</vt:lpstr>
      <vt:lpstr>stcg.BFAllUs35Cl4Setoff3b</vt:lpstr>
      <vt:lpstr>stcg.BFAllUs35Cl4Setoff3b_DTAARates</vt:lpstr>
      <vt:lpstr>stcg.BFlossPrevYrUndSameHeadSetoff3</vt:lpstr>
      <vt:lpstr>stcg.BFlossPrevYrUndSameHeadSetoff3a</vt:lpstr>
      <vt:lpstr>stcg.BFlossPrevYrUndSameHeadSetoff3b</vt:lpstr>
      <vt:lpstr>stcg.BFlossPrevYrUndSameHeadSetoff3b_DTAARates</vt:lpstr>
      <vt:lpstr>stcg.BFUnabsorbedDeprSetoff3</vt:lpstr>
      <vt:lpstr>stcg.BFUnabsorbedDeprSetoff3a</vt:lpstr>
      <vt:lpstr>stcg.BFUnabsorbedDeprSetoff3b</vt:lpstr>
      <vt:lpstr>stcg.BFUnabsorbedDeprSetoff3b_DTAARates</vt:lpstr>
      <vt:lpstr>stcg.BusLossSetoff_DTAARates</vt:lpstr>
      <vt:lpstr>stcg.BusLossSetoff1</vt:lpstr>
      <vt:lpstr>stcg.BusLossSetoff1a</vt:lpstr>
      <vt:lpstr>stcg.BusLossSetoff1b</vt:lpstr>
      <vt:lpstr>STCG.DTAA</vt:lpstr>
      <vt:lpstr>stcg.HPlossCurYrSetoff_DTAARates</vt:lpstr>
      <vt:lpstr>stcg.HPlossCurYrSetoff1</vt:lpstr>
      <vt:lpstr>stcg.HPlossCurYrSetoff1a</vt:lpstr>
      <vt:lpstr>stcg.HPlossCurYrSetoff1b</vt:lpstr>
      <vt:lpstr>stcg.IncOfCurYrAfterSetOff_DTAARates</vt:lpstr>
      <vt:lpstr>stcg.IncOfCurYrAfterSetOff1</vt:lpstr>
      <vt:lpstr>stcg.IncOfCurYrAfterSetOff1a</vt:lpstr>
      <vt:lpstr>stcg.IncOfCurYrAfterSetOff1b</vt:lpstr>
      <vt:lpstr>stcg.IncOfCurYrAfterSetOffBFLosses3</vt:lpstr>
      <vt:lpstr>stcg.IncOfCurYrAfterSetOffBFLosses3a</vt:lpstr>
      <vt:lpstr>stcg.IncOfCurYrAfterSetOffBFLosses3b</vt:lpstr>
      <vt:lpstr>stcg.IncOfCurYrAfterSetOffBFLosses3b_DTAARates</vt:lpstr>
      <vt:lpstr>stcg.IncOfCurYrUnderThatHead_DTAARates</vt:lpstr>
      <vt:lpstr>stcg.IncOfCurYrUnderThatHead1</vt:lpstr>
      <vt:lpstr>stcg.IncOfCurYrUnderThatHead1a</vt:lpstr>
      <vt:lpstr>stcg.IncOfCurYrUnderThatHead1b</vt:lpstr>
      <vt:lpstr>stcg.IncOfCurYrUndHeadFromCYLA3</vt:lpstr>
      <vt:lpstr>stcg.IncOfCurYrUndHeadFromCYLA3a</vt:lpstr>
      <vt:lpstr>stcg.IncOfCurYrUndHeadFromCYLA3b</vt:lpstr>
      <vt:lpstr>stcg.IncOfCurYrUndHeadFromCYLA3b_DTAARates</vt:lpstr>
      <vt:lpstr>STCG.LastCell</vt:lpstr>
      <vt:lpstr>stcg.OthSrcLossNoRaceHorseSetoff_DTAARates</vt:lpstr>
      <vt:lpstr>stcg.OthSrcLossNoRaceHorseSetoff1</vt:lpstr>
      <vt:lpstr>stcg.OthSrcLossNoRaceHorseSetoff1a</vt:lpstr>
      <vt:lpstr>stcg.OthSrcLossNoRaceHorseSetoff1b</vt:lpstr>
      <vt:lpstr>STCG_A7_AsstAcquiredYer_2</vt:lpstr>
      <vt:lpstr>STCG_Dropdown</vt:lpstr>
      <vt:lpstr>STCG_Dropdown2</vt:lpstr>
      <vt:lpstr>STCG_DTAA_A1e</vt:lpstr>
      <vt:lpstr>STCG_DTAA_A2c</vt:lpstr>
      <vt:lpstr>STCG_DTAA_A3ie</vt:lpstr>
      <vt:lpstr>STCG_DTAA_A3iie</vt:lpstr>
      <vt:lpstr>STCG_DTAA_A4a</vt:lpstr>
      <vt:lpstr>STCG_DTAA_A4b</vt:lpstr>
      <vt:lpstr>STCG_DTAA_A4e</vt:lpstr>
      <vt:lpstr>STCG_DTAA_A5e</vt:lpstr>
      <vt:lpstr>Stcg_DTAA_A6f</vt:lpstr>
      <vt:lpstr>STCG_DTAA_A6g</vt:lpstr>
      <vt:lpstr>STCG_DTAA_A7</vt:lpstr>
      <vt:lpstr>STCG_DTAA_A8a</vt:lpstr>
      <vt:lpstr>STCG_DTAA_A8b</vt:lpstr>
      <vt:lpstr>STCG_DTAA_A8c</vt:lpstr>
      <vt:lpstr>STCG_SectionCodes</vt:lpstr>
      <vt:lpstr>STCG_SectionValues</vt:lpstr>
      <vt:lpstr>STCG_SLNo1</vt:lpstr>
      <vt:lpstr>stcg111aincome.bp</vt:lpstr>
      <vt:lpstr>stcg30income.bp</vt:lpstr>
      <vt:lpstr>stcgloss.bf</vt:lpstr>
      <vt:lpstr>stcgoththan111aincome.bp</vt:lpstr>
      <vt:lpstr>STCGtOT</vt:lpstr>
      <vt:lpstr>stcla0</vt:lpstr>
      <vt:lpstr>stcla1</vt:lpstr>
      <vt:lpstr>stcla2</vt:lpstr>
      <vt:lpstr>SumBB</vt:lpstr>
      <vt:lpstr>SumBBDA</vt:lpstr>
      <vt:lpstr>SumBBE</vt:lpstr>
      <vt:lpstr>SumBBF</vt:lpstr>
      <vt:lpstr>SumBBG</vt:lpstr>
      <vt:lpstr>surcharge</vt:lpstr>
      <vt:lpstr>Surcharge_i</vt:lpstr>
      <vt:lpstr>Surcharge_ii</vt:lpstr>
      <vt:lpstr>Surcharge_IncomeEH</vt:lpstr>
      <vt:lpstr>Surcharge_IncomeEH2</vt:lpstr>
      <vt:lpstr>Surcharge_Rate</vt:lpstr>
      <vt:lpstr>Surcharge_RateEH</vt:lpstr>
      <vt:lpstr>surchargeOnAboveCrore_temp</vt:lpstr>
      <vt:lpstr>SurchargeTTI</vt:lpstr>
      <vt:lpstr>SurchargeUsed44AD</vt:lpstr>
      <vt:lpstr>systemDate</vt:lpstr>
      <vt:lpstr>TANCode</vt:lpstr>
      <vt:lpstr>TanCodeSalary</vt:lpstr>
      <vt:lpstr>taxableInc115BB</vt:lpstr>
      <vt:lpstr>taxableInc115BBDA</vt:lpstr>
      <vt:lpstr>taxableInc1A</vt:lpstr>
      <vt:lpstr>taxableInc21</vt:lpstr>
      <vt:lpstr>taxableInc22</vt:lpstr>
      <vt:lpstr>taxableInc5AD1iDiv</vt:lpstr>
      <vt:lpstr>TaxableIncome</vt:lpstr>
      <vt:lpstr>taxableIncPTI5AD1iDiv</vt:lpstr>
      <vt:lpstr>taxAggrIncm</vt:lpstr>
      <vt:lpstr>TaxAtNormalRate</vt:lpstr>
      <vt:lpstr>taxAtSpecialRates_2g</vt:lpstr>
      <vt:lpstr>TaxLiability</vt:lpstr>
      <vt:lpstr>taxOnCutOffInc</vt:lpstr>
      <vt:lpstr>taxOnTotInc</vt:lpstr>
      <vt:lpstr>taxPayable_2g</vt:lpstr>
      <vt:lpstr>taxPayerStatus</vt:lpstr>
      <vt:lpstr>TCS</vt:lpstr>
      <vt:lpstr>TCS.AmtCarriedFwd</vt:lpstr>
      <vt:lpstr>TCS.AmtTCSClaimedThisYear</vt:lpstr>
      <vt:lpstr>TCS.BroughtFwdTDSAmt</vt:lpstr>
      <vt:lpstr>TCS.DeductedYear</vt:lpstr>
      <vt:lpstr>TCS.EmployerOrDeductorOrCollecterName</vt:lpstr>
      <vt:lpstr>TCS.Sum</vt:lpstr>
      <vt:lpstr>TCS.TAN</vt:lpstr>
      <vt:lpstr>TCS.TotalTCS</vt:lpstr>
      <vt:lpstr>TD.OthDE</vt:lpstr>
      <vt:lpstr>TDS</vt:lpstr>
      <vt:lpstr>TDS.IncSum</vt:lpstr>
      <vt:lpstr>TDS1.EmployerOrDeductorOrCollecterName</vt:lpstr>
      <vt:lpstr>TDS1.IncChrgSal</vt:lpstr>
      <vt:lpstr>TDS1.IncSum</vt:lpstr>
      <vt:lpstr>TDS1.Sum</vt:lpstr>
      <vt:lpstr>TDS1.TAN</vt:lpstr>
      <vt:lpstr>TDS1.TotalTDSSal</vt:lpstr>
      <vt:lpstr>TDS2.AmtCarriedForward</vt:lpstr>
      <vt:lpstr>TDS2.BroughtFwdTDSAmt</vt:lpstr>
      <vt:lpstr>TDS2.ClaimedIncome5A</vt:lpstr>
      <vt:lpstr>TDS2.ClaimedInOwnHands</vt:lpstr>
      <vt:lpstr>TDS2.ClaimedPAN5A</vt:lpstr>
      <vt:lpstr>TDS2.ClaimedTDS5A</vt:lpstr>
      <vt:lpstr>TDS2.DeductedIncome5A</vt:lpstr>
      <vt:lpstr>TDS2.DeductedInOwnHands</vt:lpstr>
      <vt:lpstr>TDS2.DeductedTDS5A</vt:lpstr>
      <vt:lpstr>TDS2.DeductedYear</vt:lpstr>
      <vt:lpstr>Tds2.EntryCheck</vt:lpstr>
      <vt:lpstr>TDS2.GrossAmount</vt:lpstr>
      <vt:lpstr>TDS2.HeadOfIncome</vt:lpstr>
      <vt:lpstr>TDS2.PanOtherPerson</vt:lpstr>
      <vt:lpstr>TDS2.TAN</vt:lpstr>
      <vt:lpstr>TDS2.TDSCreditName</vt:lpstr>
      <vt:lpstr>TDS2.Total</vt:lpstr>
      <vt:lpstr>TDS3.Aadhaar</vt:lpstr>
      <vt:lpstr>TDS3.AmtCarriedForward</vt:lpstr>
      <vt:lpstr>TDS3.BroughtFwdTDSAmt</vt:lpstr>
      <vt:lpstr>TDS3.ClaimedIncome5A</vt:lpstr>
      <vt:lpstr>TDS3.ClaimedInOwnHands</vt:lpstr>
      <vt:lpstr>TDS3.ClaimedPAN5A</vt:lpstr>
      <vt:lpstr>TDS3.ClaimedTDS5A</vt:lpstr>
      <vt:lpstr>TDS3.DeductedIncome5A</vt:lpstr>
      <vt:lpstr>TDS3.DeductedInOwnHands</vt:lpstr>
      <vt:lpstr>TDS3.DeductedTDS5A</vt:lpstr>
      <vt:lpstr>TDS3.DeductedYear</vt:lpstr>
      <vt:lpstr>Tds3.EntryCheck</vt:lpstr>
      <vt:lpstr>TDS3.GrossAmount</vt:lpstr>
      <vt:lpstr>TDS3.HeadOfIncome</vt:lpstr>
      <vt:lpstr>TDS3.PAN</vt:lpstr>
      <vt:lpstr>TDS3.PanOtherPerson</vt:lpstr>
      <vt:lpstr>TDS3.TDSCreditName</vt:lpstr>
      <vt:lpstr>TDS3.Total</vt:lpstr>
      <vt:lpstr>TDSAadharOfOther_TDS2</vt:lpstr>
      <vt:lpstr>Temp_111A</vt:lpstr>
      <vt:lpstr>Temp_111A_112A</vt:lpstr>
      <vt:lpstr>Temp_111A_Number</vt:lpstr>
      <vt:lpstr>Temp_112A</vt:lpstr>
      <vt:lpstr>Temp_Allowance</vt:lpstr>
      <vt:lpstr>Temp_CG</vt:lpstr>
      <vt:lpstr>Temp_DA_BS</vt:lpstr>
      <vt:lpstr>Temp_HRA</vt:lpstr>
      <vt:lpstr>Temp_HRA_Sec13A</vt:lpstr>
      <vt:lpstr>Temp_Inc89A</vt:lpstr>
      <vt:lpstr>Temp_Inc89AOth</vt:lpstr>
      <vt:lpstr>Temp_IncomeFromLottery</vt:lpstr>
      <vt:lpstr>Temp_lakhcheck</vt:lpstr>
      <vt:lpstr>Temp_Null</vt:lpstr>
      <vt:lpstr>Temp_Null_1</vt:lpstr>
      <vt:lpstr>Temp_OTH</vt:lpstr>
      <vt:lpstr>Temp_OthersPAN_NotAvailable</vt:lpstr>
      <vt:lpstr>temp_Otherthan112A</vt:lpstr>
      <vt:lpstr>Temp_Pensioner</vt:lpstr>
      <vt:lpstr>Temp_PSU</vt:lpstr>
      <vt:lpstr>Temp_PTI_112A</vt:lpstr>
      <vt:lpstr>Temp_RadioButton</vt:lpstr>
      <vt:lpstr>Temp_Salary_171</vt:lpstr>
      <vt:lpstr>Temp_SG</vt:lpstr>
      <vt:lpstr>temp100</vt:lpstr>
      <vt:lpstr>temp10Sec1121c2</vt:lpstr>
      <vt:lpstr>temp10Sec112A</vt:lpstr>
      <vt:lpstr>temp10Sec115AC1</vt:lpstr>
      <vt:lpstr>temp10Sec115ACA1</vt:lpstr>
      <vt:lpstr>temp10Sec115AD3</vt:lpstr>
      <vt:lpstr>temp10Sec115AD3_Proviso</vt:lpstr>
      <vt:lpstr>temp10Sec115Eb</vt:lpstr>
      <vt:lpstr>temp10SecPro</vt:lpstr>
      <vt:lpstr>temp111A_exmp</vt:lpstr>
      <vt:lpstr>temp112_exmp</vt:lpstr>
      <vt:lpstr>temp112A_exmp</vt:lpstr>
      <vt:lpstr>temp112pro_exmp</vt:lpstr>
      <vt:lpstr>temp115AD30</vt:lpstr>
      <vt:lpstr>temp15</vt:lpstr>
      <vt:lpstr>temp15Sec111a</vt:lpstr>
      <vt:lpstr>temp15Sec115ad1bii</vt:lpstr>
      <vt:lpstr>temp20Sec112</vt:lpstr>
      <vt:lpstr>temp20Sec11EA</vt:lpstr>
      <vt:lpstr>temp30</vt:lpstr>
      <vt:lpstr>temp40</vt:lpstr>
      <vt:lpstr>temp50</vt:lpstr>
      <vt:lpstr>temp60</vt:lpstr>
      <vt:lpstr>temp80</vt:lpstr>
      <vt:lpstr>TEMP80CCD1</vt:lpstr>
      <vt:lpstr>TempAfterSpecifiedSetoff</vt:lpstr>
      <vt:lpstr>TempAfterSpecSetoff</vt:lpstr>
      <vt:lpstr>tempAR</vt:lpstr>
      <vt:lpstr>tempBBDA</vt:lpstr>
      <vt:lpstr>TempBussLoss</vt:lpstr>
      <vt:lpstr>Tempgross</vt:lpstr>
      <vt:lpstr>Tempgross1</vt:lpstr>
      <vt:lpstr>TempK</vt:lpstr>
      <vt:lpstr>tempPTI10</vt:lpstr>
      <vt:lpstr>tempPTI10_112</vt:lpstr>
      <vt:lpstr>tempPTI112A_exmp</vt:lpstr>
      <vt:lpstr>tempPTI15</vt:lpstr>
      <vt:lpstr>tempPTI15_exmp</vt:lpstr>
      <vt:lpstr>tempPTI20</vt:lpstr>
      <vt:lpstr>tempPTI30</vt:lpstr>
      <vt:lpstr>tempPTIAR</vt:lpstr>
      <vt:lpstr>tempSurcharge</vt:lpstr>
      <vt:lpstr>tempxml</vt:lpstr>
      <vt:lpstr>TN.Flag</vt:lpstr>
      <vt:lpstr>TodayDate</vt:lpstr>
      <vt:lpstr>Tot_Inc</vt:lpstr>
      <vt:lpstr>Tot_Inc_Without_80GG</vt:lpstr>
      <vt:lpstr>Total_234Cii</vt:lpstr>
      <vt:lpstr>Total_Balance_112A</vt:lpstr>
      <vt:lpstr>Total_Balance_115AD</vt:lpstr>
      <vt:lpstr>Total_COAwithIndex_112A</vt:lpstr>
      <vt:lpstr>Total_COAwithIndex_115AD</vt:lpstr>
      <vt:lpstr>Total_COAwithoutIndex_112A</vt:lpstr>
      <vt:lpstr>Total_COAwithoutIndex_115AD</vt:lpstr>
      <vt:lpstr>Total_CostofImprovement_112A</vt:lpstr>
      <vt:lpstr>Total_CostofImprovement_115AD</vt:lpstr>
      <vt:lpstr>Total_Donation_Cash_80GGA</vt:lpstr>
      <vt:lpstr>Total_Donation_Cash_80GGANew</vt:lpstr>
      <vt:lpstr>Total_Donation_Eligible_80GGA</vt:lpstr>
      <vt:lpstr>Total_Donation_Eligible_80GGANew</vt:lpstr>
      <vt:lpstr>Total_Donation_OtherMode_80GGA</vt:lpstr>
      <vt:lpstr>Total_Donation_OtherMode_80GGANew</vt:lpstr>
      <vt:lpstr>Total_Donation_Total_80GGA</vt:lpstr>
      <vt:lpstr>Total_Donation_Total_80GGANew</vt:lpstr>
      <vt:lpstr>Total_ExpenditureWholly_112A</vt:lpstr>
      <vt:lpstr>Total_ExpenditureWholly_115AD</vt:lpstr>
      <vt:lpstr>Total_FullValueConsideration_112A</vt:lpstr>
      <vt:lpstr>Total_FullValueConsideration_115AD</vt:lpstr>
      <vt:lpstr>Total_LTCGAssetAcquired_112A</vt:lpstr>
      <vt:lpstr>Total_LTCGAssetAcquired_115AD</vt:lpstr>
      <vt:lpstr>Total_TotalDeductions_112A</vt:lpstr>
      <vt:lpstr>Total_TotalDeductions_115AD</vt:lpstr>
      <vt:lpstr>Total_TotalFairMarketValue_112A</vt:lpstr>
      <vt:lpstr>Total_TotalFairMarketValue_115AD</vt:lpstr>
      <vt:lpstr>Total_TotalSaleValue_112A</vt:lpstr>
      <vt:lpstr>Total_TotalSaleValue_115AD</vt:lpstr>
      <vt:lpstr>total1ai</vt:lpstr>
      <vt:lpstr>Total562TaxDTAA</vt:lpstr>
      <vt:lpstr>TotalDeductions_112A</vt:lpstr>
      <vt:lpstr>TotalDeductions_115AD</vt:lpstr>
      <vt:lpstr>TotalFairMarketValue_112A</vt:lpstr>
      <vt:lpstr>TotalFairMarketValue_115AD</vt:lpstr>
      <vt:lpstr>totalIncm</vt:lpstr>
      <vt:lpstr>totalIncome_2g</vt:lpstr>
      <vt:lpstr>TotalPassThroughIncomeDTAA</vt:lpstr>
      <vt:lpstr>TotalPendingIncome</vt:lpstr>
      <vt:lpstr>TotalSaleValue_112A</vt:lpstr>
      <vt:lpstr>TotalSaleValue_115AD</vt:lpstr>
      <vt:lpstr>TotalSITax</vt:lpstr>
      <vt:lpstr>totcfloss.BusLossOthThanSpecLossCF11</vt:lpstr>
      <vt:lpstr>totcfloss.HPLossCF11</vt:lpstr>
      <vt:lpstr>totcfloss.LossFrmSpecBusCF11</vt:lpstr>
      <vt:lpstr>totcfloss.LossFrmSpecifiedBusCF11</vt:lpstr>
      <vt:lpstr>totcfloss.LTCGLossCF11</vt:lpstr>
      <vt:lpstr>totcfloss.OthSrcLossRaceHorseCF11</vt:lpstr>
      <vt:lpstr>totcfloss.STCGLossCF11</vt:lpstr>
      <vt:lpstr>totInc__14_of_TI_2g</vt:lpstr>
      <vt:lpstr>totInc_temp</vt:lpstr>
      <vt:lpstr>totLTCGsetoffRemaining</vt:lpstr>
      <vt:lpstr>totofbfloss.BusLossOthThanSpecLossCF8</vt:lpstr>
      <vt:lpstr>totofbfloss.HPLossCF8</vt:lpstr>
      <vt:lpstr>totofbfloss.LossFrmSpecBusCF8</vt:lpstr>
      <vt:lpstr>totofbfloss.LossFrmSpecifiedBusCF8</vt:lpstr>
      <vt:lpstr>totofbfloss.LTCGLossCF8</vt:lpstr>
      <vt:lpstr>totofbfloss.OthSrcLossRaceHorseCF8</vt:lpstr>
      <vt:lpstr>totofbfloss.STCGLossCF8</vt:lpstr>
      <vt:lpstr>TPSA.Amount</vt:lpstr>
      <vt:lpstr>TPSA_92CE_Amount</vt:lpstr>
      <vt:lpstr>TPSA_Additional_Income</vt:lpstr>
      <vt:lpstr>TPSA_AddtionalTax_Total</vt:lpstr>
      <vt:lpstr>TPSA_Education_Cess</vt:lpstr>
      <vt:lpstr>TPSA_Nettax</vt:lpstr>
      <vt:lpstr>TPSA_Surcharge</vt:lpstr>
      <vt:lpstr>TPSA_Taxpaid</vt:lpstr>
      <vt:lpstr>TPSC_Amount_Deposited</vt:lpstr>
      <vt:lpstr>TPSC_Amt</vt:lpstr>
      <vt:lpstr>TPSC_BankName</vt:lpstr>
      <vt:lpstr>TPSC_BSRCode</vt:lpstr>
      <vt:lpstr>TPSC_DateDep</vt:lpstr>
      <vt:lpstr>TPSC_SrlNoOfChaln</vt:lpstr>
      <vt:lpstr>TR_AmtTaxRefunded</vt:lpstr>
      <vt:lpstr>TR_AssmtYrTaxRelief</vt:lpstr>
      <vt:lpstr>TR_Country</vt:lpstr>
      <vt:lpstr>TR_ReliefClaimedUsSection</vt:lpstr>
      <vt:lpstr>TR_SrNo</vt:lpstr>
      <vt:lpstr>TR_TaxPaidOutsideIndFlg</vt:lpstr>
      <vt:lpstr>TR_TaxPaidOutsideIndia</vt:lpstr>
      <vt:lpstr>TR_TaxReliefOutsideIndia</vt:lpstr>
      <vt:lpstr>TR_TaxReliefOutsideIndiaDTAA</vt:lpstr>
      <vt:lpstr>TR_TaxReliefOutsideIndiaNotDTAA</vt:lpstr>
      <vt:lpstr>TR_TIN</vt:lpstr>
      <vt:lpstr>TR_TotalTaxPaidOutsideIndia</vt:lpstr>
      <vt:lpstr>TR_TotalTaxReliefOutsideIndia</vt:lpstr>
      <vt:lpstr>TradingAcc_AnyOtherDuty</vt:lpstr>
      <vt:lpstr>TradingAcc_Button1</vt:lpstr>
      <vt:lpstr>TradingAcc_Button2</vt:lpstr>
      <vt:lpstr>TradingAcc_CarriageInward</vt:lpstr>
      <vt:lpstr>TradingAcc_CGST</vt:lpstr>
      <vt:lpstr>TradingAcc_ClosingStockOfFinishedStocks</vt:lpstr>
      <vt:lpstr>TradingAcc_CostOfGoods</vt:lpstr>
      <vt:lpstr>TradingAcc_CounterVeilingDuty</vt:lpstr>
      <vt:lpstr>TradingAcc_CustomDuty</vt:lpstr>
      <vt:lpstr>TradingAcc_DutiesAnyOtherTax</vt:lpstr>
      <vt:lpstr>TradingAcc_DutiesCGST</vt:lpstr>
      <vt:lpstr>TradingAcc_DutiesIGST</vt:lpstr>
      <vt:lpstr>TradingAcc_DutiesServiceTax</vt:lpstr>
      <vt:lpstr>TradingAcc_DutiesSGST</vt:lpstr>
      <vt:lpstr>TradingAcc_DutiesUTGST</vt:lpstr>
      <vt:lpstr>TradingAcc_DutiesVatOrSalesTax</vt:lpstr>
      <vt:lpstr>TradingAcc_GrossProfitOrLoss</vt:lpstr>
      <vt:lpstr>TradingAcc_GrossRecieptsFromProfession</vt:lpstr>
      <vt:lpstr>TradingAcc_IGST</vt:lpstr>
      <vt:lpstr>TradingAcc_NatureOfDirectExpenses</vt:lpstr>
      <vt:lpstr>TradingAcc_OpeningStockOfFinishedGoods</vt:lpstr>
      <vt:lpstr>TradingAcc_OtherDirectAmount</vt:lpstr>
      <vt:lpstr>TradingAcc_PowerAndFuel</vt:lpstr>
      <vt:lpstr>TradingAcc_Purchases</vt:lpstr>
      <vt:lpstr>TradingAcc_RevenueAmount</vt:lpstr>
      <vt:lpstr>TradingAcc_RevenueNature</vt:lpstr>
      <vt:lpstr>TradingAcc_RevenueTotal</vt:lpstr>
      <vt:lpstr>TradingAcc_SalesOfGoods</vt:lpstr>
      <vt:lpstr>TradingAcc_SalesOfServices</vt:lpstr>
      <vt:lpstr>TradingAcc_ServiceTax</vt:lpstr>
      <vt:lpstr>TradingAcc_SGST</vt:lpstr>
      <vt:lpstr>TradingAcc_SpecialAdditionalDuty</vt:lpstr>
      <vt:lpstr>TradingAcc_TotalDirectExpenses</vt:lpstr>
      <vt:lpstr>TradingAcc_TotalDuties</vt:lpstr>
      <vt:lpstr>TradingAcc_TotalDutiesTaxesCess</vt:lpstr>
      <vt:lpstr>TradingAcc_TotalOfCreditsToTradingAccount</vt:lpstr>
      <vt:lpstr>TradingAcc_TotalOfSalesOrGross</vt:lpstr>
      <vt:lpstr>TradingAcc_TotalRevenueFromOperations</vt:lpstr>
      <vt:lpstr>TradingAcc_UnionExciseDuties</vt:lpstr>
      <vt:lpstr>TradingAcc_UnionExciseDuty</vt:lpstr>
      <vt:lpstr>TradingAcc_UTGST</vt:lpstr>
      <vt:lpstr>TradingAcc_VatOrSalesTax</vt:lpstr>
      <vt:lpstr>trasactionAct</vt:lpstr>
      <vt:lpstr>UD.115BAC</vt:lpstr>
      <vt:lpstr>UD.AssessmentYear</vt:lpstr>
      <vt:lpstr>UD.Balance</vt:lpstr>
      <vt:lpstr>UD.BF</vt:lpstr>
      <vt:lpstr>UD.Button4</vt:lpstr>
      <vt:lpstr>UD.Setoff</vt:lpstr>
      <vt:lpstr>UD.Totadj115BAC</vt:lpstr>
      <vt:lpstr>UD.TotBalance</vt:lpstr>
      <vt:lpstr>UD.TotBF</vt:lpstr>
      <vt:lpstr>UD.TotSetoff</vt:lpstr>
      <vt:lpstr>UD2.Balance</vt:lpstr>
      <vt:lpstr>UD2.BF</vt:lpstr>
      <vt:lpstr>UD2.Setoff</vt:lpstr>
      <vt:lpstr>UD2.TotBalance</vt:lpstr>
      <vt:lpstr>UD2.TotBF</vt:lpstr>
      <vt:lpstr>UD2.TotSetoff</vt:lpstr>
      <vt:lpstr>UDCY.Balance</vt:lpstr>
      <vt:lpstr>UDCY2.Balance</vt:lpstr>
      <vt:lpstr>Unit</vt:lpstr>
      <vt:lpstr>VaEnterDOA_16_1</vt:lpstr>
      <vt:lpstr>VaEnterDOA_16_2</vt:lpstr>
      <vt:lpstr>VaEnterDOA_16_3</vt:lpstr>
      <vt:lpstr>VaEnterDOA_16_4</vt:lpstr>
      <vt:lpstr>VaEnterDOA_16_5</vt:lpstr>
      <vt:lpstr>VaEnterDOA_16_6</vt:lpstr>
      <vt:lpstr>ValEnterDPM16_100</vt:lpstr>
      <vt:lpstr>ValEnterDPM16_15</vt:lpstr>
      <vt:lpstr>ValEnterDPM16_30</vt:lpstr>
      <vt:lpstr>ValEnterDPM16_40</vt:lpstr>
      <vt:lpstr>ValEnterDPM16_50</vt:lpstr>
      <vt:lpstr>ValEnterDPM16_60</vt:lpstr>
      <vt:lpstr>ValEnterDPM16_80</vt:lpstr>
      <vt:lpstr>Value_After_CGsetoff_111A</vt:lpstr>
      <vt:lpstr>Veri.92CD</vt:lpstr>
      <vt:lpstr>VIASumWithout80G80GG</vt:lpstr>
      <vt:lpstr>WinLottRacePuzzDTAA</vt:lpstr>
      <vt:lpstr>YesNoCode</vt:lpstr>
      <vt:lpstr>yr1999.BusLossOthThanSpecLossCF</vt:lpstr>
      <vt:lpstr>yr1999.BusLossSpecBus</vt:lpstr>
      <vt:lpstr>yr1999.DateOfFiling</vt:lpstr>
      <vt:lpstr>yr1999.HPLossCF</vt:lpstr>
      <vt:lpstr>yr1999.LTCGLossCF</vt:lpstr>
      <vt:lpstr>yr1999.STCGLossCF</vt:lpstr>
      <vt:lpstr>yr2000.BusLossOthThanSpecLossCF1</vt:lpstr>
      <vt:lpstr>yr2000.DateOfFiling1</vt:lpstr>
      <vt:lpstr>yr2000.HPLossCF1</vt:lpstr>
      <vt:lpstr>yr2000.LTCGLossCF1</vt:lpstr>
      <vt:lpstr>yr2000.STCGLossCF1</vt:lpstr>
      <vt:lpstr>yr2001.BusLossOthThanSpecLossCF2</vt:lpstr>
      <vt:lpstr>yr2001.BusLossOthThanSpecLossCF2b</vt:lpstr>
      <vt:lpstr>yr2001.DateOfFiling2</vt:lpstr>
      <vt:lpstr>yr2001.HPLossCF2</vt:lpstr>
      <vt:lpstr>yr2001.LTCGLossCF2</vt:lpstr>
      <vt:lpstr>yr2001.STCGLossCF2</vt:lpstr>
      <vt:lpstr>yr2002.BusLossOthThanSpecLossCF3</vt:lpstr>
      <vt:lpstr>yr2002.BusLossOthThanSpecLossCF3a</vt:lpstr>
      <vt:lpstr>yr2002.BusLossOthThanSpecLossCF3b</vt:lpstr>
      <vt:lpstr>yr2002.DateOfFiling3</vt:lpstr>
      <vt:lpstr>yr2002.HPLossCF3</vt:lpstr>
      <vt:lpstr>yr2002.LTCGLossCF3</vt:lpstr>
      <vt:lpstr>yr2002.STCGLossCF3</vt:lpstr>
      <vt:lpstr>yr2003.BusLossOthThanSpecLossCF4</vt:lpstr>
      <vt:lpstr>yr2003.BusLossOthThanSpecLossCF4a</vt:lpstr>
      <vt:lpstr>yr2003.BusLossOthThanSpecLossCF4b</vt:lpstr>
      <vt:lpstr>yr2003.DateOfFiling4</vt:lpstr>
      <vt:lpstr>yr2003.HPLossCF4</vt:lpstr>
      <vt:lpstr>yr2003.LossFrmSpecBusCF4</vt:lpstr>
      <vt:lpstr>yr2003.LossFrmSpecifiedBusCF3</vt:lpstr>
      <vt:lpstr>yr2003.LossFrmSpecifiedBusCF4</vt:lpstr>
      <vt:lpstr>yr2003.LossFrmSpecifiedBusCF8</vt:lpstr>
      <vt:lpstr>yr2003.LossFrmSpecifiedBusCF9</vt:lpstr>
      <vt:lpstr>yr2003.LTCGLossCF4</vt:lpstr>
      <vt:lpstr>yr2003.OthSrcLossRaceHorseCF4</vt:lpstr>
      <vt:lpstr>yr2003.STCGLossCF4</vt:lpstr>
      <vt:lpstr>yr2004.BusLossOthThanSpecLossCF5</vt:lpstr>
      <vt:lpstr>yr2004.BusLossOthThanSpecLossCF5a</vt:lpstr>
      <vt:lpstr>yr2004.BusLossOthThanSpecLossCF5b</vt:lpstr>
      <vt:lpstr>yr2004.DateOfFiling5</vt:lpstr>
      <vt:lpstr>yr2004.HPLossCF5</vt:lpstr>
      <vt:lpstr>yr2004.LossFrmSpecBusCF5</vt:lpstr>
      <vt:lpstr>yr2004.LossFrmSpecifiedBusCF5</vt:lpstr>
      <vt:lpstr>yr2004.LTCGLossCF5</vt:lpstr>
      <vt:lpstr>yr2004.OthSrcLossRaceHorseCF5</vt:lpstr>
      <vt:lpstr>yr2004.STCGLossCF5</vt:lpstr>
      <vt:lpstr>yr2005.BusLossOthThanSpecLossCF6</vt:lpstr>
      <vt:lpstr>yr2005.BusLossOthThanSpecLossCF6a</vt:lpstr>
      <vt:lpstr>yr2005.BusLossOthThanSpecLossCF6b</vt:lpstr>
      <vt:lpstr>yr2005.DateOfFiling6</vt:lpstr>
      <vt:lpstr>yr2005.HPLossCF6</vt:lpstr>
      <vt:lpstr>yr2005.LossFrmSpecBusCF6</vt:lpstr>
      <vt:lpstr>yr2005.LossFrmSpecifiedBusCF6</vt:lpstr>
      <vt:lpstr>yr2005.LTCGLossCF6</vt:lpstr>
      <vt:lpstr>yr2005.OthSrcLossRaceHorseCF6</vt:lpstr>
      <vt:lpstr>yr2005.STCGLossCF6</vt:lpstr>
      <vt:lpstr>yr2006.BusLossOthThanSpecLossCF7</vt:lpstr>
      <vt:lpstr>yr2006.BusLossOthThanSpecLossCF7a</vt:lpstr>
      <vt:lpstr>yr2006.BusLossOthThanSpecLossCF7b</vt:lpstr>
      <vt:lpstr>yr2006.BusLossOthThanSpecLossCF9</vt:lpstr>
      <vt:lpstr>yr2006.BusLossOthThanSpecLossCF9a</vt:lpstr>
      <vt:lpstr>yr2006.BusLossOthThanSpecLossCF9b</vt:lpstr>
      <vt:lpstr>yr2006.DateOfFiling7</vt:lpstr>
      <vt:lpstr>yr2006.DateOfFiling9</vt:lpstr>
      <vt:lpstr>yr2006.HPLossCF7</vt:lpstr>
      <vt:lpstr>yr2006.HPLossCF9</vt:lpstr>
      <vt:lpstr>yr2006.LossFrmSpecBusCF7</vt:lpstr>
      <vt:lpstr>yr2006.LossFrmSpecBusCF9</vt:lpstr>
      <vt:lpstr>yr2006.LossFrmSpecifiedBusCF7</vt:lpstr>
      <vt:lpstr>yr2006.LossFrmSpecifiedBusCF9</vt:lpstr>
      <vt:lpstr>yr2006.LTCGLossCF7</vt:lpstr>
      <vt:lpstr>yr2006.LTCGLossCF9</vt:lpstr>
      <vt:lpstr>yr2006.OthSrcLossRaceHorseCF7</vt:lpstr>
      <vt:lpstr>yr2006.OthSrcLossRaceHorseCF9</vt:lpstr>
      <vt:lpstr>yr2006.STCGLossCF7</vt:lpstr>
      <vt:lpstr>yr2006.STCGLossCF9</vt:lpstr>
      <vt:lpstr>yr2007.BusLossOthThanSpecLossCF10</vt:lpstr>
      <vt:lpstr>yr2007.BusLossOthThanSpecLossCF9</vt:lpstr>
      <vt:lpstr>yr2007.BusLossOthThanSpecLossCF9a</vt:lpstr>
      <vt:lpstr>yr2007.BusLossOthThanSpecLossCF9b</vt:lpstr>
      <vt:lpstr>yr2007.DateOfFiling9</vt:lpstr>
      <vt:lpstr>yr2007.HPLossCF10</vt:lpstr>
      <vt:lpstr>yr2007.HPLossCF9</vt:lpstr>
      <vt:lpstr>yr2007.LossFrmSpecBusCF10</vt:lpstr>
      <vt:lpstr>yr2007.LossFrmSpecBusCF9</vt:lpstr>
      <vt:lpstr>yr2007.LossFrmSpecifiedBusCF10</vt:lpstr>
      <vt:lpstr>yr2007.LossFrmSpecifiedBusCF9</vt:lpstr>
      <vt:lpstr>yr2007.LTCGLossCF10</vt:lpstr>
      <vt:lpstr>yr2007.LTCGLossCF9</vt:lpstr>
      <vt:lpstr>yr2007.OthSrcLossRaceHorseCF10</vt:lpstr>
      <vt:lpstr>yr2007.OthSrcLossRaceHorseCF9</vt:lpstr>
      <vt:lpstr>yr2007.STCGLossCF10</vt:lpstr>
      <vt:lpstr>yr2007.STCGLossCF9</vt:lpstr>
      <vt:lpstr>yr2020.BusLossOthThanSpecLossCF10</vt:lpstr>
      <vt:lpstr>yr2020.BusLossOthThanSpecLossCF10a</vt:lpstr>
      <vt:lpstr>yr2020.BusLossOthThanSpecLossCF10b</vt:lpstr>
      <vt:lpstr>yr2020.DateOfFiling10</vt:lpstr>
      <vt:lpstr>yr2020.HPLossCF10</vt:lpstr>
      <vt:lpstr>yr2020.LossFrmSpecBusCF10</vt:lpstr>
      <vt:lpstr>yr2020.LossFrmSpecifiedBusCF10</vt:lpstr>
      <vt:lpstr>yr2020.LTCGLossCF10</vt:lpstr>
      <vt:lpstr>yr2020.OthSrcLossRaceHorseCF10</vt:lpstr>
      <vt:lpstr>yr2020.STCGLossCF10</vt:lpstr>
      <vt:lpstr>yr2021.BusLossOthThanSpecLossCF11</vt:lpstr>
      <vt:lpstr>yr2021.BusLossOthThanSpecLossCF11a</vt:lpstr>
      <vt:lpstr>yr2021.BusLossOthThanSpecLossCF11b</vt:lpstr>
      <vt:lpstr>yr2021.DateOfFiling11</vt:lpstr>
      <vt:lpstr>yr2021.HPLossCF11</vt:lpstr>
      <vt:lpstr>yr2021.LossFrmSpecBusCF11</vt:lpstr>
      <vt:lpstr>yr2021.LossFrmSpecifiedBusCF11</vt:lpstr>
      <vt:lpstr>yr2021.LTCGLossCF11</vt:lpstr>
      <vt:lpstr>yr2021.OthSrcLossRaceHorseCF11</vt:lpstr>
      <vt:lpstr>yr2021.STCGLossCF11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Income Tax Department</dc:creator>
  <cp:lastModifiedBy>Mukulika Poddar</cp:lastModifiedBy>
  <cp:lastPrinted>2022-03-21T19:03:21Z</cp:lastPrinted>
  <dcterms:created xsi:type="dcterms:W3CDTF">2014-12-08T02:53:27Z</dcterms:created>
  <dcterms:modified xsi:type="dcterms:W3CDTF">2022-09-02T10:25:57Z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kathirvel.s01@ad.infosys.com</vt:lpwstr>
  </property>
  <property fmtid="{D5CDD505-2E9C-101B-9397-08002B2CF9AE}" pid="5" name="MSIP_Label_be4b3411-284d-4d31-bd4f-bc13ef7f1fd6_SetDate">
    <vt:lpwstr>2020-10-30T09:26:40.7768571Z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a9a92c48-5b5b-4aaf-8102-3100147fa5cc</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kathirvel.s01@ad.infosys.com</vt:lpwstr>
  </property>
  <property fmtid="{D5CDD505-2E9C-101B-9397-08002B2CF9AE}" pid="13" name="MSIP_Label_a0819fa7-4367-4500-ba88-dd630d977609_SetDate">
    <vt:lpwstr>2020-10-30T09:26:40.7768571Z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a9a92c48-5b5b-4aaf-8102-3100147fa5cc</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