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tarun\Desktop\Online Sessions\3 Advance Business Excel ICMAI July-22\"/>
    </mc:Choice>
  </mc:AlternateContent>
  <xr:revisionPtr revIDLastSave="0" documentId="13_ncr:1_{B6F6E752-BA71-4225-8BB1-E3295E1412CC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0" i="1" l="1"/>
  <c r="D189" i="1"/>
  <c r="E201" i="1"/>
  <c r="E195" i="1"/>
  <c r="E196" i="1"/>
  <c r="E197" i="1"/>
  <c r="E194" i="1"/>
  <c r="D195" i="1"/>
  <c r="D196" i="1"/>
  <c r="D197" i="1"/>
  <c r="D194" i="1"/>
  <c r="C197" i="1"/>
  <c r="B186" i="1"/>
  <c r="B185" i="1"/>
  <c r="D176" i="1"/>
  <c r="D170" i="1"/>
  <c r="E170" i="1" s="1"/>
  <c r="E173" i="1" s="1"/>
  <c r="E171" i="1"/>
  <c r="E172" i="1"/>
  <c r="E169" i="1"/>
  <c r="D169" i="1"/>
  <c r="D171" i="1"/>
  <c r="D172" i="1"/>
  <c r="C172" i="1"/>
  <c r="C160" i="1"/>
  <c r="E164" i="1"/>
  <c r="G156" i="1"/>
  <c r="E150" i="1"/>
  <c r="E147" i="1"/>
  <c r="E148" i="1"/>
  <c r="E149" i="1"/>
  <c r="E146" i="1"/>
  <c r="C133" i="1"/>
  <c r="C129" i="1"/>
  <c r="C130" i="1"/>
  <c r="C131" i="1"/>
  <c r="C132" i="1"/>
  <c r="C128" i="1"/>
  <c r="D125" i="1"/>
  <c r="G120" i="1"/>
  <c r="E114" i="1"/>
  <c r="E118" i="1" s="1"/>
  <c r="C96" i="1"/>
  <c r="E115" i="1"/>
  <c r="E116" i="1"/>
  <c r="E117" i="1"/>
  <c r="E107" i="1"/>
  <c r="E108" i="1"/>
  <c r="E109" i="1"/>
  <c r="E110" i="1"/>
  <c r="D103" i="1"/>
  <c r="D77" i="1"/>
  <c r="E77" i="1" s="1"/>
  <c r="D78" i="1" s="1"/>
  <c r="B72" i="1"/>
  <c r="B73" i="1"/>
  <c r="H46" i="1"/>
  <c r="D57" i="1"/>
  <c r="D58" i="1"/>
  <c r="D59" i="1"/>
  <c r="E47" i="1"/>
  <c r="E48" i="1" s="1"/>
  <c r="E49" i="1" s="1"/>
  <c r="C50" i="1"/>
  <c r="C43" i="1"/>
  <c r="C42" i="1"/>
  <c r="H29" i="1"/>
  <c r="F25" i="1"/>
  <c r="I10" i="1"/>
  <c r="I11" i="1" s="1"/>
  <c r="I12" i="1" s="1"/>
  <c r="I13" i="1" s="1"/>
  <c r="I14" i="1" s="1"/>
  <c r="D10" i="1"/>
  <c r="C13" i="1"/>
  <c r="D13" i="1" s="1"/>
  <c r="D12" i="1"/>
  <c r="D11" i="1"/>
  <c r="D9" i="1"/>
  <c r="G129" i="1"/>
  <c r="G133" i="1"/>
  <c r="G128" i="1"/>
  <c r="G125" i="1"/>
  <c r="G121" i="1"/>
  <c r="G114" i="1"/>
  <c r="G108" i="1"/>
  <c r="G109" i="1"/>
  <c r="G110" i="1"/>
  <c r="G107" i="1"/>
  <c r="F9" i="1"/>
  <c r="E198" i="1" l="1"/>
  <c r="E199" i="1" s="1"/>
  <c r="E200" i="1" s="1"/>
  <c r="D198" i="1"/>
  <c r="D199" i="1" s="1"/>
  <c r="D200" i="1" s="1"/>
  <c r="D173" i="1"/>
  <c r="D178" i="1" s="1"/>
  <c r="E78" i="1"/>
  <c r="D60" i="1"/>
  <c r="C66" i="1" s="1"/>
  <c r="C67" i="1" s="1"/>
  <c r="D16" i="1"/>
  <c r="D14" i="1"/>
  <c r="D79" i="1" l="1"/>
  <c r="E79" i="1" s="1"/>
  <c r="D80" i="1" l="1"/>
  <c r="C80" i="1" s="1"/>
  <c r="C82" i="1" s="1"/>
</calcChain>
</file>

<file path=xl/sharedStrings.xml><?xml version="1.0" encoding="utf-8"?>
<sst xmlns="http://schemas.openxmlformats.org/spreadsheetml/2006/main" count="168" uniqueCount="133">
  <si>
    <t>Que.10</t>
  </si>
  <si>
    <t>using PV for investment decision:</t>
  </si>
  <si>
    <t>should I start a business if -</t>
  </si>
  <si>
    <t>annual cash income is Rs.6cr for 4 years</t>
  </si>
  <si>
    <t>terminal value is Rs.140 cr.</t>
  </si>
  <si>
    <t>desired return = 20%</t>
  </si>
  <si>
    <t>Year</t>
  </si>
  <si>
    <t>amount</t>
  </si>
  <si>
    <t>PV@20%</t>
  </si>
  <si>
    <t>lets do this business</t>
  </si>
  <si>
    <t>Initial investment is Rs.80 cr.</t>
  </si>
  <si>
    <t>net present value = present value of inflows - present value of outflows</t>
  </si>
  <si>
    <t>=NPV(20%,C10:C13)+C9</t>
  </si>
  <si>
    <t>if NPV is 3.05 cr. it means that in this project we will be:</t>
  </si>
  <si>
    <t>1) able to recover initial investment of Rs.80 cr. and</t>
  </si>
  <si>
    <t>2) able to earn 20% p.a. return on amount which remains invested and</t>
  </si>
  <si>
    <t>3) able to generate a surplus of Rs.3.05 cr.</t>
  </si>
  <si>
    <t>4) therefore we can accept this business proposal.</t>
  </si>
  <si>
    <t>pv of surplus</t>
  </si>
  <si>
    <t>Example:</t>
  </si>
  <si>
    <t>Rs. in crores</t>
  </si>
  <si>
    <t>rate =</t>
  </si>
  <si>
    <t>p.a.</t>
  </si>
  <si>
    <t>NPV =</t>
  </si>
  <si>
    <t>decision: accept</t>
  </si>
  <si>
    <t>How to see formulas:</t>
  </si>
  <si>
    <t>1) Ctrl + `</t>
  </si>
  <si>
    <t>2) formulatext function</t>
  </si>
  <si>
    <t>=PV(20%,B10,,-C10)</t>
  </si>
  <si>
    <t>3) use '</t>
  </si>
  <si>
    <t>Internal rate of return (IRR) =</t>
  </si>
  <si>
    <t>IRR &gt; desired rate of return : accept the proposal</t>
  </si>
  <si>
    <t>both NPV and IRR functions assume equal time interval for cash flows.</t>
  </si>
  <si>
    <t>Que.11</t>
  </si>
  <si>
    <t>Que.12</t>
  </si>
  <si>
    <t>Date</t>
  </si>
  <si>
    <t>Amount</t>
  </si>
  <si>
    <t>Date formatting:</t>
  </si>
  <si>
    <t>desired retrun = 10% p.a.</t>
  </si>
  <si>
    <t>Ctrl+1 tab n tab 0 tab U</t>
  </si>
  <si>
    <t>IRR =</t>
  </si>
  <si>
    <t>Que.13</t>
  </si>
  <si>
    <t>Amout</t>
  </si>
  <si>
    <t>IRR can give right decision only if intermediate cash flows can be reinvested at IRR itslef</t>
  </si>
  <si>
    <t xml:space="preserve">what if the reinvestment rate is 6% p.a.  </t>
  </si>
  <si>
    <t>here one should calculate MIRR for decision making.</t>
  </si>
  <si>
    <t>FV@6%</t>
  </si>
  <si>
    <t>delete row/column/cell</t>
  </si>
  <si>
    <t>Ctrl + - enter</t>
  </si>
  <si>
    <t>Adding Ctrl + = enter</t>
  </si>
  <si>
    <t>MIRR =</t>
  </si>
  <si>
    <t>=MIRR(C46:C49,6%,6%)</t>
  </si>
  <si>
    <t>reinvestment rate = 5% p.a.</t>
  </si>
  <si>
    <t>MIRR</t>
  </si>
  <si>
    <t>IRR</t>
  </si>
  <si>
    <t>SLM</t>
  </si>
  <si>
    <t>Straight line method of depreciation</t>
  </si>
  <si>
    <t>SYD</t>
  </si>
  <si>
    <t>Some of Years Digit Method of depreciation</t>
  </si>
  <si>
    <t>DB</t>
  </si>
  <si>
    <t>Declining Balance Method (Written down value method)</t>
  </si>
  <si>
    <t>example:</t>
  </si>
  <si>
    <t>Int.</t>
  </si>
  <si>
    <t>Bal</t>
  </si>
  <si>
    <t>Que.14</t>
  </si>
  <si>
    <t>Depreciation calcualtion:</t>
  </si>
  <si>
    <t>Cost of the asset =</t>
  </si>
  <si>
    <t>Salvage Value =</t>
  </si>
  <si>
    <t>Life =</t>
  </si>
  <si>
    <t>SLM depreciation =</t>
  </si>
  <si>
    <t>Sum of years digit method =</t>
  </si>
  <si>
    <t>Depreciation</t>
  </si>
  <si>
    <t>WDV</t>
  </si>
  <si>
    <t>Investment in AIF</t>
  </si>
  <si>
    <t>unrealized value of fund</t>
  </si>
  <si>
    <t>rate of depreciation implicit in DB function:</t>
  </si>
  <si>
    <t>cost of asset</t>
  </si>
  <si>
    <t>life</t>
  </si>
  <si>
    <t>years</t>
  </si>
  <si>
    <t>rate of depn.</t>
  </si>
  <si>
    <t>Salvage value = WDV</t>
  </si>
  <si>
    <t>dep</t>
  </si>
  <si>
    <t xml:space="preserve">WDV </t>
  </si>
  <si>
    <t>Using Excel for Bond (Debenture) management</t>
  </si>
  <si>
    <t>1) Yield function</t>
  </si>
  <si>
    <t>2) duration function</t>
  </si>
  <si>
    <t>3) modifoed duration function</t>
  </si>
  <si>
    <t>Que.15</t>
  </si>
  <si>
    <t xml:space="preserve">Par Value = Rs.1000, Maturity = 4 years, coupon = 10% p.a. </t>
  </si>
  <si>
    <t>Principal amount is repayable in four years equallys</t>
  </si>
  <si>
    <t>Fair value of bond today ?</t>
  </si>
  <si>
    <t>Prp</t>
  </si>
  <si>
    <t>Int</t>
  </si>
  <si>
    <t>Total</t>
  </si>
  <si>
    <t>current fair value</t>
  </si>
  <si>
    <t>=NPV(8%,E146:E149)</t>
  </si>
  <si>
    <t>desired return = 8% p.a. (Yield)</t>
  </si>
  <si>
    <t>Que.16</t>
  </si>
  <si>
    <t>Par value = Rs.1000, maturity = 4 years, coupon = 10% p.a.</t>
  </si>
  <si>
    <t>current market price = Rs.970, Calculate Yield ?</t>
  </si>
  <si>
    <t xml:space="preserve">amount </t>
  </si>
  <si>
    <t>Yield to Maturity (YTM) :</t>
  </si>
  <si>
    <t>1) IRR  =</t>
  </si>
  <si>
    <t>2) Yield function:</t>
  </si>
  <si>
    <t>settlement date (issue date/purchase date)</t>
  </si>
  <si>
    <t>maturity date</t>
  </si>
  <si>
    <t>coupon</t>
  </si>
  <si>
    <t>frequency</t>
  </si>
  <si>
    <t>Redemption</t>
  </si>
  <si>
    <t>pr (price today)</t>
  </si>
  <si>
    <t>=YIELD(E158,E159,E160,E161,E162,E163)</t>
  </si>
  <si>
    <t>Yield</t>
  </si>
  <si>
    <t>Que.17</t>
  </si>
  <si>
    <t>YTM</t>
  </si>
  <si>
    <t>Duration is the point of time where is entire</t>
  </si>
  <si>
    <t>amount is paid lumpsum then neither company</t>
  </si>
  <si>
    <t>nor investor will be at a loss of interest.</t>
  </si>
  <si>
    <t>Duration is the weighted average of time</t>
  </si>
  <si>
    <t>year*PV</t>
  </si>
  <si>
    <t>weighted average = sum of year* w/ sum of w</t>
  </si>
  <si>
    <t xml:space="preserve">Duration = </t>
  </si>
  <si>
    <t>Modified Duration = Duration / (1+y) =</t>
  </si>
  <si>
    <t>settlement date</t>
  </si>
  <si>
    <t>yield</t>
  </si>
  <si>
    <t>=DURATION(B180,B181,B182,B183,B184)</t>
  </si>
  <si>
    <t>=MDURATION(B180,B181,B182,B183,B184)</t>
  </si>
  <si>
    <t>% change in bond price = - MD * % change in Yiled</t>
  </si>
  <si>
    <t>change</t>
  </si>
  <si>
    <t>% change</t>
  </si>
  <si>
    <t>current Yield = 10%</t>
  </si>
  <si>
    <t>avg % change =</t>
  </si>
  <si>
    <t>yield 10% to 11%</t>
  </si>
  <si>
    <t>yield 10% to 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</si>
</sst>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₹&quot;\ #,##0.00;[Red]&quot;₹&quot;\ \-#,##0.00"/>
    <numFmt numFmtId="166" formatCode="0.000%"/>
    <numFmt numFmtId="169" formatCode="dd\ mmm\ yy"/>
    <numFmt numFmtId="170" formatCode="dd\ mmmm\ yyyy"/>
    <numFmt numFmtId="171" formatCode="dd\/mmm\/yy\ "/>
    <numFmt numFmtId="172" formatCode="dddd\ dd/mm/yyyy"/>
    <numFmt numFmtId="173" formatCode="ddd\,\ dd/mmm/yy"/>
    <numFmt numFmtId="175" formatCode="d/m/yy\,\ ddd"/>
    <numFmt numFmtId="181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" fontId="0" fillId="0" borderId="0" xfId="0" applyNumberFormat="1"/>
    <xf numFmtId="0" fontId="0" fillId="0" borderId="0" xfId="0" quotePrefix="1"/>
    <xf numFmtId="4" fontId="2" fillId="0" borderId="0" xfId="0" applyNumberFormat="1" applyFont="1"/>
    <xf numFmtId="0" fontId="2" fillId="0" borderId="1" xfId="0" applyFont="1" applyBorder="1"/>
    <xf numFmtId="0" fontId="0" fillId="0" borderId="1" xfId="0" applyBorder="1"/>
    <xf numFmtId="4" fontId="0" fillId="0" borderId="1" xfId="0" applyNumberFormat="1" applyBorder="1"/>
    <xf numFmtId="8" fontId="2" fillId="0" borderId="0" xfId="0" applyNumberFormat="1" applyFont="1"/>
    <xf numFmtId="9" fontId="0" fillId="0" borderId="0" xfId="0" applyNumberFormat="1"/>
    <xf numFmtId="10" fontId="0" fillId="0" borderId="0" xfId="0" applyNumberFormat="1"/>
    <xf numFmtId="166" fontId="0" fillId="0" borderId="0" xfId="0" applyNumberFormat="1"/>
    <xf numFmtId="14" fontId="0" fillId="0" borderId="0" xfId="0" applyNumberFormat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72" fontId="0" fillId="0" borderId="0" xfId="0" applyNumberFormat="1"/>
    <xf numFmtId="173" fontId="0" fillId="0" borderId="0" xfId="0" applyNumberFormat="1"/>
    <xf numFmtId="175" fontId="0" fillId="0" borderId="0" xfId="0" applyNumberFormat="1"/>
    <xf numFmtId="1" fontId="0" fillId="0" borderId="0" xfId="0" applyNumberFormat="1"/>
    <xf numFmtId="1" fontId="2" fillId="0" borderId="0" xfId="0" applyNumberFormat="1" applyFont="1"/>
    <xf numFmtId="10" fontId="2" fillId="0" borderId="0" xfId="0" applyNumberFormat="1" applyFont="1"/>
    <xf numFmtId="15" fontId="0" fillId="0" borderId="1" xfId="0" applyNumberFormat="1" applyBorder="1"/>
    <xf numFmtId="3" fontId="0" fillId="0" borderId="1" xfId="0" applyNumberFormat="1" applyBorder="1"/>
    <xf numFmtId="1" fontId="0" fillId="0" borderId="1" xfId="0" applyNumberFormat="1" applyBorder="1"/>
    <xf numFmtId="0" fontId="2" fillId="2" borderId="1" xfId="0" applyFont="1" applyFill="1" applyBorder="1"/>
    <xf numFmtId="181" fontId="0" fillId="0" borderId="0" xfId="0" applyNumberFormat="1"/>
    <xf numFmtId="0" fontId="0" fillId="0" borderId="0" xfId="0"/>
    <xf numFmtId="0" fontId="2" fillId="0" borderId="0" xfId="0" applyFont="1"/>
    <xf numFmtId="4" fontId="0" fillId="0" borderId="0" xfId="0" applyNumberFormat="1"/>
    <xf numFmtId="4" fontId="2" fillId="0" borderId="0" xfId="0" applyNumberFormat="1" applyFont="1"/>
    <xf numFmtId="9" fontId="0" fillId="0" borderId="0" xfId="0" applyNumberFormat="1"/>
    <xf numFmtId="10" fontId="0" fillId="0" borderId="0" xfId="0" applyNumberFormat="1"/>
    <xf numFmtId="15" fontId="0" fillId="0" borderId="0" xfId="0" applyNumberFormat="1"/>
    <xf numFmtId="3" fontId="0" fillId="0" borderId="0" xfId="0" applyNumberFormat="1"/>
    <xf numFmtId="0" fontId="0" fillId="0" borderId="0" xfId="0" quotePrefix="1"/>
    <xf numFmtId="0" fontId="3" fillId="0" borderId="0" xfId="0" applyFont="1"/>
    <xf numFmtId="10" fontId="1" fillId="0" borderId="0" xfId="0" applyNumberFormat="1" applyFont="1"/>
    <xf numFmtId="0" fontId="2" fillId="0" borderId="0" xfId="0" applyFont="1" applyAlignment="1">
      <alignment horizontal="right"/>
    </xf>
    <xf numFmtId="9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1"/>
  <sheetViews>
    <sheetView tabSelected="1" topLeftCell="A190" zoomScale="190" zoomScaleNormal="190" workbookViewId="0">
      <selection activeCell="C199" sqref="C199"/>
    </sheetView>
  </sheetViews>
  <sheetFormatPr defaultRowHeight="14.5" x14ac:dyDescent="0.35"/>
  <cols>
    <col min="2" max="2" width="9.54296875" bestFit="1" customWidth="1"/>
    <col min="8" max="8" width="18.08984375" bestFit="1" customWidth="1"/>
  </cols>
  <sheetData>
    <row r="1" spans="1:10" x14ac:dyDescent="0.35">
      <c r="A1" s="1" t="s">
        <v>0</v>
      </c>
      <c r="B1" t="s">
        <v>1</v>
      </c>
    </row>
    <row r="2" spans="1:10" x14ac:dyDescent="0.35">
      <c r="B2" t="s">
        <v>2</v>
      </c>
    </row>
    <row r="3" spans="1:10" x14ac:dyDescent="0.35">
      <c r="C3" t="s">
        <v>10</v>
      </c>
    </row>
    <row r="4" spans="1:10" x14ac:dyDescent="0.35">
      <c r="C4" t="s">
        <v>3</v>
      </c>
    </row>
    <row r="5" spans="1:10" x14ac:dyDescent="0.35">
      <c r="C5" t="s">
        <v>4</v>
      </c>
    </row>
    <row r="6" spans="1:10" x14ac:dyDescent="0.35">
      <c r="C6" t="s">
        <v>5</v>
      </c>
    </row>
    <row r="8" spans="1:10" x14ac:dyDescent="0.35">
      <c r="B8" s="5" t="s">
        <v>6</v>
      </c>
      <c r="C8" s="5" t="s">
        <v>7</v>
      </c>
      <c r="D8" s="5" t="s">
        <v>8</v>
      </c>
    </row>
    <row r="9" spans="1:10" x14ac:dyDescent="0.35">
      <c r="B9" s="6">
        <v>0</v>
      </c>
      <c r="C9" s="6">
        <v>-80</v>
      </c>
      <c r="D9" s="7">
        <f>PV(20%,B9,,-C9)</f>
        <v>-80</v>
      </c>
      <c r="F9" s="3" t="str">
        <f ca="1">_xlfn.FORMULATEXT(D9)</f>
        <v>=PV(20%,B9,,-C9)</v>
      </c>
      <c r="I9" s="2">
        <v>80</v>
      </c>
    </row>
    <row r="10" spans="1:10" x14ac:dyDescent="0.35">
      <c r="B10" s="6">
        <v>1</v>
      </c>
      <c r="C10" s="6">
        <v>6</v>
      </c>
      <c r="D10" s="7">
        <f>PV(20%,B10,,-C10)</f>
        <v>5</v>
      </c>
      <c r="F10" s="3" t="s">
        <v>28</v>
      </c>
      <c r="I10" s="2">
        <f>80*1.2-6</f>
        <v>90</v>
      </c>
    </row>
    <row r="11" spans="1:10" x14ac:dyDescent="0.35">
      <c r="B11" s="6">
        <v>2</v>
      </c>
      <c r="C11" s="6">
        <v>6</v>
      </c>
      <c r="D11" s="7">
        <f t="shared" ref="D10:D13" si="0">PV(20%,B11,,-C11)</f>
        <v>4.166666666666667</v>
      </c>
      <c r="F11" s="3"/>
      <c r="I11" s="2">
        <f>I10*1.2-6</f>
        <v>102</v>
      </c>
    </row>
    <row r="12" spans="1:10" x14ac:dyDescent="0.35">
      <c r="B12" s="6">
        <v>3</v>
      </c>
      <c r="C12" s="6">
        <v>6</v>
      </c>
      <c r="D12" s="7">
        <f t="shared" si="0"/>
        <v>3.4722222222222223</v>
      </c>
      <c r="F12" s="3"/>
      <c r="I12" s="2">
        <f>I11*1.2-6</f>
        <v>116.39999999999999</v>
      </c>
    </row>
    <row r="13" spans="1:10" x14ac:dyDescent="0.35">
      <c r="B13" s="6">
        <v>4</v>
      </c>
      <c r="C13" s="6">
        <f>140+6</f>
        <v>146</v>
      </c>
      <c r="D13" s="7">
        <f t="shared" si="0"/>
        <v>70.408950617283949</v>
      </c>
      <c r="F13" s="3"/>
      <c r="I13" s="2">
        <f>I12*1.2-146</f>
        <v>-6.3200000000000216</v>
      </c>
    </row>
    <row r="14" spans="1:10" x14ac:dyDescent="0.35">
      <c r="D14" s="4">
        <f>SUM(D9:D13)</f>
        <v>3.0478395061728492</v>
      </c>
      <c r="F14" t="s">
        <v>9</v>
      </c>
      <c r="I14" s="8">
        <f>PV(20%,4,,I13)</f>
        <v>3.04783950617285</v>
      </c>
      <c r="J14" t="s">
        <v>18</v>
      </c>
    </row>
    <row r="15" spans="1:10" x14ac:dyDescent="0.35">
      <c r="B15" t="s">
        <v>11</v>
      </c>
    </row>
    <row r="16" spans="1:10" x14ac:dyDescent="0.35">
      <c r="D16" s="4">
        <f>NPV(20%,C10:C13)+C9</f>
        <v>3.0478395061728492</v>
      </c>
      <c r="F16" s="3" t="s">
        <v>12</v>
      </c>
    </row>
    <row r="18" spans="1:9" x14ac:dyDescent="0.35">
      <c r="B18" t="s">
        <v>13</v>
      </c>
    </row>
    <row r="19" spans="1:9" x14ac:dyDescent="0.35">
      <c r="B19" t="s">
        <v>14</v>
      </c>
    </row>
    <row r="20" spans="1:9" x14ac:dyDescent="0.35">
      <c r="B20" t="s">
        <v>15</v>
      </c>
    </row>
    <row r="21" spans="1:9" x14ac:dyDescent="0.35">
      <c r="B21" t="s">
        <v>16</v>
      </c>
    </row>
    <row r="22" spans="1:9" x14ac:dyDescent="0.35">
      <c r="B22" t="s">
        <v>17</v>
      </c>
    </row>
    <row r="24" spans="1:9" x14ac:dyDescent="0.35">
      <c r="A24" s="1" t="s">
        <v>33</v>
      </c>
      <c r="B24" s="6" t="s">
        <v>6</v>
      </c>
      <c r="C24" s="6" t="s">
        <v>20</v>
      </c>
      <c r="E24" t="s">
        <v>21</v>
      </c>
      <c r="F24" s="11">
        <v>0.1</v>
      </c>
      <c r="G24" t="s">
        <v>22</v>
      </c>
      <c r="H24" t="s">
        <v>25</v>
      </c>
    </row>
    <row r="25" spans="1:9" x14ac:dyDescent="0.35">
      <c r="B25" s="6">
        <v>0</v>
      </c>
      <c r="C25" s="6">
        <v>-600</v>
      </c>
      <c r="E25" t="s">
        <v>23</v>
      </c>
      <c r="F25" s="2">
        <f>NPV(F24,C26:C31)+C25</f>
        <v>53.289104919333681</v>
      </c>
      <c r="H25" s="3" t="s">
        <v>26</v>
      </c>
    </row>
    <row r="26" spans="1:9" x14ac:dyDescent="0.35">
      <c r="B26" s="6">
        <v>1</v>
      </c>
      <c r="C26" s="6">
        <v>150</v>
      </c>
      <c r="E26" t="s">
        <v>24</v>
      </c>
      <c r="H26" t="s">
        <v>27</v>
      </c>
    </row>
    <row r="27" spans="1:9" x14ac:dyDescent="0.35">
      <c r="B27" s="6">
        <v>2</v>
      </c>
      <c r="C27" s="6">
        <v>150</v>
      </c>
      <c r="H27" t="s">
        <v>29</v>
      </c>
    </row>
    <row r="28" spans="1:9" x14ac:dyDescent="0.35">
      <c r="B28" s="6">
        <v>3</v>
      </c>
      <c r="C28" s="6">
        <v>150</v>
      </c>
    </row>
    <row r="29" spans="1:9" x14ac:dyDescent="0.35">
      <c r="B29" s="6">
        <v>4</v>
      </c>
      <c r="C29" s="6">
        <v>150</v>
      </c>
      <c r="E29" t="s">
        <v>30</v>
      </c>
      <c r="H29" s="11">
        <f>IRR(C25:C31)</f>
        <v>0.12978000690099489</v>
      </c>
      <c r="I29" t="s">
        <v>22</v>
      </c>
    </row>
    <row r="30" spans="1:9" x14ac:dyDescent="0.35">
      <c r="B30" s="6">
        <v>5</v>
      </c>
      <c r="C30" s="6">
        <v>150</v>
      </c>
      <c r="E30" t="s">
        <v>31</v>
      </c>
    </row>
    <row r="31" spans="1:9" x14ac:dyDescent="0.35">
      <c r="B31" s="6">
        <v>6</v>
      </c>
      <c r="C31" s="6">
        <v>150</v>
      </c>
    </row>
    <row r="33" spans="1:8" x14ac:dyDescent="0.35">
      <c r="B33" t="s">
        <v>32</v>
      </c>
    </row>
    <row r="35" spans="1:8" x14ac:dyDescent="0.35">
      <c r="A35" s="1" t="s">
        <v>34</v>
      </c>
      <c r="B35" s="6" t="s">
        <v>35</v>
      </c>
      <c r="C35" s="6" t="s">
        <v>36</v>
      </c>
      <c r="H35" t="s">
        <v>37</v>
      </c>
    </row>
    <row r="36" spans="1:8" x14ac:dyDescent="0.35">
      <c r="B36" s="22">
        <v>44651</v>
      </c>
      <c r="C36" s="23">
        <v>-100000</v>
      </c>
      <c r="E36" t="s">
        <v>39</v>
      </c>
      <c r="H36" s="12">
        <v>44569</v>
      </c>
    </row>
    <row r="37" spans="1:8" x14ac:dyDescent="0.35">
      <c r="B37" s="22">
        <v>44834</v>
      </c>
      <c r="C37" s="6">
        <v>50000</v>
      </c>
      <c r="E37" s="19"/>
      <c r="H37" s="13">
        <v>44569</v>
      </c>
    </row>
    <row r="38" spans="1:8" x14ac:dyDescent="0.35">
      <c r="B38" s="22">
        <v>45119</v>
      </c>
      <c r="C38" s="6">
        <v>25000</v>
      </c>
      <c r="H38" s="14">
        <v>44569</v>
      </c>
    </row>
    <row r="39" spans="1:8" x14ac:dyDescent="0.35">
      <c r="B39" s="22">
        <v>45291</v>
      </c>
      <c r="C39" s="6">
        <v>50000</v>
      </c>
      <c r="H39" s="15">
        <v>44569</v>
      </c>
    </row>
    <row r="40" spans="1:8" x14ac:dyDescent="0.35">
      <c r="B40" s="22">
        <v>45507</v>
      </c>
      <c r="C40" s="6">
        <v>10000</v>
      </c>
      <c r="H40" s="16">
        <v>44569</v>
      </c>
    </row>
    <row r="41" spans="1:8" x14ac:dyDescent="0.35">
      <c r="B41" t="s">
        <v>38</v>
      </c>
      <c r="H41" s="17">
        <v>44569</v>
      </c>
    </row>
    <row r="42" spans="1:8" x14ac:dyDescent="0.35">
      <c r="B42" t="s">
        <v>23</v>
      </c>
      <c r="C42" s="20">
        <f>XNPV(10%,C36:C40,B36:B40)</f>
        <v>20092.968343189499</v>
      </c>
      <c r="H42" s="18">
        <v>44569</v>
      </c>
    </row>
    <row r="43" spans="1:8" x14ac:dyDescent="0.35">
      <c r="B43" t="s">
        <v>40</v>
      </c>
      <c r="C43" s="21">
        <f>XIRR(C36:C40,B36:B40)</f>
        <v>0.28483152985572824</v>
      </c>
    </row>
    <row r="45" spans="1:8" x14ac:dyDescent="0.35">
      <c r="A45" s="1" t="s">
        <v>41</v>
      </c>
      <c r="B45" s="5" t="s">
        <v>6</v>
      </c>
      <c r="C45" s="5" t="s">
        <v>42</v>
      </c>
    </row>
    <row r="46" spans="1:8" x14ac:dyDescent="0.35">
      <c r="B46" s="6">
        <v>0</v>
      </c>
      <c r="C46" s="6">
        <v>-100000</v>
      </c>
      <c r="E46">
        <v>100000</v>
      </c>
      <c r="G46" t="s">
        <v>50</v>
      </c>
      <c r="H46" s="10">
        <f>MIRR(C46:C49,6%,6%)</f>
        <v>8.5811548821764339E-2</v>
      </c>
    </row>
    <row r="47" spans="1:8" x14ac:dyDescent="0.35">
      <c r="B47" s="6">
        <v>1</v>
      </c>
      <c r="C47" s="6">
        <v>40211</v>
      </c>
      <c r="E47">
        <f>E46*1.1-C47</f>
        <v>69789.000000000015</v>
      </c>
      <c r="H47" s="3" t="s">
        <v>51</v>
      </c>
    </row>
    <row r="48" spans="1:8" x14ac:dyDescent="0.35">
      <c r="B48" s="6">
        <v>2</v>
      </c>
      <c r="C48" s="6">
        <v>40211</v>
      </c>
      <c r="E48" s="19">
        <f>E47*1.1-C48</f>
        <v>36556.900000000023</v>
      </c>
    </row>
    <row r="49" spans="2:7" x14ac:dyDescent="0.35">
      <c r="B49" s="6">
        <v>3</v>
      </c>
      <c r="C49" s="6">
        <v>40211</v>
      </c>
      <c r="E49" s="19">
        <f>E48*1.1-C49</f>
        <v>1.5900000000256114</v>
      </c>
    </row>
    <row r="50" spans="2:7" x14ac:dyDescent="0.35">
      <c r="B50" s="1" t="s">
        <v>40</v>
      </c>
      <c r="C50" s="21">
        <f>IRR(C46:C49)</f>
        <v>9.9993214489704885E-2</v>
      </c>
    </row>
    <row r="52" spans="2:7" x14ac:dyDescent="0.35">
      <c r="B52" t="s">
        <v>43</v>
      </c>
    </row>
    <row r="53" spans="2:7" x14ac:dyDescent="0.35">
      <c r="B53" t="s">
        <v>44</v>
      </c>
    </row>
    <row r="54" spans="2:7" x14ac:dyDescent="0.35">
      <c r="B54" t="s">
        <v>45</v>
      </c>
    </row>
    <row r="56" spans="2:7" x14ac:dyDescent="0.35">
      <c r="B56" s="5" t="s">
        <v>6</v>
      </c>
      <c r="C56" s="5" t="s">
        <v>42</v>
      </c>
      <c r="D56" s="6" t="s">
        <v>46</v>
      </c>
      <c r="G56" t="s">
        <v>47</v>
      </c>
    </row>
    <row r="57" spans="2:7" x14ac:dyDescent="0.35">
      <c r="B57" s="6">
        <v>1</v>
      </c>
      <c r="C57" s="6">
        <v>40211</v>
      </c>
      <c r="D57" s="24">
        <f>C57*1.06^2</f>
        <v>45181.079600000005</v>
      </c>
      <c r="G57" t="s">
        <v>48</v>
      </c>
    </row>
    <row r="58" spans="2:7" x14ac:dyDescent="0.35">
      <c r="B58" s="6">
        <v>2</v>
      </c>
      <c r="C58" s="6">
        <v>40211</v>
      </c>
      <c r="D58" s="24">
        <f>C58*1.06^1</f>
        <v>42623.66</v>
      </c>
    </row>
    <row r="59" spans="2:7" x14ac:dyDescent="0.35">
      <c r="B59" s="6">
        <v>3</v>
      </c>
      <c r="C59" s="6">
        <v>40211</v>
      </c>
      <c r="D59" s="24">
        <f>C59</f>
        <v>40211</v>
      </c>
      <c r="G59" t="s">
        <v>49</v>
      </c>
    </row>
    <row r="60" spans="2:7" x14ac:dyDescent="0.35">
      <c r="D60" s="20">
        <f>SUM(D57:D59)</f>
        <v>128015.7396</v>
      </c>
    </row>
    <row r="62" spans="2:7" x14ac:dyDescent="0.35">
      <c r="B62" s="5" t="s">
        <v>6</v>
      </c>
      <c r="C62" s="5" t="s">
        <v>42</v>
      </c>
    </row>
    <row r="63" spans="2:7" x14ac:dyDescent="0.35">
      <c r="B63" s="6">
        <v>0</v>
      </c>
      <c r="C63" s="6">
        <v>-100000</v>
      </c>
    </row>
    <row r="64" spans="2:7" x14ac:dyDescent="0.35">
      <c r="B64" s="6">
        <v>1</v>
      </c>
      <c r="C64" s="6">
        <v>0</v>
      </c>
    </row>
    <row r="65" spans="1:8" x14ac:dyDescent="0.35">
      <c r="B65" s="6">
        <v>2</v>
      </c>
      <c r="C65" s="6">
        <v>0</v>
      </c>
    </row>
    <row r="66" spans="1:8" x14ac:dyDescent="0.35">
      <c r="B66" s="6">
        <v>3</v>
      </c>
      <c r="C66" s="24">
        <f>D60</f>
        <v>128015.7396</v>
      </c>
    </row>
    <row r="67" spans="1:8" x14ac:dyDescent="0.35">
      <c r="B67" t="s">
        <v>50</v>
      </c>
      <c r="C67" s="10">
        <f>IRR(C63:C66)</f>
        <v>8.5811548821762784E-2</v>
      </c>
    </row>
    <row r="69" spans="1:8" x14ac:dyDescent="0.35">
      <c r="A69" t="s">
        <v>19</v>
      </c>
      <c r="B69" s="25" t="s">
        <v>6</v>
      </c>
      <c r="C69" s="6">
        <v>0</v>
      </c>
      <c r="D69" s="6">
        <v>1</v>
      </c>
      <c r="E69" s="6">
        <v>2</v>
      </c>
      <c r="F69" s="6">
        <v>3</v>
      </c>
      <c r="G69" s="6">
        <v>4</v>
      </c>
      <c r="H69" s="6">
        <v>5</v>
      </c>
    </row>
    <row r="70" spans="1:8" x14ac:dyDescent="0.35">
      <c r="B70" s="25" t="s">
        <v>7</v>
      </c>
      <c r="C70" s="6">
        <v>-100</v>
      </c>
      <c r="D70" s="6">
        <v>30</v>
      </c>
      <c r="E70" s="6">
        <v>40</v>
      </c>
      <c r="F70" s="6">
        <v>30</v>
      </c>
      <c r="G70" s="6">
        <v>40</v>
      </c>
      <c r="H70" s="6">
        <v>30</v>
      </c>
    </row>
    <row r="71" spans="1:8" x14ac:dyDescent="0.35">
      <c r="B71" t="s">
        <v>52</v>
      </c>
    </row>
    <row r="72" spans="1:8" x14ac:dyDescent="0.35">
      <c r="B72" s="10">
        <f>IRR(C70:H70)</f>
        <v>0.20667938124631857</v>
      </c>
      <c r="C72" t="s">
        <v>54</v>
      </c>
    </row>
    <row r="73" spans="1:8" x14ac:dyDescent="0.35">
      <c r="B73" s="10">
        <f>MIRR(C70:H70,,5%)</f>
        <v>0.13438379699959202</v>
      </c>
      <c r="C73" t="s">
        <v>53</v>
      </c>
    </row>
    <row r="74" spans="1:8" s="27" customFormat="1" x14ac:dyDescent="0.35">
      <c r="B74" s="32"/>
    </row>
    <row r="75" spans="1:8" s="27" customFormat="1" x14ac:dyDescent="0.35">
      <c r="A75" s="28" t="s">
        <v>61</v>
      </c>
      <c r="B75" s="32" t="s">
        <v>6</v>
      </c>
      <c r="C75" s="27" t="s">
        <v>7</v>
      </c>
      <c r="D75" s="27" t="s">
        <v>62</v>
      </c>
      <c r="E75" s="27" t="s">
        <v>63</v>
      </c>
    </row>
    <row r="76" spans="1:8" s="27" customFormat="1" x14ac:dyDescent="0.35">
      <c r="B76" s="34">
        <v>0</v>
      </c>
      <c r="C76" s="27">
        <v>100000</v>
      </c>
      <c r="H76" s="9"/>
    </row>
    <row r="77" spans="1:8" s="27" customFormat="1" x14ac:dyDescent="0.35">
      <c r="A77" s="31">
        <v>0.1</v>
      </c>
      <c r="B77" s="34">
        <v>1</v>
      </c>
      <c r="C77" s="27">
        <v>-31547</v>
      </c>
      <c r="D77" s="27">
        <f>C76*10%</f>
        <v>10000</v>
      </c>
      <c r="E77" s="27">
        <f>C76+D77+C77</f>
        <v>78453</v>
      </c>
    </row>
    <row r="78" spans="1:8" s="27" customFormat="1" x14ac:dyDescent="0.35">
      <c r="A78" s="31">
        <v>0.11</v>
      </c>
      <c r="B78" s="34">
        <v>2</v>
      </c>
      <c r="C78" s="27">
        <v>-32104</v>
      </c>
      <c r="D78" s="19">
        <f>E77*11%</f>
        <v>8629.83</v>
      </c>
      <c r="E78" s="19">
        <f>E77+D78+C78</f>
        <v>54978.83</v>
      </c>
      <c r="H78" s="26"/>
    </row>
    <row r="79" spans="1:8" s="27" customFormat="1" x14ac:dyDescent="0.35">
      <c r="A79" s="31">
        <v>0.06</v>
      </c>
      <c r="B79" s="34">
        <v>3</v>
      </c>
      <c r="C79" s="27">
        <v>-29988</v>
      </c>
      <c r="D79" s="19">
        <f>E78*6%</f>
        <v>3298.7298000000001</v>
      </c>
      <c r="E79" s="19">
        <f>E78+D79+C79</f>
        <v>28289.559800000003</v>
      </c>
    </row>
    <row r="80" spans="1:8" s="27" customFormat="1" x14ac:dyDescent="0.35">
      <c r="A80" s="31">
        <v>0.04</v>
      </c>
      <c r="B80" s="34">
        <v>4</v>
      </c>
      <c r="C80" s="19">
        <f>-(E79+D80)</f>
        <v>-29421.142192000003</v>
      </c>
      <c r="D80" s="19">
        <f>E79*4%</f>
        <v>1131.582392</v>
      </c>
      <c r="E80" s="19">
        <v>0</v>
      </c>
    </row>
    <row r="81" spans="1:5" s="27" customFormat="1" x14ac:dyDescent="0.35">
      <c r="B81" s="34"/>
    </row>
    <row r="82" spans="1:5" s="27" customFormat="1" x14ac:dyDescent="0.35">
      <c r="B82" s="34"/>
      <c r="C82" s="32">
        <f>IRR(C76:C80)</f>
        <v>8.9826325186652012E-2</v>
      </c>
    </row>
    <row r="83" spans="1:5" s="27" customFormat="1" x14ac:dyDescent="0.35">
      <c r="B83" s="32"/>
    </row>
    <row r="84" spans="1:5" x14ac:dyDescent="0.35">
      <c r="A84" s="27" t="s">
        <v>55</v>
      </c>
      <c r="B84" s="27" t="s">
        <v>56</v>
      </c>
    </row>
    <row r="85" spans="1:5" x14ac:dyDescent="0.35">
      <c r="A85" s="27" t="s">
        <v>57</v>
      </c>
      <c r="B85" s="27" t="s">
        <v>58</v>
      </c>
    </row>
    <row r="86" spans="1:5" x14ac:dyDescent="0.35">
      <c r="A86" s="27" t="s">
        <v>59</v>
      </c>
      <c r="B86" s="27" t="s">
        <v>60</v>
      </c>
    </row>
    <row r="87" spans="1:5" x14ac:dyDescent="0.35">
      <c r="A87" s="27"/>
      <c r="B87" s="27"/>
    </row>
    <row r="88" spans="1:5" s="27" customFormat="1" x14ac:dyDescent="0.35"/>
    <row r="89" spans="1:5" s="27" customFormat="1" x14ac:dyDescent="0.35">
      <c r="B89" s="33">
        <v>44745</v>
      </c>
      <c r="C89">
        <v>-5000000</v>
      </c>
      <c r="D89"/>
      <c r="E89" t="s">
        <v>73</v>
      </c>
    </row>
    <row r="90" spans="1:5" s="27" customFormat="1" x14ac:dyDescent="0.35">
      <c r="B90" s="33">
        <v>44925</v>
      </c>
      <c r="C90">
        <v>52000</v>
      </c>
      <c r="D90"/>
      <c r="E90"/>
    </row>
    <row r="91" spans="1:5" s="27" customFormat="1" x14ac:dyDescent="0.35">
      <c r="B91" s="33">
        <v>44959</v>
      </c>
      <c r="C91" s="27">
        <v>104000</v>
      </c>
      <c r="D91"/>
      <c r="E91"/>
    </row>
    <row r="92" spans="1:5" s="27" customFormat="1" x14ac:dyDescent="0.35">
      <c r="B92" s="33">
        <v>45016</v>
      </c>
      <c r="C92" s="27">
        <v>-3000000</v>
      </c>
      <c r="D92"/>
      <c r="E92"/>
    </row>
    <row r="93" spans="1:5" s="27" customFormat="1" x14ac:dyDescent="0.35">
      <c r="B93" s="33">
        <v>45199</v>
      </c>
      <c r="C93" s="27">
        <v>200000</v>
      </c>
      <c r="D93"/>
      <c r="E93"/>
    </row>
    <row r="94" spans="1:5" s="27" customFormat="1" x14ac:dyDescent="0.35">
      <c r="B94" s="33">
        <v>46969</v>
      </c>
      <c r="C94" s="28">
        <v>15000000</v>
      </c>
      <c r="D94" t="s">
        <v>74</v>
      </c>
      <c r="E94"/>
    </row>
    <row r="95" spans="1:5" s="27" customFormat="1" x14ac:dyDescent="0.35">
      <c r="B95"/>
      <c r="C95"/>
      <c r="D95"/>
      <c r="E95"/>
    </row>
    <row r="96" spans="1:5" s="27" customFormat="1" x14ac:dyDescent="0.35">
      <c r="B96" t="s">
        <v>54</v>
      </c>
      <c r="C96" s="32">
        <f>XIRR(C89:C94,B89:B94)</f>
        <v>0.12209720015525818</v>
      </c>
      <c r="D96"/>
      <c r="E96"/>
    </row>
    <row r="97" spans="1:7" x14ac:dyDescent="0.35">
      <c r="A97" s="27"/>
      <c r="B97" s="27"/>
    </row>
    <row r="98" spans="1:7" x14ac:dyDescent="0.35">
      <c r="A98" s="28" t="s">
        <v>64</v>
      </c>
      <c r="B98" t="s">
        <v>65</v>
      </c>
    </row>
    <row r="99" spans="1:7" x14ac:dyDescent="0.35">
      <c r="B99" t="s">
        <v>66</v>
      </c>
      <c r="D99">
        <v>110000</v>
      </c>
    </row>
    <row r="100" spans="1:7" x14ac:dyDescent="0.35">
      <c r="B100" t="s">
        <v>67</v>
      </c>
      <c r="D100">
        <v>10000</v>
      </c>
    </row>
    <row r="101" spans="1:7" x14ac:dyDescent="0.35">
      <c r="B101" t="s">
        <v>68</v>
      </c>
      <c r="D101">
        <v>4</v>
      </c>
    </row>
    <row r="103" spans="1:7" x14ac:dyDescent="0.35">
      <c r="B103" t="s">
        <v>69</v>
      </c>
      <c r="D103" s="19">
        <f>SLN(D99,D100,D101)</f>
        <v>25000</v>
      </c>
      <c r="E103" t="s">
        <v>22</v>
      </c>
    </row>
    <row r="105" spans="1:7" x14ac:dyDescent="0.35">
      <c r="B105" t="s">
        <v>70</v>
      </c>
    </row>
    <row r="106" spans="1:7" x14ac:dyDescent="0.35">
      <c r="D106" t="s">
        <v>6</v>
      </c>
      <c r="E106" t="s">
        <v>71</v>
      </c>
    </row>
    <row r="107" spans="1:7" x14ac:dyDescent="0.35">
      <c r="D107">
        <v>1</v>
      </c>
      <c r="E107" s="19">
        <f>SYD($D$99,$D$100,$D$101,D107)</f>
        <v>40000</v>
      </c>
      <c r="G107" t="str">
        <f ca="1">_xlfn.FORMULATEXT(E107)</f>
        <v>=SYD($D$99,$D$100,$D$101,D107)</v>
      </c>
    </row>
    <row r="108" spans="1:7" x14ac:dyDescent="0.35">
      <c r="D108">
        <v>2</v>
      </c>
      <c r="E108" s="19">
        <f t="shared" ref="E108:E110" si="1">SYD($D$99,$D$100,$D$101,D108)</f>
        <v>30000</v>
      </c>
      <c r="G108" s="27" t="str">
        <f t="shared" ref="G108:G110" ca="1" si="2">_xlfn.FORMULATEXT(E108)</f>
        <v>=SYD($D$99,$D$100,$D$101,D108)</v>
      </c>
    </row>
    <row r="109" spans="1:7" x14ac:dyDescent="0.35">
      <c r="D109">
        <v>3</v>
      </c>
      <c r="E109" s="19">
        <f t="shared" si="1"/>
        <v>20000</v>
      </c>
      <c r="G109" s="27" t="str">
        <f t="shared" ca="1" si="2"/>
        <v>=SYD($D$99,$D$100,$D$101,D109)</v>
      </c>
    </row>
    <row r="110" spans="1:7" x14ac:dyDescent="0.35">
      <c r="D110">
        <v>4</v>
      </c>
      <c r="E110" s="19">
        <f t="shared" si="1"/>
        <v>10000</v>
      </c>
      <c r="G110" s="27" t="str">
        <f t="shared" ca="1" si="2"/>
        <v>=SYD($D$99,$D$100,$D$101,D110)</v>
      </c>
    </row>
    <row r="112" spans="1:7" x14ac:dyDescent="0.35">
      <c r="B112" s="27" t="s">
        <v>60</v>
      </c>
    </row>
    <row r="113" spans="1:7" x14ac:dyDescent="0.35">
      <c r="D113" s="27" t="s">
        <v>6</v>
      </c>
      <c r="E113" s="27" t="s">
        <v>71</v>
      </c>
    </row>
    <row r="114" spans="1:7" x14ac:dyDescent="0.35">
      <c r="D114" s="27">
        <v>1</v>
      </c>
      <c r="E114" s="19">
        <f>DB($D$99,$D$100,$D$101,D114)</f>
        <v>49610</v>
      </c>
      <c r="G114" s="27" t="str">
        <f t="shared" ref="G114" ca="1" si="3">_xlfn.FORMULATEXT(E114)</f>
        <v>=DB($D$99,$D$100,$D$101,D114)</v>
      </c>
    </row>
    <row r="115" spans="1:7" x14ac:dyDescent="0.35">
      <c r="D115" s="27">
        <v>2</v>
      </c>
      <c r="E115" s="19">
        <f t="shared" ref="E115:E117" si="4">DB($D$99,$D$100,$D$101,D115)</f>
        <v>27235.89</v>
      </c>
    </row>
    <row r="116" spans="1:7" x14ac:dyDescent="0.35">
      <c r="D116" s="27">
        <v>3</v>
      </c>
      <c r="E116" s="19">
        <f t="shared" si="4"/>
        <v>14952.50361</v>
      </c>
    </row>
    <row r="117" spans="1:7" x14ac:dyDescent="0.35">
      <c r="D117" s="27">
        <v>4</v>
      </c>
      <c r="E117" s="19">
        <f t="shared" si="4"/>
        <v>8208.9244818900006</v>
      </c>
    </row>
    <row r="118" spans="1:7" x14ac:dyDescent="0.35">
      <c r="D118" t="s">
        <v>72</v>
      </c>
      <c r="E118" s="20">
        <f>D99-SUM(E114:E117)</f>
        <v>9992.6819081099966</v>
      </c>
    </row>
    <row r="120" spans="1:7" x14ac:dyDescent="0.35">
      <c r="B120" t="s">
        <v>75</v>
      </c>
      <c r="G120" s="32">
        <f>RATE(4,0,110000,-10000)</f>
        <v>-0.45089951322376887</v>
      </c>
    </row>
    <row r="121" spans="1:7" x14ac:dyDescent="0.35">
      <c r="G121" t="str">
        <f ca="1">_xlfn.FORMULATEXT(G120)</f>
        <v>=RATE(4,0,110000,-10000)</v>
      </c>
    </row>
    <row r="122" spans="1:7" x14ac:dyDescent="0.35">
      <c r="A122" t="s">
        <v>61</v>
      </c>
      <c r="B122" t="s">
        <v>76</v>
      </c>
      <c r="D122">
        <v>500000</v>
      </c>
    </row>
    <row r="123" spans="1:7" x14ac:dyDescent="0.35">
      <c r="B123" t="s">
        <v>77</v>
      </c>
      <c r="D123">
        <v>5</v>
      </c>
      <c r="E123" t="s">
        <v>78</v>
      </c>
    </row>
    <row r="124" spans="1:7" x14ac:dyDescent="0.35">
      <c r="B124" t="s">
        <v>79</v>
      </c>
      <c r="D124" s="31">
        <v>0.15</v>
      </c>
      <c r="E124" t="s">
        <v>22</v>
      </c>
    </row>
    <row r="125" spans="1:7" x14ac:dyDescent="0.35">
      <c r="B125" t="s">
        <v>80</v>
      </c>
      <c r="D125" s="19">
        <f>FV(-15%,5,,-D122)</f>
        <v>221852.65624999994</v>
      </c>
      <c r="G125" t="str">
        <f ca="1">_xlfn.FORMULATEXT(D125)</f>
        <v>=FV(-15%,5,,-D122)</v>
      </c>
    </row>
    <row r="127" spans="1:7" x14ac:dyDescent="0.35">
      <c r="B127" t="s">
        <v>6</v>
      </c>
      <c r="C127" t="s">
        <v>81</v>
      </c>
    </row>
    <row r="128" spans="1:7" x14ac:dyDescent="0.35">
      <c r="B128">
        <v>1</v>
      </c>
      <c r="C128" s="19">
        <f>DB($D$122,$D$125,$D$123,B128)</f>
        <v>75000</v>
      </c>
      <c r="G128" t="str">
        <f ca="1">_xlfn.FORMULATEXT(C128)</f>
        <v>=DB($D$122,$D$125,$D$123,B128)</v>
      </c>
    </row>
    <row r="129" spans="1:7" x14ac:dyDescent="0.35">
      <c r="B129">
        <v>2</v>
      </c>
      <c r="C129" s="19">
        <f t="shared" ref="C129:C132" si="5">DB($D$122,$D$125,$D$123,B129)</f>
        <v>63750</v>
      </c>
      <c r="G129" s="27" t="str">
        <f ca="1">_xlfn.FORMULATEXT(C129)</f>
        <v>=DB($D$122,$D$125,$D$123,B129)</v>
      </c>
    </row>
    <row r="130" spans="1:7" x14ac:dyDescent="0.35">
      <c r="B130">
        <v>3</v>
      </c>
      <c r="C130" s="19">
        <f t="shared" si="5"/>
        <v>54187.5</v>
      </c>
    </row>
    <row r="131" spans="1:7" x14ac:dyDescent="0.35">
      <c r="B131">
        <v>4</v>
      </c>
      <c r="C131" s="19">
        <f t="shared" si="5"/>
        <v>46059.375</v>
      </c>
    </row>
    <row r="132" spans="1:7" x14ac:dyDescent="0.35">
      <c r="B132">
        <v>5</v>
      </c>
      <c r="C132" s="19">
        <f t="shared" si="5"/>
        <v>39150.46875</v>
      </c>
    </row>
    <row r="133" spans="1:7" x14ac:dyDescent="0.35">
      <c r="B133" t="s">
        <v>82</v>
      </c>
      <c r="C133" s="20">
        <f>D122-SUM(C128:C132)</f>
        <v>221852.65625</v>
      </c>
      <c r="G133" s="27" t="str">
        <f ca="1">_xlfn.FORMULATEXT(C133)</f>
        <v>=D122-SUM(C128:C132)</v>
      </c>
    </row>
    <row r="135" spans="1:7" x14ac:dyDescent="0.35">
      <c r="B135" s="36" t="s">
        <v>83</v>
      </c>
    </row>
    <row r="136" spans="1:7" x14ac:dyDescent="0.35">
      <c r="B136" t="s">
        <v>84</v>
      </c>
    </row>
    <row r="137" spans="1:7" x14ac:dyDescent="0.35">
      <c r="B137" t="s">
        <v>85</v>
      </c>
    </row>
    <row r="138" spans="1:7" x14ac:dyDescent="0.35">
      <c r="B138" t="s">
        <v>86</v>
      </c>
    </row>
    <row r="140" spans="1:7" x14ac:dyDescent="0.35">
      <c r="A140" s="28" t="s">
        <v>87</v>
      </c>
      <c r="B140" t="s">
        <v>88</v>
      </c>
    </row>
    <row r="141" spans="1:7" x14ac:dyDescent="0.35">
      <c r="B141" t="s">
        <v>89</v>
      </c>
    </row>
    <row r="142" spans="1:7" x14ac:dyDescent="0.35">
      <c r="B142" t="s">
        <v>96</v>
      </c>
    </row>
    <row r="143" spans="1:7" x14ac:dyDescent="0.35">
      <c r="B143" t="s">
        <v>90</v>
      </c>
    </row>
    <row r="145" spans="1:8" x14ac:dyDescent="0.35">
      <c r="B145" t="s">
        <v>6</v>
      </c>
      <c r="C145" t="s">
        <v>91</v>
      </c>
      <c r="D145" t="s">
        <v>92</v>
      </c>
      <c r="E145" t="s">
        <v>93</v>
      </c>
    </row>
    <row r="146" spans="1:8" x14ac:dyDescent="0.35">
      <c r="B146">
        <v>1</v>
      </c>
      <c r="C146">
        <v>250</v>
      </c>
      <c r="D146">
        <v>100</v>
      </c>
      <c r="E146">
        <f>SUM(C146:D146)</f>
        <v>350</v>
      </c>
    </row>
    <row r="147" spans="1:8" x14ac:dyDescent="0.35">
      <c r="B147">
        <v>2</v>
      </c>
      <c r="C147" s="27">
        <v>250</v>
      </c>
      <c r="D147">
        <v>75</v>
      </c>
      <c r="E147" s="27">
        <f t="shared" ref="E147:E149" si="6">SUM(C147:D147)</f>
        <v>325</v>
      </c>
    </row>
    <row r="148" spans="1:8" x14ac:dyDescent="0.35">
      <c r="B148">
        <v>3</v>
      </c>
      <c r="C148" s="27">
        <v>250</v>
      </c>
      <c r="D148">
        <v>50</v>
      </c>
      <c r="E148" s="27">
        <f t="shared" si="6"/>
        <v>300</v>
      </c>
    </row>
    <row r="149" spans="1:8" x14ac:dyDescent="0.35">
      <c r="B149">
        <v>4</v>
      </c>
      <c r="C149" s="27">
        <v>250</v>
      </c>
      <c r="D149">
        <v>25</v>
      </c>
      <c r="E149" s="27">
        <f t="shared" si="6"/>
        <v>275</v>
      </c>
    </row>
    <row r="150" spans="1:8" x14ac:dyDescent="0.35">
      <c r="B150" t="s">
        <v>94</v>
      </c>
      <c r="E150" s="30">
        <f>NPV(8%,E146:E149)</f>
        <v>1042.9920724972289</v>
      </c>
      <c r="H150" s="35" t="s">
        <v>95</v>
      </c>
    </row>
    <row r="152" spans="1:8" x14ac:dyDescent="0.35">
      <c r="A152" s="28" t="s">
        <v>97</v>
      </c>
      <c r="B152" t="s">
        <v>98</v>
      </c>
    </row>
    <row r="153" spans="1:8" x14ac:dyDescent="0.35">
      <c r="B153" t="s">
        <v>99</v>
      </c>
    </row>
    <row r="155" spans="1:8" x14ac:dyDescent="0.35">
      <c r="B155" t="s">
        <v>6</v>
      </c>
      <c r="C155" t="s">
        <v>100</v>
      </c>
      <c r="E155" t="s">
        <v>101</v>
      </c>
    </row>
    <row r="156" spans="1:8" x14ac:dyDescent="0.35">
      <c r="B156">
        <v>0</v>
      </c>
      <c r="C156">
        <v>-970</v>
      </c>
      <c r="E156" t="s">
        <v>102</v>
      </c>
      <c r="G156" s="37">
        <f>IRR(C156:C160)</f>
        <v>0.13069883882179911</v>
      </c>
      <c r="H156" t="s">
        <v>22</v>
      </c>
    </row>
    <row r="157" spans="1:8" x14ac:dyDescent="0.35">
      <c r="B157">
        <v>1</v>
      </c>
      <c r="C157">
        <v>100</v>
      </c>
      <c r="E157" t="s">
        <v>103</v>
      </c>
    </row>
    <row r="158" spans="1:8" x14ac:dyDescent="0.35">
      <c r="B158">
        <v>2</v>
      </c>
      <c r="C158" s="27">
        <v>100</v>
      </c>
      <c r="E158" s="33">
        <v>44746</v>
      </c>
      <c r="F158" t="s">
        <v>104</v>
      </c>
    </row>
    <row r="159" spans="1:8" x14ac:dyDescent="0.35">
      <c r="B159">
        <v>3</v>
      </c>
      <c r="C159" s="27">
        <v>100</v>
      </c>
      <c r="E159" s="33">
        <v>46207</v>
      </c>
      <c r="F159" t="s">
        <v>105</v>
      </c>
    </row>
    <row r="160" spans="1:8" x14ac:dyDescent="0.35">
      <c r="B160">
        <v>4</v>
      </c>
      <c r="C160" s="27">
        <f>1100+100</f>
        <v>1200</v>
      </c>
      <c r="E160" s="31">
        <v>0.1</v>
      </c>
      <c r="F160" t="s">
        <v>106</v>
      </c>
    </row>
    <row r="161" spans="1:6" x14ac:dyDescent="0.35">
      <c r="E161" s="28">
        <v>97</v>
      </c>
      <c r="F161" t="s">
        <v>109</v>
      </c>
    </row>
    <row r="162" spans="1:6" x14ac:dyDescent="0.35">
      <c r="E162" s="28">
        <v>100</v>
      </c>
      <c r="F162" t="s">
        <v>108</v>
      </c>
    </row>
    <row r="163" spans="1:6" x14ac:dyDescent="0.35">
      <c r="E163">
        <v>1</v>
      </c>
      <c r="F163" t="s">
        <v>107</v>
      </c>
    </row>
    <row r="164" spans="1:6" x14ac:dyDescent="0.35">
      <c r="E164" s="37">
        <f>YIELD(E158,E159,E160,E161,E162,E163)</f>
        <v>0.10966283027623773</v>
      </c>
      <c r="F164" t="s">
        <v>111</v>
      </c>
    </row>
    <row r="165" spans="1:6" x14ac:dyDescent="0.35">
      <c r="E165" s="35" t="s">
        <v>110</v>
      </c>
    </row>
    <row r="167" spans="1:6" x14ac:dyDescent="0.35">
      <c r="A167" s="28" t="s">
        <v>112</v>
      </c>
      <c r="D167" s="38" t="s">
        <v>113</v>
      </c>
    </row>
    <row r="168" spans="1:6" x14ac:dyDescent="0.35">
      <c r="B168" s="5" t="s">
        <v>6</v>
      </c>
      <c r="C168" s="5" t="s">
        <v>7</v>
      </c>
      <c r="D168" s="39">
        <v>0.1</v>
      </c>
      <c r="E168" s="6" t="s">
        <v>118</v>
      </c>
      <c r="F168" t="s">
        <v>114</v>
      </c>
    </row>
    <row r="169" spans="1:6" x14ac:dyDescent="0.35">
      <c r="B169" s="6">
        <v>1</v>
      </c>
      <c r="C169" s="6">
        <v>100</v>
      </c>
      <c r="D169" s="7">
        <f>PV($D$168,B169,,-C169)</f>
        <v>90.909090909090907</v>
      </c>
      <c r="E169" s="7">
        <f>B169*D169</f>
        <v>90.909090909090907</v>
      </c>
      <c r="F169" t="s">
        <v>115</v>
      </c>
    </row>
    <row r="170" spans="1:6" x14ac:dyDescent="0.35">
      <c r="B170" s="6">
        <v>2</v>
      </c>
      <c r="C170" s="6">
        <v>100</v>
      </c>
      <c r="D170" s="7">
        <f>PV(10%,B170,0,-C170)</f>
        <v>82.644628099173545</v>
      </c>
      <c r="E170" s="7">
        <f t="shared" ref="E170:E172" si="7">B170*D170</f>
        <v>165.28925619834709</v>
      </c>
      <c r="F170" t="s">
        <v>116</v>
      </c>
    </row>
    <row r="171" spans="1:6" x14ac:dyDescent="0.35">
      <c r="B171" s="6">
        <v>3</v>
      </c>
      <c r="C171" s="6">
        <v>100</v>
      </c>
      <c r="D171" s="7">
        <f t="shared" ref="D170:D172" si="8">PV($D$168,B171,,-C171)</f>
        <v>75.131480090157751</v>
      </c>
      <c r="E171" s="7">
        <f t="shared" si="7"/>
        <v>225.39444027047324</v>
      </c>
    </row>
    <row r="172" spans="1:6" x14ac:dyDescent="0.35">
      <c r="B172" s="6">
        <v>4</v>
      </c>
      <c r="C172" s="6">
        <f>1000+100</f>
        <v>1100</v>
      </c>
      <c r="D172" s="7">
        <f t="shared" si="8"/>
        <v>751.31480090157754</v>
      </c>
      <c r="E172" s="7">
        <f t="shared" si="7"/>
        <v>3005.2592036063102</v>
      </c>
      <c r="F172" t="s">
        <v>117</v>
      </c>
    </row>
    <row r="173" spans="1:6" x14ac:dyDescent="0.35">
      <c r="D173" s="30">
        <f>SUM(D169:D172)</f>
        <v>999.99999999999977</v>
      </c>
      <c r="E173" s="29">
        <f>SUM(E169:E172)</f>
        <v>3486.8519909842216</v>
      </c>
    </row>
    <row r="175" spans="1:6" x14ac:dyDescent="0.35">
      <c r="B175" t="s">
        <v>119</v>
      </c>
    </row>
    <row r="176" spans="1:6" x14ac:dyDescent="0.35">
      <c r="B176" t="s">
        <v>120</v>
      </c>
      <c r="D176" s="29">
        <f>E173/D173</f>
        <v>3.4868519909842224</v>
      </c>
      <c r="E176" t="s">
        <v>78</v>
      </c>
    </row>
    <row r="177" spans="2:5" x14ac:dyDescent="0.35">
      <c r="B177" t="s">
        <v>121</v>
      </c>
    </row>
    <row r="178" spans="2:5" x14ac:dyDescent="0.35">
      <c r="D178" s="29">
        <f>D176/1.1</f>
        <v>3.1698654463492928</v>
      </c>
      <c r="E178" t="s">
        <v>78</v>
      </c>
    </row>
    <row r="180" spans="2:5" x14ac:dyDescent="0.35">
      <c r="B180" s="33">
        <v>44562</v>
      </c>
      <c r="C180" t="s">
        <v>122</v>
      </c>
    </row>
    <row r="181" spans="2:5" x14ac:dyDescent="0.35">
      <c r="B181" s="33">
        <v>46023</v>
      </c>
      <c r="C181" t="s">
        <v>105</v>
      </c>
    </row>
    <row r="182" spans="2:5" x14ac:dyDescent="0.35">
      <c r="B182" s="31">
        <v>0.1</v>
      </c>
      <c r="C182" t="s">
        <v>106</v>
      </c>
    </row>
    <row r="183" spans="2:5" x14ac:dyDescent="0.35">
      <c r="B183" s="31">
        <v>0.1</v>
      </c>
      <c r="C183" t="s">
        <v>123</v>
      </c>
    </row>
    <row r="184" spans="2:5" x14ac:dyDescent="0.35">
      <c r="B184">
        <v>1</v>
      </c>
      <c r="C184" t="s">
        <v>107</v>
      </c>
    </row>
    <row r="185" spans="2:5" x14ac:dyDescent="0.35">
      <c r="B185" s="30">
        <f>DURATION(B180,B181,B182,B183,B184)</f>
        <v>3.4868519909842224</v>
      </c>
      <c r="C185" s="35" t="s">
        <v>124</v>
      </c>
    </row>
    <row r="186" spans="2:5" x14ac:dyDescent="0.35">
      <c r="B186" s="30">
        <f>MDURATION(B180,B181,B182,B183,B184)</f>
        <v>3.1698654463492928</v>
      </c>
      <c r="C186" s="35" t="s">
        <v>125</v>
      </c>
    </row>
    <row r="188" spans="2:5" x14ac:dyDescent="0.35">
      <c r="B188" t="s">
        <v>126</v>
      </c>
    </row>
    <row r="189" spans="2:5" x14ac:dyDescent="0.35">
      <c r="B189" t="s">
        <v>131</v>
      </c>
      <c r="D189" s="32">
        <f>-B186*(1%)</f>
        <v>-3.1698654463492931E-2</v>
      </c>
    </row>
    <row r="190" spans="2:5" x14ac:dyDescent="0.35">
      <c r="B190" s="27" t="s">
        <v>132</v>
      </c>
      <c r="D190" s="32">
        <f>-B186*(-1%)</f>
        <v>3.1698654463492931E-2</v>
      </c>
    </row>
    <row r="192" spans="2:5" x14ac:dyDescent="0.35">
      <c r="D192" t="s">
        <v>129</v>
      </c>
    </row>
    <row r="193" spans="2:5" x14ac:dyDescent="0.35">
      <c r="B193" s="5" t="s">
        <v>6</v>
      </c>
      <c r="C193" s="5" t="s">
        <v>7</v>
      </c>
      <c r="D193" s="39">
        <v>0.11</v>
      </c>
      <c r="E193" s="39">
        <v>0.09</v>
      </c>
    </row>
    <row r="194" spans="2:5" x14ac:dyDescent="0.35">
      <c r="B194" s="6">
        <v>1</v>
      </c>
      <c r="C194" s="6">
        <v>100</v>
      </c>
      <c r="D194" s="7">
        <f>PV($D$193,B194,,-C194)</f>
        <v>90.090090090090087</v>
      </c>
      <c r="E194" s="7">
        <f>PV($E$193,B194,,-C194)</f>
        <v>91.743119266055032</v>
      </c>
    </row>
    <row r="195" spans="2:5" x14ac:dyDescent="0.35">
      <c r="B195" s="6">
        <v>2</v>
      </c>
      <c r="C195" s="6">
        <v>100</v>
      </c>
      <c r="D195" s="7">
        <f t="shared" ref="D195:E197" si="9">PV($D$193,B195,,-C195)</f>
        <v>81.16224332440548</v>
      </c>
      <c r="E195" s="7">
        <f t="shared" ref="E195:E197" si="10">PV($E$193,B195,,-C195)</f>
        <v>84.167999326655988</v>
      </c>
    </row>
    <row r="196" spans="2:5" x14ac:dyDescent="0.35">
      <c r="B196" s="6">
        <v>3</v>
      </c>
      <c r="C196" s="6">
        <v>100</v>
      </c>
      <c r="D196" s="7">
        <f t="shared" si="9"/>
        <v>73.119138130095024</v>
      </c>
      <c r="E196" s="7">
        <f t="shared" si="10"/>
        <v>77.21834800610641</v>
      </c>
    </row>
    <row r="197" spans="2:5" x14ac:dyDescent="0.35">
      <c r="B197" s="6">
        <v>4</v>
      </c>
      <c r="C197" s="6">
        <f>1000+100</f>
        <v>1100</v>
      </c>
      <c r="D197" s="7">
        <f t="shared" si="9"/>
        <v>724.60407155950008</v>
      </c>
      <c r="E197" s="7">
        <f t="shared" si="10"/>
        <v>779.26773217171603</v>
      </c>
    </row>
    <row r="198" spans="2:5" x14ac:dyDescent="0.35">
      <c r="B198" s="27"/>
      <c r="C198" s="27"/>
      <c r="D198" s="30">
        <f>SUM(D194:D197)</f>
        <v>968.97554310409066</v>
      </c>
      <c r="E198" s="30">
        <f>SUM(E194:E197)</f>
        <v>1032.3971987705336</v>
      </c>
    </row>
    <row r="199" spans="2:5" x14ac:dyDescent="0.35">
      <c r="C199" t="s">
        <v>127</v>
      </c>
      <c r="D199" s="29">
        <f>D198-1000</f>
        <v>-31.024456895909339</v>
      </c>
      <c r="E199" s="29">
        <f>E198-1000</f>
        <v>32.397198770533578</v>
      </c>
    </row>
    <row r="200" spans="2:5" x14ac:dyDescent="0.35">
      <c r="C200" t="s">
        <v>128</v>
      </c>
      <c r="D200" s="32">
        <f>D199/1000</f>
        <v>-3.1024456895909339E-2</v>
      </c>
      <c r="E200" s="32">
        <f>E199/1000</f>
        <v>3.2397198770533576E-2</v>
      </c>
    </row>
    <row r="201" spans="2:5" x14ac:dyDescent="0.35">
      <c r="C201" t="s">
        <v>130</v>
      </c>
      <c r="E201" s="32">
        <f>(3.1%+3.24%)/2</f>
        <v>3.1700000000000006E-2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tarun</dc:creator>
  <cp:lastModifiedBy>Tarun</cp:lastModifiedBy>
  <dcterms:created xsi:type="dcterms:W3CDTF">2015-06-05T18:17:20Z</dcterms:created>
  <dcterms:modified xsi:type="dcterms:W3CDTF">2022-07-03T13:05:43Z</dcterms:modified>
</cp:coreProperties>
</file>